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25654\Desktop\WOSAnalysis\src\"/>
    </mc:Choice>
  </mc:AlternateContent>
  <xr:revisionPtr revIDLastSave="0" documentId="8_{AF67F139-E669-454B-AA36-586B282CC9CA}" xr6:coauthVersionLast="47" xr6:coauthVersionMax="47" xr10:uidLastSave="{00000000-0000-0000-0000-000000000000}"/>
  <bookViews>
    <workbookView xWindow="-120" yWindow="-120" windowWidth="29040" windowHeight="16440" xr2:uid="{DDB73938-9096-48F9-8279-7EBDF1F0DF9D}"/>
  </bookViews>
  <sheets>
    <sheet name="savedrecs" sheetId="1" r:id="rId1"/>
  </sheets>
  <calcPr calcId="191029"/>
</workbook>
</file>

<file path=xl/calcChain.xml><?xml version="1.0" encoding="utf-8"?>
<calcChain xmlns="http://schemas.openxmlformats.org/spreadsheetml/2006/main">
  <c r="BF2" i="1" l="1"/>
  <c r="BT2" i="1"/>
  <c r="BF3" i="1"/>
  <c r="BT3" i="1"/>
  <c r="BF4" i="1"/>
  <c r="BT4" i="1"/>
  <c r="BF5" i="1"/>
  <c r="BT5" i="1"/>
  <c r="BF6" i="1"/>
  <c r="BT6" i="1"/>
  <c r="BF7" i="1"/>
  <c r="BT7" i="1"/>
  <c r="BF8" i="1"/>
  <c r="BT8" i="1"/>
  <c r="BF9" i="1"/>
  <c r="BT9" i="1"/>
  <c r="BF10" i="1"/>
  <c r="BT10" i="1"/>
  <c r="BF11" i="1"/>
  <c r="BT11" i="1"/>
  <c r="BF12" i="1"/>
  <c r="BT12" i="1"/>
  <c r="BF13" i="1"/>
  <c r="BT13" i="1"/>
  <c r="BF14" i="1"/>
  <c r="BT14" i="1"/>
  <c r="BF15" i="1"/>
  <c r="BT15" i="1"/>
  <c r="BF16" i="1"/>
  <c r="BT16" i="1"/>
  <c r="BF17" i="1"/>
  <c r="BT17" i="1"/>
  <c r="BF18" i="1"/>
  <c r="BT18" i="1"/>
  <c r="BF19" i="1"/>
  <c r="BT19" i="1"/>
  <c r="BF20" i="1"/>
  <c r="BT20" i="1"/>
  <c r="BF21" i="1"/>
  <c r="BT21" i="1"/>
  <c r="BF22" i="1"/>
  <c r="BT22" i="1"/>
  <c r="BF23" i="1"/>
  <c r="BT23" i="1"/>
  <c r="BF24" i="1"/>
  <c r="BT24" i="1"/>
  <c r="BF25" i="1"/>
  <c r="BT25" i="1"/>
  <c r="BF26" i="1"/>
  <c r="BT26" i="1"/>
  <c r="BF27" i="1"/>
  <c r="BT27" i="1"/>
  <c r="BF28" i="1"/>
  <c r="BT28" i="1"/>
  <c r="BF29" i="1"/>
  <c r="BT29" i="1"/>
  <c r="BF30" i="1"/>
  <c r="BT30" i="1"/>
  <c r="BF31" i="1"/>
  <c r="BT31" i="1"/>
  <c r="BT32" i="1"/>
  <c r="BF33" i="1"/>
  <c r="BT33" i="1"/>
  <c r="BF34" i="1"/>
  <c r="BT34" i="1"/>
  <c r="BF35" i="1"/>
  <c r="BT35" i="1"/>
  <c r="BF36" i="1"/>
  <c r="BT36" i="1"/>
  <c r="BF37" i="1"/>
  <c r="BT37" i="1"/>
  <c r="BF38" i="1"/>
  <c r="BT38" i="1"/>
  <c r="BF39" i="1"/>
  <c r="BT39" i="1"/>
  <c r="BF40" i="1"/>
  <c r="BT40" i="1"/>
  <c r="BF41" i="1"/>
  <c r="BT41" i="1"/>
  <c r="BF42" i="1"/>
  <c r="BT42" i="1"/>
  <c r="BF43" i="1"/>
  <c r="BT43" i="1"/>
  <c r="BF44" i="1"/>
  <c r="BT44" i="1"/>
  <c r="BF45" i="1"/>
  <c r="BT45" i="1"/>
  <c r="BF46" i="1"/>
  <c r="BT46" i="1"/>
  <c r="BF47" i="1"/>
  <c r="BT47" i="1"/>
  <c r="BF48" i="1"/>
  <c r="BT48" i="1"/>
  <c r="BF49" i="1"/>
  <c r="BT49" i="1"/>
  <c r="BT50" i="1"/>
  <c r="BF51" i="1"/>
  <c r="BT51" i="1"/>
  <c r="BF52" i="1"/>
  <c r="BT52" i="1"/>
  <c r="BF53" i="1"/>
  <c r="BT53" i="1"/>
  <c r="BF54" i="1"/>
  <c r="BT54" i="1"/>
  <c r="BT55" i="1"/>
  <c r="BF56" i="1"/>
  <c r="BT56" i="1"/>
  <c r="BF57" i="1"/>
  <c r="BT57" i="1"/>
  <c r="BF58" i="1"/>
  <c r="BT58" i="1"/>
  <c r="BF59" i="1"/>
  <c r="BT59" i="1"/>
  <c r="BF60" i="1"/>
  <c r="BT60" i="1"/>
  <c r="BF61" i="1"/>
  <c r="BT61" i="1"/>
  <c r="BF62" i="1"/>
  <c r="BT62" i="1"/>
  <c r="BF63" i="1"/>
  <c r="BT63" i="1"/>
  <c r="BF64" i="1"/>
  <c r="BT64" i="1"/>
  <c r="BF65" i="1"/>
  <c r="BT65" i="1"/>
  <c r="BF66" i="1"/>
  <c r="BT66" i="1"/>
  <c r="BF67" i="1"/>
  <c r="BT67" i="1"/>
  <c r="BF68" i="1"/>
  <c r="BT68" i="1"/>
  <c r="BF69" i="1"/>
  <c r="BT69" i="1"/>
  <c r="BF70" i="1"/>
  <c r="BT70" i="1"/>
  <c r="BF71" i="1"/>
  <c r="BT71" i="1"/>
  <c r="BF72" i="1"/>
  <c r="BT72" i="1"/>
  <c r="BF73" i="1"/>
  <c r="BT73" i="1"/>
  <c r="BF74" i="1"/>
  <c r="BT74" i="1"/>
  <c r="BF75" i="1"/>
  <c r="BT75" i="1"/>
  <c r="BF76" i="1"/>
  <c r="BT76" i="1"/>
  <c r="BF77" i="1"/>
  <c r="BT77" i="1"/>
  <c r="BF78" i="1"/>
  <c r="BT78" i="1"/>
  <c r="BF79" i="1"/>
  <c r="BT79" i="1"/>
  <c r="BF80" i="1"/>
  <c r="BT80" i="1"/>
  <c r="BT81" i="1"/>
  <c r="BF82" i="1"/>
  <c r="BT82" i="1"/>
  <c r="BF83" i="1"/>
  <c r="BT83" i="1"/>
  <c r="BF84" i="1"/>
  <c r="BT84" i="1"/>
  <c r="BF85" i="1"/>
  <c r="BT85" i="1"/>
  <c r="BF86" i="1"/>
  <c r="BT86" i="1"/>
  <c r="BF87" i="1"/>
  <c r="BT87" i="1"/>
  <c r="BF88" i="1"/>
  <c r="BT88" i="1"/>
  <c r="BF89" i="1"/>
  <c r="BT89" i="1"/>
  <c r="BF90" i="1"/>
  <c r="BT90" i="1"/>
  <c r="BF91" i="1"/>
  <c r="BT91" i="1"/>
  <c r="BF92" i="1"/>
  <c r="BT92" i="1"/>
  <c r="BF93" i="1"/>
  <c r="BT93" i="1"/>
  <c r="BF94" i="1"/>
  <c r="BT94" i="1"/>
  <c r="BF95" i="1"/>
  <c r="BT95" i="1"/>
  <c r="BF96" i="1"/>
  <c r="BT96" i="1"/>
  <c r="BF97" i="1"/>
  <c r="BT97" i="1"/>
  <c r="BF98" i="1"/>
  <c r="BT98" i="1"/>
  <c r="BF99" i="1"/>
  <c r="BT99" i="1"/>
  <c r="BF100" i="1"/>
  <c r="BT100" i="1"/>
  <c r="BF101" i="1"/>
  <c r="BT101" i="1"/>
  <c r="BF102" i="1"/>
  <c r="BT102" i="1"/>
  <c r="BF103" i="1"/>
  <c r="BT103" i="1"/>
  <c r="BF104" i="1"/>
  <c r="BT104" i="1"/>
  <c r="BF105" i="1"/>
  <c r="BT105" i="1"/>
  <c r="BF106" i="1"/>
  <c r="BT106" i="1"/>
  <c r="BF107" i="1"/>
  <c r="BT107" i="1"/>
  <c r="BT108" i="1"/>
  <c r="BF109" i="1"/>
  <c r="BT109" i="1"/>
  <c r="BF110" i="1"/>
  <c r="BT110" i="1"/>
  <c r="BF111" i="1"/>
  <c r="BT111" i="1"/>
  <c r="BF112" i="1"/>
  <c r="BT112" i="1"/>
  <c r="BF113" i="1"/>
  <c r="BT113" i="1"/>
  <c r="BF114" i="1"/>
  <c r="BT114" i="1"/>
  <c r="BF115" i="1"/>
  <c r="BT115" i="1"/>
  <c r="BF116" i="1"/>
  <c r="BT116" i="1"/>
  <c r="BF117" i="1"/>
  <c r="BT117" i="1"/>
  <c r="BF118" i="1"/>
  <c r="BT118" i="1"/>
  <c r="BF119" i="1"/>
  <c r="BT119" i="1"/>
  <c r="BF120" i="1"/>
  <c r="BT120" i="1"/>
  <c r="BF121" i="1"/>
  <c r="BT121" i="1"/>
  <c r="BF122" i="1"/>
  <c r="BT122" i="1"/>
  <c r="BF123" i="1"/>
  <c r="BT123" i="1"/>
  <c r="BF124" i="1"/>
  <c r="BT124" i="1"/>
  <c r="BF125" i="1"/>
  <c r="BT125" i="1"/>
  <c r="BF126" i="1"/>
  <c r="BT126" i="1"/>
  <c r="BF127" i="1"/>
  <c r="BT127" i="1"/>
  <c r="BF128" i="1"/>
  <c r="BT128" i="1"/>
  <c r="BF129" i="1"/>
  <c r="BT129" i="1"/>
  <c r="BF130" i="1"/>
  <c r="BT130" i="1"/>
  <c r="BF131" i="1"/>
  <c r="BT131" i="1"/>
  <c r="BF132" i="1"/>
  <c r="BT132" i="1"/>
  <c r="BF133" i="1"/>
  <c r="BT133" i="1"/>
  <c r="BF134" i="1"/>
  <c r="BT134" i="1"/>
  <c r="BF135" i="1"/>
  <c r="BT135" i="1"/>
  <c r="BF136" i="1"/>
  <c r="BT136" i="1"/>
  <c r="BF137" i="1"/>
  <c r="BT137" i="1"/>
  <c r="BF138" i="1"/>
  <c r="BT138" i="1"/>
  <c r="BF139" i="1"/>
  <c r="BT139" i="1"/>
  <c r="BF140" i="1"/>
  <c r="BT140" i="1"/>
  <c r="BF141" i="1"/>
  <c r="BT141" i="1"/>
  <c r="BF142" i="1"/>
  <c r="BT142" i="1"/>
  <c r="BF143" i="1"/>
  <c r="BT143" i="1"/>
  <c r="BF144" i="1"/>
  <c r="BT144" i="1"/>
  <c r="BF145" i="1"/>
  <c r="BT145" i="1"/>
  <c r="BF146" i="1"/>
  <c r="BT146" i="1"/>
  <c r="BF147" i="1"/>
  <c r="BT147" i="1"/>
  <c r="BT148" i="1"/>
  <c r="BF149" i="1"/>
  <c r="BT149" i="1"/>
  <c r="BF150" i="1"/>
  <c r="BT150" i="1"/>
  <c r="BF151" i="1"/>
  <c r="BT151" i="1"/>
  <c r="BF152" i="1"/>
  <c r="BT152" i="1"/>
  <c r="BF153" i="1"/>
  <c r="BT153" i="1"/>
  <c r="BF154" i="1"/>
  <c r="BT154" i="1"/>
  <c r="BF155" i="1"/>
  <c r="BT155" i="1"/>
  <c r="BF156" i="1"/>
  <c r="BT156" i="1"/>
  <c r="BF157" i="1"/>
  <c r="BT157" i="1"/>
  <c r="BF158" i="1"/>
  <c r="BT158" i="1"/>
  <c r="BF159" i="1"/>
  <c r="BT159" i="1"/>
  <c r="BF160" i="1"/>
  <c r="BT160" i="1"/>
  <c r="BF161" i="1"/>
  <c r="BT161" i="1"/>
  <c r="BF162" i="1"/>
  <c r="BT162" i="1"/>
  <c r="BF163" i="1"/>
  <c r="BT163" i="1"/>
  <c r="BF164" i="1"/>
  <c r="BT164" i="1"/>
  <c r="BF165" i="1"/>
  <c r="BT165" i="1"/>
  <c r="BF166" i="1"/>
  <c r="BT166" i="1"/>
  <c r="BF167" i="1"/>
  <c r="BT167" i="1"/>
  <c r="BF168" i="1"/>
  <c r="BT168" i="1"/>
  <c r="BF169" i="1"/>
  <c r="BT169" i="1"/>
  <c r="BF170" i="1"/>
  <c r="BT170" i="1"/>
  <c r="BF171" i="1"/>
  <c r="BT171" i="1"/>
  <c r="BF172" i="1"/>
  <c r="BT172" i="1"/>
  <c r="BF173" i="1"/>
  <c r="BT173" i="1"/>
  <c r="BF174" i="1"/>
  <c r="BT174" i="1"/>
  <c r="BF175" i="1"/>
  <c r="BT175" i="1"/>
  <c r="BF176" i="1"/>
  <c r="BT176" i="1"/>
  <c r="BF177" i="1"/>
  <c r="BT177" i="1"/>
  <c r="BF178" i="1"/>
  <c r="BT178" i="1"/>
  <c r="BF179" i="1"/>
  <c r="BT179" i="1"/>
  <c r="BF180" i="1"/>
  <c r="BT180" i="1"/>
  <c r="BF181" i="1"/>
  <c r="BT181" i="1"/>
  <c r="BF182" i="1"/>
  <c r="BT182" i="1"/>
  <c r="BF183" i="1"/>
  <c r="BT183" i="1"/>
  <c r="BF184" i="1"/>
  <c r="BT184" i="1"/>
  <c r="BF185" i="1"/>
  <c r="BT185" i="1"/>
  <c r="BF186" i="1"/>
  <c r="BT186" i="1"/>
  <c r="BF187" i="1"/>
  <c r="BT187" i="1"/>
  <c r="BF188" i="1"/>
  <c r="BT188" i="1"/>
  <c r="BF189" i="1"/>
  <c r="BT189" i="1"/>
  <c r="BF190" i="1"/>
  <c r="BT190" i="1"/>
  <c r="BF191" i="1"/>
  <c r="BT191" i="1"/>
  <c r="BF192" i="1"/>
  <c r="BT192" i="1"/>
  <c r="BF193" i="1"/>
  <c r="BT193" i="1"/>
  <c r="BF194" i="1"/>
  <c r="BT194" i="1"/>
  <c r="BF195" i="1"/>
  <c r="BT195" i="1"/>
  <c r="BF196" i="1"/>
  <c r="BT196" i="1"/>
  <c r="BF197" i="1"/>
  <c r="BT197" i="1"/>
  <c r="BF198" i="1"/>
  <c r="BT198" i="1"/>
  <c r="BF199" i="1"/>
  <c r="BT199" i="1"/>
  <c r="BF200" i="1"/>
  <c r="BT200" i="1"/>
  <c r="BF201" i="1"/>
  <c r="BT201" i="1"/>
  <c r="BF202" i="1"/>
  <c r="BT202" i="1"/>
  <c r="BF203" i="1"/>
  <c r="BT203" i="1"/>
  <c r="BF204" i="1"/>
  <c r="BT204" i="1"/>
  <c r="BF205" i="1"/>
  <c r="BT205" i="1"/>
  <c r="BF206" i="1"/>
  <c r="BT206" i="1"/>
  <c r="BF207" i="1"/>
  <c r="BT207" i="1"/>
  <c r="BF208" i="1"/>
  <c r="BT208" i="1"/>
  <c r="BF209" i="1"/>
  <c r="BT209" i="1"/>
  <c r="BF210" i="1"/>
  <c r="BT210" i="1"/>
  <c r="BF211" i="1"/>
  <c r="BT211" i="1"/>
  <c r="BF212" i="1"/>
  <c r="BT212" i="1"/>
  <c r="BF213" i="1"/>
  <c r="BT213" i="1"/>
  <c r="BF214" i="1"/>
  <c r="BT214" i="1"/>
  <c r="BF215" i="1"/>
  <c r="BT215" i="1"/>
  <c r="BF216" i="1"/>
  <c r="BT216" i="1"/>
  <c r="BF217" i="1"/>
  <c r="BT217" i="1"/>
  <c r="BF218" i="1"/>
  <c r="BT218" i="1"/>
  <c r="BF219" i="1"/>
  <c r="BT219" i="1"/>
  <c r="BF220" i="1"/>
  <c r="BT220" i="1"/>
  <c r="BF221" i="1"/>
  <c r="BT221" i="1"/>
  <c r="BF222" i="1"/>
  <c r="BT222" i="1"/>
  <c r="BF223" i="1"/>
  <c r="BT223" i="1"/>
  <c r="BF224" i="1"/>
  <c r="BT224" i="1"/>
  <c r="BF225" i="1"/>
  <c r="BT225" i="1"/>
  <c r="BF226" i="1"/>
  <c r="BT226" i="1"/>
  <c r="BF227" i="1"/>
  <c r="BT227" i="1"/>
  <c r="BF228" i="1"/>
  <c r="BT228" i="1"/>
  <c r="BF229" i="1"/>
  <c r="BT229" i="1"/>
  <c r="BF230" i="1"/>
  <c r="BT230" i="1"/>
  <c r="BF231" i="1"/>
  <c r="BT231" i="1"/>
  <c r="BF232" i="1"/>
  <c r="BT232" i="1"/>
  <c r="BF233" i="1"/>
  <c r="BT233" i="1"/>
  <c r="BF234" i="1"/>
  <c r="BT234" i="1"/>
  <c r="BF235" i="1"/>
  <c r="BT235" i="1"/>
  <c r="BF236" i="1"/>
  <c r="BT236" i="1"/>
  <c r="BF237" i="1"/>
  <c r="BT237" i="1"/>
  <c r="BF238" i="1"/>
  <c r="BT238" i="1"/>
  <c r="BF239" i="1"/>
  <c r="BT239" i="1"/>
  <c r="BF240" i="1"/>
  <c r="BT240" i="1"/>
  <c r="BF241" i="1"/>
  <c r="BT241" i="1"/>
  <c r="BF242" i="1"/>
  <c r="BT242" i="1"/>
  <c r="BF243" i="1"/>
  <c r="BT243" i="1"/>
  <c r="BF244" i="1"/>
  <c r="BT244" i="1"/>
  <c r="BF245" i="1"/>
  <c r="BT245" i="1"/>
  <c r="BF246" i="1"/>
  <c r="BT246" i="1"/>
  <c r="BF247" i="1"/>
  <c r="BT247" i="1"/>
  <c r="BF248" i="1"/>
  <c r="BT248" i="1"/>
  <c r="BF249" i="1"/>
  <c r="BT249" i="1"/>
  <c r="BF250" i="1"/>
  <c r="BT250" i="1"/>
  <c r="BF251" i="1"/>
  <c r="BT251" i="1"/>
  <c r="BF252" i="1"/>
  <c r="BT252" i="1"/>
  <c r="BT253" i="1"/>
  <c r="BF254" i="1"/>
  <c r="BT254" i="1"/>
  <c r="BF255" i="1"/>
  <c r="BT255" i="1"/>
  <c r="BF256" i="1"/>
  <c r="BT256" i="1"/>
  <c r="BF257" i="1"/>
  <c r="BT257" i="1"/>
  <c r="BF258" i="1"/>
  <c r="BT258" i="1"/>
  <c r="BT259" i="1"/>
  <c r="BF260" i="1"/>
  <c r="BT260" i="1"/>
  <c r="BF261" i="1"/>
  <c r="BT261" i="1"/>
  <c r="BF262" i="1"/>
  <c r="BT262" i="1"/>
  <c r="BF263" i="1"/>
  <c r="BT263" i="1"/>
  <c r="BF264" i="1"/>
  <c r="BT264" i="1"/>
  <c r="BF265" i="1"/>
  <c r="BT265" i="1"/>
  <c r="BF266" i="1"/>
  <c r="BT266" i="1"/>
  <c r="BF267" i="1"/>
  <c r="BT267" i="1"/>
  <c r="BF268" i="1"/>
  <c r="BT268" i="1"/>
  <c r="BF269" i="1"/>
  <c r="BT269" i="1"/>
  <c r="BF270" i="1"/>
  <c r="BT270" i="1"/>
  <c r="BF271" i="1"/>
  <c r="BT271" i="1"/>
  <c r="BF272" i="1"/>
  <c r="BT272" i="1"/>
  <c r="BF273" i="1"/>
  <c r="BT273" i="1"/>
  <c r="BF274" i="1"/>
  <c r="BT274" i="1"/>
  <c r="BF275" i="1"/>
  <c r="BT275" i="1"/>
  <c r="BF276" i="1"/>
  <c r="BT276" i="1"/>
  <c r="BF277" i="1"/>
  <c r="BT277" i="1"/>
  <c r="BF278" i="1"/>
  <c r="BT278" i="1"/>
  <c r="BF279" i="1"/>
  <c r="BT279" i="1"/>
  <c r="BT280" i="1"/>
  <c r="BT281" i="1"/>
  <c r="BT282" i="1"/>
  <c r="BF283" i="1"/>
  <c r="BT283" i="1"/>
  <c r="BF284" i="1"/>
  <c r="BT284" i="1"/>
  <c r="BF285" i="1"/>
  <c r="BT285" i="1"/>
  <c r="BF286" i="1"/>
  <c r="BT286" i="1"/>
  <c r="BF287" i="1"/>
  <c r="BT287" i="1"/>
  <c r="BF288" i="1"/>
  <c r="BT288" i="1"/>
  <c r="BF289" i="1"/>
  <c r="BT289" i="1"/>
  <c r="BF290" i="1"/>
  <c r="BT290" i="1"/>
  <c r="BF291" i="1"/>
  <c r="BT291" i="1"/>
  <c r="BF292" i="1"/>
  <c r="BT292" i="1"/>
  <c r="BF293" i="1"/>
  <c r="BT293" i="1"/>
  <c r="BF294" i="1"/>
  <c r="BT294" i="1"/>
  <c r="BF295" i="1"/>
  <c r="BT295" i="1"/>
  <c r="BF296" i="1"/>
  <c r="BT296" i="1"/>
  <c r="BF297" i="1"/>
  <c r="BT297" i="1"/>
  <c r="BF298" i="1"/>
  <c r="BT298" i="1"/>
  <c r="BF299" i="1"/>
  <c r="BT299" i="1"/>
  <c r="BF300" i="1"/>
  <c r="BT300" i="1"/>
  <c r="BF301" i="1"/>
  <c r="BT301" i="1"/>
  <c r="BF302" i="1"/>
  <c r="BT302" i="1"/>
  <c r="BF303" i="1"/>
  <c r="BT303" i="1"/>
  <c r="BF304" i="1"/>
  <c r="BT304" i="1"/>
  <c r="BF305" i="1"/>
  <c r="BT305" i="1"/>
  <c r="BF306" i="1"/>
  <c r="BT306" i="1"/>
  <c r="BF307" i="1"/>
  <c r="BT307" i="1"/>
  <c r="BF308" i="1"/>
  <c r="BT308" i="1"/>
  <c r="BF309" i="1"/>
  <c r="BT309" i="1"/>
  <c r="BF310" i="1"/>
  <c r="BT310" i="1"/>
  <c r="BF311" i="1"/>
  <c r="BT311" i="1"/>
  <c r="BF312" i="1"/>
  <c r="BT312" i="1"/>
  <c r="BF313" i="1"/>
  <c r="BT313" i="1"/>
  <c r="BF314" i="1"/>
  <c r="BT314" i="1"/>
  <c r="BF315" i="1"/>
  <c r="BT315" i="1"/>
  <c r="BF316" i="1"/>
  <c r="BT316" i="1"/>
  <c r="BF317" i="1"/>
  <c r="BT317" i="1"/>
  <c r="BF318" i="1"/>
  <c r="BT318" i="1"/>
  <c r="BF319" i="1"/>
  <c r="BT319" i="1"/>
  <c r="BT320" i="1"/>
  <c r="BF321" i="1"/>
  <c r="BT321" i="1"/>
  <c r="BF322" i="1"/>
  <c r="BT322" i="1"/>
  <c r="BF323" i="1"/>
  <c r="BT323" i="1"/>
  <c r="BF324" i="1"/>
  <c r="BT324" i="1"/>
  <c r="BT325" i="1"/>
  <c r="BF326" i="1"/>
  <c r="BT326" i="1"/>
  <c r="BF327" i="1"/>
  <c r="BT327" i="1"/>
  <c r="BF328" i="1"/>
  <c r="BT328" i="1"/>
  <c r="BF329" i="1"/>
  <c r="BT329" i="1"/>
  <c r="BF330" i="1"/>
  <c r="BT330" i="1"/>
  <c r="BF331" i="1"/>
  <c r="BT331" i="1"/>
  <c r="BF332" i="1"/>
  <c r="BT332" i="1"/>
  <c r="BF333" i="1"/>
  <c r="BT333" i="1"/>
  <c r="BF334" i="1"/>
  <c r="BT334" i="1"/>
  <c r="BF335" i="1"/>
  <c r="BT335" i="1"/>
  <c r="BF336" i="1"/>
  <c r="BT336" i="1"/>
  <c r="BF337" i="1"/>
  <c r="BT337" i="1"/>
  <c r="BF338" i="1"/>
  <c r="BT338" i="1"/>
  <c r="BF339" i="1"/>
  <c r="BT339" i="1"/>
  <c r="BF340" i="1"/>
  <c r="BT340" i="1"/>
  <c r="BF341" i="1"/>
  <c r="BT341" i="1"/>
  <c r="BF342" i="1"/>
  <c r="BT342" i="1"/>
  <c r="BT343" i="1"/>
  <c r="BF344" i="1"/>
  <c r="BT344" i="1"/>
  <c r="BF345" i="1"/>
  <c r="BT345" i="1"/>
  <c r="BF346" i="1"/>
  <c r="BT346" i="1"/>
  <c r="BF347" i="1"/>
  <c r="BT347" i="1"/>
  <c r="BF348" i="1"/>
  <c r="BT348" i="1"/>
  <c r="BF349" i="1"/>
  <c r="BT349" i="1"/>
  <c r="BF350" i="1"/>
  <c r="BT350" i="1"/>
  <c r="BF351" i="1"/>
  <c r="BT351" i="1"/>
  <c r="BT352" i="1"/>
  <c r="BT353" i="1"/>
  <c r="BF354" i="1"/>
  <c r="BT354" i="1"/>
  <c r="BF355" i="1"/>
  <c r="BT355" i="1"/>
  <c r="BF356" i="1"/>
  <c r="BT356" i="1"/>
  <c r="BF357" i="1"/>
  <c r="BT357" i="1"/>
  <c r="BF358" i="1"/>
  <c r="BT358" i="1"/>
  <c r="BF359" i="1"/>
  <c r="BT359" i="1"/>
  <c r="BT360" i="1"/>
  <c r="BF361" i="1"/>
  <c r="BT361" i="1"/>
  <c r="BF362" i="1"/>
  <c r="BT362" i="1"/>
  <c r="BF363" i="1"/>
  <c r="BT363" i="1"/>
  <c r="BF364" i="1"/>
  <c r="BT364" i="1"/>
  <c r="BF365" i="1"/>
  <c r="BT365" i="1"/>
  <c r="BF366" i="1"/>
  <c r="BT366" i="1"/>
  <c r="BF367" i="1"/>
  <c r="BT367" i="1"/>
  <c r="BF368" i="1"/>
  <c r="BT368" i="1"/>
  <c r="BF369" i="1"/>
  <c r="BT369" i="1"/>
  <c r="BF370" i="1"/>
  <c r="BT370" i="1"/>
  <c r="BF371" i="1"/>
  <c r="BT371" i="1"/>
  <c r="BT372" i="1"/>
  <c r="BF373" i="1"/>
  <c r="BT373" i="1"/>
  <c r="BF374" i="1"/>
  <c r="BT374" i="1"/>
  <c r="BF375" i="1"/>
  <c r="BT375" i="1"/>
  <c r="BF376" i="1"/>
  <c r="BT376" i="1"/>
  <c r="BF377" i="1"/>
  <c r="BT377" i="1"/>
  <c r="BF378" i="1"/>
  <c r="BT378" i="1"/>
  <c r="BF379" i="1"/>
  <c r="BT379" i="1"/>
  <c r="BF380" i="1"/>
  <c r="BT380" i="1"/>
  <c r="BF381" i="1"/>
  <c r="BT381" i="1"/>
  <c r="BF382" i="1"/>
  <c r="BT382" i="1"/>
  <c r="BF383" i="1"/>
  <c r="BT383" i="1"/>
  <c r="BF384" i="1"/>
  <c r="BT384" i="1"/>
  <c r="BF385" i="1"/>
  <c r="BT385" i="1"/>
  <c r="BF386" i="1"/>
  <c r="BT386" i="1"/>
  <c r="BF387" i="1"/>
  <c r="BT387" i="1"/>
  <c r="BF388" i="1"/>
  <c r="BT388" i="1"/>
  <c r="BF389" i="1"/>
  <c r="BT389" i="1"/>
  <c r="BF390" i="1"/>
  <c r="BT390" i="1"/>
  <c r="BT391" i="1"/>
  <c r="BF392" i="1"/>
  <c r="BT392" i="1"/>
  <c r="BF393" i="1"/>
  <c r="BT393" i="1"/>
  <c r="BF394" i="1"/>
  <c r="BT394" i="1"/>
  <c r="BF395" i="1"/>
  <c r="BT395" i="1"/>
  <c r="BF396" i="1"/>
  <c r="BT396" i="1"/>
  <c r="BF397" i="1"/>
  <c r="BT397" i="1"/>
  <c r="BF398" i="1"/>
  <c r="BT398" i="1"/>
  <c r="BF399" i="1"/>
  <c r="BT399" i="1"/>
  <c r="BF400" i="1"/>
  <c r="BT400" i="1"/>
  <c r="BF401" i="1"/>
  <c r="BT401" i="1"/>
  <c r="BF402" i="1"/>
  <c r="BT402" i="1"/>
  <c r="BF403" i="1"/>
  <c r="BT403" i="1"/>
  <c r="BF404" i="1"/>
  <c r="BT404" i="1"/>
  <c r="BF405" i="1"/>
  <c r="BT405" i="1"/>
  <c r="BF406" i="1"/>
  <c r="BT406" i="1"/>
  <c r="BF407" i="1"/>
  <c r="BT407" i="1"/>
  <c r="BF408" i="1"/>
  <c r="BT408" i="1"/>
  <c r="BF409" i="1"/>
  <c r="BT409" i="1"/>
  <c r="BF410" i="1"/>
  <c r="BT410" i="1"/>
  <c r="BF411" i="1"/>
  <c r="BT411" i="1"/>
  <c r="BF412" i="1"/>
  <c r="BT412" i="1"/>
  <c r="BF413" i="1"/>
  <c r="BT413" i="1"/>
  <c r="BF414" i="1"/>
  <c r="BT414" i="1"/>
  <c r="BF415" i="1"/>
  <c r="BT415" i="1"/>
  <c r="BF416" i="1"/>
  <c r="BT416" i="1"/>
  <c r="BF417" i="1"/>
  <c r="BT417" i="1"/>
  <c r="BF418" i="1"/>
  <c r="BT418" i="1"/>
  <c r="BF419" i="1"/>
  <c r="BT419" i="1"/>
  <c r="BF420" i="1"/>
  <c r="BT420" i="1"/>
  <c r="BF421" i="1"/>
  <c r="BT421" i="1"/>
  <c r="BF422" i="1"/>
  <c r="BT422" i="1"/>
  <c r="BF423" i="1"/>
  <c r="BT423" i="1"/>
  <c r="BF424" i="1"/>
  <c r="BT424" i="1"/>
  <c r="BF425" i="1"/>
  <c r="BT425" i="1"/>
  <c r="BF426" i="1"/>
  <c r="BT426" i="1"/>
  <c r="BF427" i="1"/>
  <c r="BT427" i="1"/>
  <c r="BF428" i="1"/>
  <c r="BT428" i="1"/>
  <c r="BF429" i="1"/>
  <c r="BT429" i="1"/>
  <c r="BF430" i="1"/>
  <c r="BT430" i="1"/>
  <c r="BF431" i="1"/>
  <c r="BT431" i="1"/>
  <c r="BF432" i="1"/>
  <c r="BT432" i="1"/>
  <c r="BF433" i="1"/>
  <c r="BT433" i="1"/>
  <c r="BF434" i="1"/>
  <c r="BT434" i="1"/>
  <c r="BF435" i="1"/>
  <c r="BT435" i="1"/>
  <c r="BF436" i="1"/>
  <c r="BT436" i="1"/>
  <c r="BF437" i="1"/>
  <c r="BT437" i="1"/>
  <c r="BF438" i="1"/>
  <c r="BT438" i="1"/>
  <c r="BF439" i="1"/>
  <c r="BT439" i="1"/>
  <c r="BF440" i="1"/>
  <c r="BT440" i="1"/>
  <c r="BF441" i="1"/>
  <c r="BT441" i="1"/>
  <c r="BF442" i="1"/>
  <c r="BT442" i="1"/>
  <c r="BF443" i="1"/>
  <c r="BT443" i="1"/>
  <c r="BF444" i="1"/>
  <c r="BT444" i="1"/>
  <c r="BF445" i="1"/>
  <c r="BT445" i="1"/>
  <c r="BF446" i="1"/>
  <c r="BT446" i="1"/>
  <c r="BF447" i="1"/>
  <c r="BT447" i="1"/>
  <c r="BF448" i="1"/>
  <c r="BT448" i="1"/>
  <c r="BF449" i="1"/>
  <c r="BT449" i="1"/>
  <c r="BF450" i="1"/>
  <c r="BT450" i="1"/>
  <c r="BF451" i="1"/>
  <c r="BT451" i="1"/>
  <c r="BF452" i="1"/>
  <c r="BT452" i="1"/>
  <c r="BF453" i="1"/>
  <c r="BT453" i="1"/>
  <c r="BF454" i="1"/>
  <c r="BT454" i="1"/>
  <c r="BT455" i="1"/>
  <c r="BF456" i="1"/>
  <c r="BT456" i="1"/>
  <c r="BF457" i="1"/>
  <c r="BT457" i="1"/>
  <c r="BF458" i="1"/>
  <c r="BT458" i="1"/>
  <c r="BF459" i="1"/>
  <c r="BT459" i="1"/>
  <c r="BT460" i="1"/>
  <c r="BF461" i="1"/>
  <c r="BT461" i="1"/>
  <c r="BF462" i="1"/>
  <c r="BT462" i="1"/>
  <c r="BF463" i="1"/>
  <c r="BT463" i="1"/>
  <c r="BF464" i="1"/>
  <c r="BT464" i="1"/>
  <c r="BF465" i="1"/>
  <c r="BT465" i="1"/>
  <c r="BF466" i="1"/>
  <c r="BT466" i="1"/>
  <c r="BF467" i="1"/>
  <c r="BT467" i="1"/>
  <c r="BF468" i="1"/>
  <c r="BT468" i="1"/>
  <c r="BF469" i="1"/>
  <c r="BT469" i="1"/>
  <c r="BF470" i="1"/>
  <c r="BT470" i="1"/>
  <c r="BF471" i="1"/>
  <c r="BT471" i="1"/>
  <c r="BF472" i="1"/>
  <c r="BT472" i="1"/>
  <c r="BF473" i="1"/>
  <c r="BT473" i="1"/>
  <c r="BF474" i="1"/>
  <c r="BT474" i="1"/>
  <c r="BF475" i="1"/>
  <c r="BT475" i="1"/>
  <c r="BF476" i="1"/>
  <c r="BT476" i="1"/>
  <c r="BF477" i="1"/>
  <c r="BT477" i="1"/>
  <c r="BT478" i="1"/>
  <c r="BF479" i="1"/>
  <c r="BT479" i="1"/>
  <c r="BF480" i="1"/>
  <c r="BT480" i="1"/>
  <c r="BF481" i="1"/>
  <c r="BT481" i="1"/>
  <c r="BF482" i="1"/>
  <c r="BT482" i="1"/>
  <c r="BF483" i="1"/>
  <c r="BT483" i="1"/>
  <c r="BF484" i="1"/>
  <c r="BT484" i="1"/>
  <c r="BF485" i="1"/>
  <c r="BT485" i="1"/>
  <c r="BF486" i="1"/>
  <c r="BT486" i="1"/>
  <c r="BF487" i="1"/>
  <c r="BT487" i="1"/>
  <c r="BF488" i="1"/>
  <c r="BT488" i="1"/>
  <c r="BF489" i="1"/>
  <c r="BT489" i="1"/>
  <c r="BF490" i="1"/>
  <c r="BT490" i="1"/>
  <c r="BF491" i="1"/>
  <c r="BT491" i="1"/>
  <c r="BF492" i="1"/>
  <c r="BT492" i="1"/>
  <c r="BF493" i="1"/>
  <c r="BT493" i="1"/>
  <c r="BF494" i="1"/>
  <c r="BT494" i="1"/>
  <c r="BF495" i="1"/>
  <c r="BT495" i="1"/>
  <c r="BF496" i="1"/>
  <c r="BT496" i="1"/>
  <c r="BF497" i="1"/>
  <c r="BT497" i="1"/>
  <c r="BF498" i="1"/>
  <c r="BT498" i="1"/>
  <c r="BF499" i="1"/>
  <c r="BT499" i="1"/>
  <c r="BF500" i="1"/>
  <c r="BT500" i="1"/>
  <c r="BF501" i="1"/>
  <c r="BT501" i="1"/>
  <c r="BF502" i="1"/>
  <c r="BT502" i="1"/>
  <c r="BT503" i="1"/>
  <c r="BF504" i="1"/>
  <c r="BT504" i="1"/>
  <c r="BF505" i="1"/>
  <c r="BT505" i="1"/>
  <c r="BF506" i="1"/>
  <c r="BT506" i="1"/>
  <c r="BF507" i="1"/>
  <c r="BT507" i="1"/>
  <c r="BF508" i="1"/>
  <c r="BT508" i="1"/>
  <c r="BF509" i="1"/>
  <c r="BT509" i="1"/>
  <c r="BF510" i="1"/>
  <c r="BT510" i="1"/>
  <c r="BF511" i="1"/>
  <c r="BT511" i="1"/>
  <c r="BF512" i="1"/>
  <c r="BT512" i="1"/>
  <c r="BF513" i="1"/>
  <c r="BT513" i="1"/>
  <c r="BF514" i="1"/>
  <c r="BT514" i="1"/>
  <c r="BF515" i="1"/>
  <c r="BT515" i="1"/>
  <c r="BF516" i="1"/>
  <c r="BT516" i="1"/>
  <c r="BF517" i="1"/>
  <c r="BT517" i="1"/>
  <c r="BF518" i="1"/>
  <c r="BT518" i="1"/>
  <c r="BF519" i="1"/>
  <c r="BT519" i="1"/>
  <c r="BF520" i="1"/>
  <c r="BT520" i="1"/>
  <c r="BF521" i="1"/>
  <c r="BT521" i="1"/>
  <c r="BF522" i="1"/>
  <c r="BT522" i="1"/>
  <c r="BF523" i="1"/>
  <c r="BT523" i="1"/>
  <c r="BF524" i="1"/>
  <c r="BT524" i="1"/>
  <c r="BF525" i="1"/>
  <c r="BT525" i="1"/>
  <c r="BF526" i="1"/>
  <c r="BT526" i="1"/>
  <c r="BF527" i="1"/>
  <c r="BT527" i="1"/>
  <c r="BF528" i="1"/>
  <c r="BT528" i="1"/>
  <c r="BF529" i="1"/>
  <c r="BT529" i="1"/>
  <c r="BF530" i="1"/>
  <c r="BT530" i="1"/>
  <c r="BF531" i="1"/>
  <c r="BT531" i="1"/>
  <c r="BF532" i="1"/>
  <c r="BT532" i="1"/>
  <c r="BF533" i="1"/>
  <c r="BT533" i="1"/>
  <c r="BF534" i="1"/>
  <c r="BT534" i="1"/>
  <c r="BF535" i="1"/>
  <c r="BT535" i="1"/>
  <c r="BF536" i="1"/>
  <c r="BT536" i="1"/>
  <c r="BF537" i="1"/>
  <c r="BT537" i="1"/>
  <c r="BF538" i="1"/>
  <c r="BT538" i="1"/>
  <c r="BF539" i="1"/>
  <c r="BT539" i="1"/>
  <c r="BF540" i="1"/>
  <c r="BT540" i="1"/>
  <c r="BF541" i="1"/>
  <c r="BT541" i="1"/>
  <c r="BF542" i="1"/>
  <c r="BT542" i="1"/>
  <c r="BF543" i="1"/>
  <c r="BT543" i="1"/>
  <c r="BF544" i="1"/>
  <c r="BT544" i="1"/>
  <c r="BF545" i="1"/>
  <c r="BT545" i="1"/>
  <c r="BF546" i="1"/>
  <c r="BT546" i="1"/>
  <c r="BF547" i="1"/>
  <c r="BT547" i="1"/>
  <c r="BF548" i="1"/>
  <c r="BT548" i="1"/>
  <c r="BF549" i="1"/>
  <c r="BT549" i="1"/>
  <c r="BF550" i="1"/>
  <c r="BT550" i="1"/>
  <c r="BF551" i="1"/>
  <c r="BT551" i="1"/>
  <c r="BF552" i="1"/>
  <c r="BT552" i="1"/>
  <c r="BF553" i="1"/>
  <c r="BT553" i="1"/>
  <c r="BF554" i="1"/>
  <c r="BT554" i="1"/>
  <c r="BF555" i="1"/>
  <c r="BT555" i="1"/>
  <c r="BF556" i="1"/>
  <c r="BT556" i="1"/>
  <c r="BF557" i="1"/>
  <c r="BT557" i="1"/>
  <c r="BF558" i="1"/>
  <c r="BT558" i="1"/>
  <c r="BF559" i="1"/>
  <c r="BT559" i="1"/>
  <c r="BF560" i="1"/>
  <c r="BT560" i="1"/>
  <c r="BF561" i="1"/>
  <c r="BT561" i="1"/>
  <c r="BF562" i="1"/>
  <c r="BT562" i="1"/>
  <c r="BF563" i="1"/>
  <c r="BT563" i="1"/>
  <c r="BF564" i="1"/>
  <c r="BT564" i="1"/>
  <c r="BF565" i="1"/>
  <c r="BT565" i="1"/>
  <c r="BF566" i="1"/>
  <c r="BT566" i="1"/>
  <c r="BF567" i="1"/>
  <c r="BT567" i="1"/>
  <c r="BF568" i="1"/>
  <c r="BT568" i="1"/>
  <c r="BF569" i="1"/>
  <c r="BT569" i="1"/>
  <c r="BF570" i="1"/>
  <c r="BT570" i="1"/>
  <c r="BF571" i="1"/>
  <c r="BT571" i="1"/>
  <c r="BT572" i="1"/>
  <c r="BF573" i="1"/>
  <c r="BT573" i="1"/>
  <c r="BF574" i="1"/>
  <c r="BT574" i="1"/>
  <c r="BF575" i="1"/>
  <c r="BT575" i="1"/>
  <c r="BF576" i="1"/>
  <c r="BT576" i="1"/>
  <c r="BF577" i="1"/>
  <c r="BT577" i="1"/>
  <c r="BF578" i="1"/>
  <c r="BT578" i="1"/>
  <c r="BF579" i="1"/>
  <c r="BT579" i="1"/>
  <c r="BF580" i="1"/>
  <c r="BT580" i="1"/>
  <c r="BF581" i="1"/>
  <c r="BT581" i="1"/>
  <c r="BF582" i="1"/>
  <c r="BT582" i="1"/>
  <c r="BF583" i="1"/>
  <c r="BT583" i="1"/>
  <c r="BF584" i="1"/>
  <c r="BT584" i="1"/>
  <c r="BT585" i="1"/>
  <c r="BF586" i="1"/>
  <c r="BT586" i="1"/>
  <c r="BF587" i="1"/>
  <c r="BT587" i="1"/>
  <c r="BF588" i="1"/>
  <c r="BT588" i="1"/>
  <c r="BF589" i="1"/>
  <c r="BT589" i="1"/>
  <c r="BF590" i="1"/>
  <c r="BT590" i="1"/>
  <c r="BF591" i="1"/>
  <c r="BT591" i="1"/>
  <c r="BF592" i="1"/>
  <c r="BT592" i="1"/>
  <c r="BF593" i="1"/>
  <c r="BT593" i="1"/>
  <c r="BF594" i="1"/>
  <c r="BT594" i="1"/>
  <c r="BF595" i="1"/>
  <c r="BT595" i="1"/>
  <c r="BF596" i="1"/>
  <c r="BT596" i="1"/>
  <c r="BF597" i="1"/>
  <c r="BT597" i="1"/>
  <c r="BF598" i="1"/>
  <c r="BT598" i="1"/>
  <c r="BF599" i="1"/>
  <c r="BT599" i="1"/>
  <c r="BF600" i="1"/>
  <c r="BT600" i="1"/>
  <c r="BF601" i="1"/>
  <c r="BT601" i="1"/>
  <c r="BF602" i="1"/>
  <c r="BT602" i="1"/>
  <c r="BF603" i="1"/>
  <c r="BT603" i="1"/>
  <c r="BF604" i="1"/>
  <c r="BT604" i="1"/>
  <c r="BF605" i="1"/>
  <c r="BT605" i="1"/>
  <c r="BF606" i="1"/>
  <c r="BT606" i="1"/>
  <c r="BF607" i="1"/>
  <c r="BT607" i="1"/>
  <c r="BF608" i="1"/>
  <c r="BT608" i="1"/>
  <c r="BF609" i="1"/>
  <c r="BT609" i="1"/>
  <c r="BF610" i="1"/>
  <c r="BT610" i="1"/>
  <c r="BF611" i="1"/>
  <c r="BT611" i="1"/>
  <c r="BF612" i="1"/>
  <c r="BT612" i="1"/>
  <c r="BF613" i="1"/>
  <c r="BT613" i="1"/>
  <c r="BF614" i="1"/>
  <c r="BT614" i="1"/>
  <c r="BT615" i="1"/>
  <c r="BF616" i="1"/>
  <c r="BT616" i="1"/>
  <c r="BF617" i="1"/>
  <c r="BT617" i="1"/>
  <c r="BF618" i="1"/>
  <c r="BT618" i="1"/>
  <c r="BF619" i="1"/>
  <c r="BT619" i="1"/>
  <c r="BF620" i="1"/>
  <c r="BT620" i="1"/>
  <c r="BF621" i="1"/>
  <c r="BT621" i="1"/>
  <c r="BF622" i="1"/>
  <c r="BT622" i="1"/>
  <c r="BF623" i="1"/>
  <c r="BT623" i="1"/>
  <c r="BF624" i="1"/>
  <c r="BT624" i="1"/>
  <c r="BF625" i="1"/>
  <c r="BT625" i="1"/>
  <c r="BF626" i="1"/>
  <c r="BT626" i="1"/>
  <c r="BF627" i="1"/>
  <c r="BT627" i="1"/>
  <c r="BF628" i="1"/>
  <c r="BT628" i="1"/>
  <c r="BF629" i="1"/>
  <c r="BT629" i="1"/>
  <c r="BF630" i="1"/>
  <c r="BT630" i="1"/>
  <c r="BF631" i="1"/>
  <c r="BT631" i="1"/>
  <c r="BF632" i="1"/>
  <c r="BT632" i="1"/>
  <c r="BF633" i="1"/>
  <c r="BT633" i="1"/>
  <c r="BF634" i="1"/>
  <c r="BT634" i="1"/>
  <c r="BF635" i="1"/>
  <c r="BT635" i="1"/>
  <c r="BF636" i="1"/>
  <c r="BT636" i="1"/>
  <c r="BF637" i="1"/>
  <c r="BT637" i="1"/>
  <c r="BF638" i="1"/>
  <c r="BT638" i="1"/>
  <c r="BF639" i="1"/>
  <c r="BT639" i="1"/>
  <c r="BF640" i="1"/>
  <c r="BT640" i="1"/>
  <c r="BF641" i="1"/>
  <c r="BT641" i="1"/>
  <c r="BF642" i="1"/>
  <c r="BT642" i="1"/>
  <c r="BF643" i="1"/>
  <c r="BT643" i="1"/>
  <c r="BF644" i="1"/>
  <c r="BT644" i="1"/>
  <c r="BF645" i="1"/>
  <c r="BT645" i="1"/>
  <c r="BF646" i="1"/>
  <c r="BT646" i="1"/>
  <c r="BF647" i="1"/>
  <c r="BT647" i="1"/>
  <c r="BF648" i="1"/>
  <c r="BT648" i="1"/>
  <c r="BF649" i="1"/>
  <c r="BT649" i="1"/>
  <c r="BF650" i="1"/>
  <c r="BT650" i="1"/>
  <c r="BF651" i="1"/>
  <c r="BT651" i="1"/>
  <c r="BF652" i="1"/>
  <c r="BT652" i="1"/>
  <c r="BF653" i="1"/>
  <c r="BT653" i="1"/>
  <c r="BF654" i="1"/>
  <c r="BT654" i="1"/>
  <c r="BF655" i="1"/>
  <c r="BT655" i="1"/>
  <c r="BF656" i="1"/>
  <c r="BT656" i="1"/>
  <c r="BF657" i="1"/>
  <c r="BT657" i="1"/>
  <c r="BF658" i="1"/>
  <c r="BT658" i="1"/>
  <c r="BF659" i="1"/>
  <c r="BT659" i="1"/>
  <c r="BF660" i="1"/>
  <c r="BT660" i="1"/>
  <c r="BF661" i="1"/>
  <c r="BT661" i="1"/>
  <c r="BF662" i="1"/>
  <c r="BT662" i="1"/>
  <c r="BF663" i="1"/>
  <c r="BT663" i="1"/>
  <c r="BF664" i="1"/>
  <c r="BT664" i="1"/>
  <c r="BF665" i="1"/>
  <c r="BT665" i="1"/>
  <c r="BF666" i="1"/>
  <c r="BT666" i="1"/>
  <c r="BF667" i="1"/>
  <c r="BT667" i="1"/>
  <c r="BF668" i="1"/>
  <c r="BT668" i="1"/>
  <c r="BF669" i="1"/>
  <c r="BT669" i="1"/>
  <c r="BF670" i="1"/>
  <c r="BT670" i="1"/>
  <c r="BF671" i="1"/>
  <c r="BT671" i="1"/>
  <c r="BF672" i="1"/>
  <c r="BT672" i="1"/>
  <c r="BF673" i="1"/>
  <c r="BT673" i="1"/>
  <c r="BF674" i="1"/>
  <c r="BT674" i="1"/>
  <c r="BF675" i="1"/>
  <c r="BT675" i="1"/>
  <c r="BF676" i="1"/>
  <c r="BT676" i="1"/>
  <c r="BF677" i="1"/>
  <c r="BT677" i="1"/>
  <c r="BF678" i="1"/>
  <c r="BT678" i="1"/>
  <c r="BF679" i="1"/>
  <c r="BT679" i="1"/>
  <c r="BF680" i="1"/>
  <c r="BT680" i="1"/>
  <c r="BF681" i="1"/>
  <c r="BT681" i="1"/>
  <c r="BF682" i="1"/>
  <c r="BT682" i="1"/>
  <c r="BF683" i="1"/>
  <c r="BT683" i="1"/>
  <c r="BF684" i="1"/>
  <c r="BT684" i="1"/>
  <c r="BF685" i="1"/>
  <c r="BT685" i="1"/>
  <c r="BF686" i="1"/>
  <c r="BT686" i="1"/>
  <c r="BF687" i="1"/>
  <c r="BT687" i="1"/>
  <c r="BF688" i="1"/>
  <c r="BT688" i="1"/>
  <c r="BF689" i="1"/>
  <c r="BT689" i="1"/>
  <c r="BF690" i="1"/>
  <c r="BT690" i="1"/>
  <c r="BF691" i="1"/>
  <c r="BT691" i="1"/>
  <c r="BF692" i="1"/>
  <c r="BT692" i="1"/>
  <c r="BF693" i="1"/>
  <c r="BT693" i="1"/>
  <c r="BT694" i="1"/>
  <c r="BF695" i="1"/>
  <c r="BT695" i="1"/>
  <c r="BF696" i="1"/>
  <c r="BT696" i="1"/>
  <c r="BF697" i="1"/>
  <c r="BT697" i="1"/>
  <c r="BF698" i="1"/>
  <c r="BT698" i="1"/>
  <c r="BF699" i="1"/>
  <c r="BT699" i="1"/>
  <c r="BF700" i="1"/>
  <c r="BT700" i="1"/>
  <c r="BT701" i="1"/>
  <c r="BF702" i="1"/>
  <c r="BT702" i="1"/>
  <c r="BF703" i="1"/>
  <c r="BT703" i="1"/>
  <c r="BF704" i="1"/>
  <c r="BT704" i="1"/>
  <c r="BF705" i="1"/>
  <c r="BT705" i="1"/>
  <c r="BF706" i="1"/>
  <c r="BT706" i="1"/>
  <c r="BF707" i="1"/>
  <c r="BT707" i="1"/>
  <c r="BF708" i="1"/>
  <c r="BT708" i="1"/>
  <c r="BF709" i="1"/>
  <c r="BT709" i="1"/>
  <c r="BF710" i="1"/>
  <c r="BT710" i="1"/>
  <c r="BF711" i="1"/>
  <c r="BT711" i="1"/>
  <c r="BF712" i="1"/>
  <c r="BT712" i="1"/>
  <c r="BF713" i="1"/>
  <c r="BT713" i="1"/>
  <c r="BF714" i="1"/>
  <c r="BT714" i="1"/>
  <c r="BF715" i="1"/>
  <c r="BT715" i="1"/>
  <c r="BF716" i="1"/>
  <c r="BT716" i="1"/>
  <c r="BF717" i="1"/>
  <c r="BT717" i="1"/>
  <c r="BF718" i="1"/>
  <c r="BT718" i="1"/>
  <c r="BF719" i="1"/>
  <c r="BT719" i="1"/>
  <c r="BF720" i="1"/>
  <c r="BT720" i="1"/>
  <c r="BF721" i="1"/>
  <c r="BT721" i="1"/>
  <c r="BF722" i="1"/>
  <c r="BT722" i="1"/>
  <c r="BF723" i="1"/>
  <c r="BT723" i="1"/>
  <c r="BT724" i="1"/>
  <c r="BF725" i="1"/>
  <c r="BT725" i="1"/>
  <c r="BF726" i="1"/>
  <c r="BT726" i="1"/>
  <c r="BF727" i="1"/>
  <c r="BT727" i="1"/>
  <c r="BF728" i="1"/>
  <c r="BT728" i="1"/>
  <c r="BF729" i="1"/>
  <c r="BT729" i="1"/>
  <c r="BF730" i="1"/>
  <c r="BT730" i="1"/>
  <c r="BF731" i="1"/>
  <c r="BT731" i="1"/>
  <c r="BT732" i="1"/>
  <c r="BF733" i="1"/>
  <c r="BT733" i="1"/>
  <c r="BF734" i="1"/>
  <c r="BT734" i="1"/>
  <c r="BF735" i="1"/>
  <c r="BT735" i="1"/>
  <c r="BF736" i="1"/>
  <c r="BT736" i="1"/>
  <c r="BF737" i="1"/>
  <c r="BT737" i="1"/>
  <c r="BF738" i="1"/>
  <c r="BT738" i="1"/>
  <c r="BF739" i="1"/>
  <c r="BT739" i="1"/>
  <c r="BF740" i="1"/>
  <c r="BT740" i="1"/>
  <c r="BF741" i="1"/>
  <c r="BT741" i="1"/>
  <c r="BF742" i="1"/>
  <c r="BT742" i="1"/>
  <c r="BF743" i="1"/>
  <c r="BT743" i="1"/>
  <c r="BF744" i="1"/>
  <c r="BT744" i="1"/>
  <c r="BF745" i="1"/>
  <c r="BT745" i="1"/>
  <c r="BF746" i="1"/>
  <c r="BT746" i="1"/>
  <c r="BF747" i="1"/>
  <c r="BT747" i="1"/>
  <c r="BF748" i="1"/>
  <c r="BT748" i="1"/>
  <c r="BF749" i="1"/>
  <c r="BT749" i="1"/>
  <c r="BF750" i="1"/>
  <c r="BT750" i="1"/>
  <c r="BF751" i="1"/>
  <c r="BT751" i="1"/>
  <c r="BF752" i="1"/>
  <c r="BT752" i="1"/>
  <c r="BF753" i="1"/>
  <c r="BT753" i="1"/>
  <c r="BF754" i="1"/>
  <c r="BT754" i="1"/>
  <c r="BF755" i="1"/>
  <c r="BT755" i="1"/>
  <c r="BF756" i="1"/>
  <c r="BT756" i="1"/>
  <c r="BT757" i="1"/>
  <c r="BF758" i="1"/>
  <c r="BT758" i="1"/>
  <c r="BF759" i="1"/>
  <c r="BT759" i="1"/>
  <c r="BF760" i="1"/>
  <c r="BT760" i="1"/>
  <c r="BF761" i="1"/>
  <c r="BT761" i="1"/>
  <c r="BF762" i="1"/>
  <c r="BT762" i="1"/>
  <c r="BF763" i="1"/>
  <c r="BT763" i="1"/>
  <c r="BF764" i="1"/>
  <c r="BT764" i="1"/>
  <c r="BF765" i="1"/>
  <c r="BT765" i="1"/>
  <c r="BF766" i="1"/>
  <c r="BT766" i="1"/>
  <c r="BF767" i="1"/>
  <c r="BT767" i="1"/>
  <c r="BF768" i="1"/>
  <c r="BT768" i="1"/>
  <c r="BF769" i="1"/>
  <c r="BT769" i="1"/>
  <c r="BF770" i="1"/>
  <c r="BT770" i="1"/>
  <c r="BF771" i="1"/>
  <c r="BT771" i="1"/>
  <c r="BF772" i="1"/>
  <c r="BT772" i="1"/>
  <c r="BF773" i="1"/>
  <c r="BT773" i="1"/>
  <c r="BF774" i="1"/>
  <c r="BT774" i="1"/>
  <c r="BF775" i="1"/>
  <c r="BT775" i="1"/>
  <c r="BF776" i="1"/>
  <c r="BT776" i="1"/>
  <c r="BF777" i="1"/>
  <c r="BT777" i="1"/>
  <c r="BF778" i="1"/>
  <c r="BT778" i="1"/>
  <c r="BF779" i="1"/>
  <c r="BT779" i="1"/>
  <c r="BF780" i="1"/>
  <c r="BT780" i="1"/>
  <c r="BF781" i="1"/>
  <c r="BT781" i="1"/>
  <c r="BF782" i="1"/>
  <c r="BT782" i="1"/>
  <c r="BF783" i="1"/>
  <c r="BT783" i="1"/>
  <c r="BF784" i="1"/>
  <c r="BT784" i="1"/>
  <c r="BF785" i="1"/>
  <c r="BT785" i="1"/>
  <c r="BF786" i="1"/>
  <c r="BT786" i="1"/>
  <c r="BF787" i="1"/>
  <c r="BT787" i="1"/>
  <c r="BF788" i="1"/>
  <c r="BT788" i="1"/>
  <c r="BF789" i="1"/>
  <c r="BT789" i="1"/>
  <c r="BF790" i="1"/>
  <c r="BT790" i="1"/>
  <c r="BF791" i="1"/>
  <c r="BT791" i="1"/>
  <c r="BF792" i="1"/>
  <c r="BT792" i="1"/>
  <c r="BF793" i="1"/>
  <c r="BT793" i="1"/>
  <c r="BF794" i="1"/>
  <c r="BT794" i="1"/>
  <c r="BF795" i="1"/>
  <c r="BT795" i="1"/>
  <c r="BF796" i="1"/>
  <c r="BT796" i="1"/>
  <c r="BF797" i="1"/>
  <c r="BT797" i="1"/>
  <c r="BF798" i="1"/>
  <c r="BT798" i="1"/>
  <c r="BF799" i="1"/>
  <c r="BT799" i="1"/>
  <c r="BF800" i="1"/>
  <c r="BT800" i="1"/>
  <c r="BF801" i="1"/>
  <c r="BT801" i="1"/>
  <c r="BT802" i="1"/>
  <c r="BF803" i="1"/>
  <c r="BT803" i="1"/>
  <c r="BF804" i="1"/>
  <c r="BT804" i="1"/>
  <c r="BF805" i="1"/>
  <c r="BT805" i="1"/>
  <c r="BF806" i="1"/>
  <c r="BT806" i="1"/>
  <c r="BF807" i="1"/>
  <c r="BT807" i="1"/>
  <c r="BF808" i="1"/>
  <c r="BT808" i="1"/>
  <c r="BF809" i="1"/>
  <c r="BT809" i="1"/>
  <c r="BF810" i="1"/>
  <c r="BT810" i="1"/>
  <c r="BF811" i="1"/>
  <c r="BT811" i="1"/>
  <c r="BF812" i="1"/>
  <c r="BT812" i="1"/>
  <c r="BF813" i="1"/>
  <c r="BT813" i="1"/>
  <c r="BF814" i="1"/>
  <c r="BT814" i="1"/>
  <c r="BF815" i="1"/>
  <c r="BT815" i="1"/>
  <c r="BF816" i="1"/>
  <c r="BT816" i="1"/>
  <c r="BF817" i="1"/>
  <c r="BT817" i="1"/>
  <c r="BF818" i="1"/>
  <c r="BT818" i="1"/>
  <c r="BF819" i="1"/>
  <c r="BT819" i="1"/>
  <c r="BF820" i="1"/>
  <c r="BT820" i="1"/>
  <c r="BF821" i="1"/>
  <c r="BT821" i="1"/>
  <c r="BF822" i="1"/>
  <c r="BT822" i="1"/>
  <c r="BF823" i="1"/>
  <c r="BT823" i="1"/>
  <c r="BF824" i="1"/>
  <c r="BT824" i="1"/>
  <c r="BF825" i="1"/>
  <c r="BT825" i="1"/>
  <c r="BF826" i="1"/>
  <c r="BT826" i="1"/>
  <c r="BF827" i="1"/>
  <c r="BT827" i="1"/>
  <c r="BF828" i="1"/>
  <c r="BT828" i="1"/>
  <c r="BF829" i="1"/>
  <c r="BT829" i="1"/>
  <c r="BF830" i="1"/>
  <c r="BT830" i="1"/>
  <c r="BF831" i="1"/>
  <c r="BT831" i="1"/>
  <c r="BT832" i="1"/>
  <c r="BF833" i="1"/>
  <c r="BT833" i="1"/>
  <c r="BF834" i="1"/>
  <c r="BT834" i="1"/>
  <c r="BF835" i="1"/>
  <c r="BT835" i="1"/>
  <c r="BF836" i="1"/>
  <c r="BT836" i="1"/>
  <c r="BF837" i="1"/>
  <c r="BT837" i="1"/>
  <c r="BF838" i="1"/>
  <c r="BT838" i="1"/>
  <c r="BF839" i="1"/>
  <c r="BT839" i="1"/>
  <c r="BF840" i="1"/>
  <c r="BT840" i="1"/>
  <c r="BF841" i="1"/>
  <c r="BT841" i="1"/>
  <c r="BF842" i="1"/>
  <c r="BT842" i="1"/>
  <c r="BF843" i="1"/>
  <c r="BT843" i="1"/>
  <c r="BF844" i="1"/>
  <c r="BT844" i="1"/>
  <c r="BF845" i="1"/>
  <c r="BT845" i="1"/>
  <c r="BF846" i="1"/>
  <c r="BT846" i="1"/>
  <c r="BF847" i="1"/>
  <c r="BT847" i="1"/>
  <c r="BT848" i="1"/>
  <c r="BF849" i="1"/>
  <c r="BT849" i="1"/>
  <c r="BF850" i="1"/>
  <c r="BT850" i="1"/>
  <c r="BF851" i="1"/>
  <c r="BT851" i="1"/>
  <c r="BF852" i="1"/>
  <c r="BT852" i="1"/>
  <c r="BT853" i="1"/>
  <c r="BF854" i="1"/>
  <c r="BT854" i="1"/>
  <c r="BF855" i="1"/>
  <c r="BT855" i="1"/>
  <c r="BF856" i="1"/>
  <c r="BT856" i="1"/>
  <c r="BF857" i="1"/>
  <c r="BT857" i="1"/>
  <c r="BF858" i="1"/>
  <c r="BT858" i="1"/>
  <c r="BF859" i="1"/>
  <c r="BT859" i="1"/>
  <c r="BT860" i="1"/>
  <c r="BF861" i="1"/>
  <c r="BT861" i="1"/>
  <c r="BF862" i="1"/>
  <c r="BT862" i="1"/>
  <c r="BF863" i="1"/>
  <c r="BT863" i="1"/>
  <c r="BF864" i="1"/>
  <c r="BT864" i="1"/>
  <c r="BF865" i="1"/>
  <c r="BT865" i="1"/>
  <c r="BF866" i="1"/>
  <c r="BT866" i="1"/>
  <c r="BF867" i="1"/>
  <c r="BT867" i="1"/>
  <c r="BF868" i="1"/>
  <c r="BT868" i="1"/>
  <c r="BF869" i="1"/>
  <c r="BT869" i="1"/>
  <c r="BF870" i="1"/>
  <c r="BT870" i="1"/>
  <c r="BF871" i="1"/>
  <c r="BT871" i="1"/>
  <c r="BF872" i="1"/>
  <c r="BT872" i="1"/>
  <c r="BF873" i="1"/>
  <c r="BT873" i="1"/>
  <c r="BF874" i="1"/>
  <c r="BT874" i="1"/>
  <c r="BF875" i="1"/>
  <c r="BT875" i="1"/>
  <c r="BF876" i="1"/>
  <c r="BT876" i="1"/>
  <c r="BF877" i="1"/>
  <c r="BT877" i="1"/>
  <c r="BF878" i="1"/>
  <c r="BT878" i="1"/>
  <c r="BF879" i="1"/>
  <c r="BT879" i="1"/>
  <c r="BF880" i="1"/>
  <c r="BT880" i="1"/>
  <c r="BF881" i="1"/>
  <c r="BT881" i="1"/>
  <c r="BF882" i="1"/>
  <c r="BT882" i="1"/>
  <c r="BF883" i="1"/>
  <c r="BT883" i="1"/>
  <c r="BF884" i="1"/>
  <c r="BT884" i="1"/>
  <c r="BF885" i="1"/>
  <c r="BT885" i="1"/>
  <c r="BF886" i="1"/>
  <c r="BT886" i="1"/>
  <c r="BF887" i="1"/>
  <c r="BT887" i="1"/>
  <c r="BF888" i="1"/>
  <c r="BT888" i="1"/>
  <c r="BT889" i="1"/>
  <c r="BF890" i="1"/>
  <c r="BT890" i="1"/>
  <c r="BF891" i="1"/>
  <c r="BT891" i="1"/>
  <c r="BF892" i="1"/>
  <c r="BT892" i="1"/>
  <c r="BF893" i="1"/>
  <c r="BT893" i="1"/>
  <c r="BF894" i="1"/>
  <c r="BT894" i="1"/>
  <c r="BF895" i="1"/>
  <c r="BT895" i="1"/>
  <c r="BF896" i="1"/>
  <c r="BT896" i="1"/>
  <c r="BF897" i="1"/>
  <c r="BT897" i="1"/>
  <c r="BF898" i="1"/>
  <c r="BT898" i="1"/>
  <c r="BF899" i="1"/>
  <c r="BT899" i="1"/>
  <c r="BF900" i="1"/>
  <c r="BT900" i="1"/>
  <c r="BF901" i="1"/>
  <c r="BT901" i="1"/>
  <c r="BF902" i="1"/>
  <c r="BT902" i="1"/>
  <c r="BF903" i="1"/>
  <c r="BT903" i="1"/>
  <c r="BF904" i="1"/>
  <c r="BT904" i="1"/>
  <c r="BF905" i="1"/>
  <c r="BT905" i="1"/>
  <c r="BF906" i="1"/>
  <c r="BT906" i="1"/>
  <c r="BF907" i="1"/>
  <c r="BT907" i="1"/>
  <c r="BF908" i="1"/>
  <c r="BT908" i="1"/>
  <c r="BF909" i="1"/>
  <c r="BT909" i="1"/>
  <c r="BF910" i="1"/>
  <c r="BT910" i="1"/>
  <c r="BF911" i="1"/>
  <c r="BT911" i="1"/>
  <c r="BF912" i="1"/>
  <c r="BT912" i="1"/>
  <c r="BF913" i="1"/>
  <c r="BT913" i="1"/>
  <c r="BF914" i="1"/>
  <c r="BT914" i="1"/>
  <c r="BF915" i="1"/>
  <c r="BT915" i="1"/>
  <c r="BF916" i="1"/>
  <c r="BT916" i="1"/>
  <c r="BF917" i="1"/>
  <c r="BT917" i="1"/>
  <c r="BF918" i="1"/>
  <c r="BT918" i="1"/>
  <c r="BF919" i="1"/>
  <c r="BT919" i="1"/>
  <c r="BF920" i="1"/>
  <c r="BT920" i="1"/>
  <c r="BF921" i="1"/>
  <c r="BT921" i="1"/>
  <c r="BF922" i="1"/>
  <c r="BT922" i="1"/>
  <c r="BF923" i="1"/>
  <c r="BT923" i="1"/>
  <c r="BF924" i="1"/>
  <c r="BT924" i="1"/>
  <c r="BF925" i="1"/>
  <c r="BT925" i="1"/>
  <c r="BT926" i="1"/>
  <c r="BF927" i="1"/>
  <c r="BT927" i="1"/>
  <c r="BF928" i="1"/>
  <c r="BT928" i="1"/>
  <c r="BF929" i="1"/>
  <c r="BT929" i="1"/>
  <c r="BF930" i="1"/>
  <c r="BT930" i="1"/>
  <c r="BF931" i="1"/>
  <c r="BT931" i="1"/>
  <c r="BF932" i="1"/>
  <c r="BT932" i="1"/>
  <c r="BF933" i="1"/>
  <c r="BT933" i="1"/>
  <c r="BF934" i="1"/>
  <c r="BT934" i="1"/>
  <c r="BT935" i="1"/>
  <c r="BF936" i="1"/>
  <c r="BT936" i="1"/>
  <c r="BF937" i="1"/>
  <c r="BT937" i="1"/>
  <c r="BF938" i="1"/>
  <c r="BT938" i="1"/>
  <c r="BF939" i="1"/>
  <c r="BT939" i="1"/>
  <c r="BF940" i="1"/>
  <c r="BT940" i="1"/>
  <c r="BF941" i="1"/>
  <c r="BT941" i="1"/>
  <c r="BF942" i="1"/>
  <c r="BT942" i="1"/>
  <c r="BF943" i="1"/>
  <c r="BT943" i="1"/>
  <c r="BF944" i="1"/>
  <c r="BT944" i="1"/>
  <c r="BF945" i="1"/>
  <c r="BT945" i="1"/>
  <c r="BF946" i="1"/>
  <c r="BT946" i="1"/>
  <c r="BF947" i="1"/>
  <c r="BT947" i="1"/>
  <c r="BF948" i="1"/>
  <c r="BT948" i="1"/>
  <c r="BF949" i="1"/>
  <c r="BT949" i="1"/>
  <c r="BF950" i="1"/>
  <c r="BT950" i="1"/>
  <c r="BF951" i="1"/>
  <c r="BT951" i="1"/>
  <c r="BF952" i="1"/>
  <c r="BT952" i="1"/>
  <c r="BF953" i="1"/>
  <c r="BT953" i="1"/>
  <c r="BF954" i="1"/>
  <c r="BT954" i="1"/>
  <c r="BF955" i="1"/>
  <c r="BT955" i="1"/>
  <c r="BF956" i="1"/>
  <c r="BT956" i="1"/>
  <c r="BF957" i="1"/>
  <c r="BT957" i="1"/>
  <c r="BF958" i="1"/>
  <c r="BT958" i="1"/>
  <c r="BF959" i="1"/>
  <c r="BT959" i="1"/>
  <c r="BF960" i="1"/>
  <c r="BT960" i="1"/>
  <c r="BF961" i="1"/>
  <c r="BT961" i="1"/>
  <c r="BF962" i="1"/>
  <c r="BT962" i="1"/>
  <c r="BF963" i="1"/>
  <c r="BT963" i="1"/>
  <c r="BF964" i="1"/>
  <c r="BT964" i="1"/>
  <c r="BF965" i="1"/>
  <c r="BT965" i="1"/>
  <c r="BF966" i="1"/>
  <c r="BT966" i="1"/>
  <c r="BF967" i="1"/>
  <c r="BT967" i="1"/>
  <c r="BF968" i="1"/>
  <c r="BT968" i="1"/>
  <c r="BF969" i="1"/>
  <c r="BT969" i="1"/>
  <c r="BF970" i="1"/>
  <c r="BT970" i="1"/>
  <c r="BF971" i="1"/>
  <c r="BT971" i="1"/>
  <c r="BF972" i="1"/>
  <c r="BT972" i="1"/>
  <c r="BF973" i="1"/>
  <c r="BT973" i="1"/>
  <c r="BF974" i="1"/>
  <c r="BT974" i="1"/>
  <c r="BF975" i="1"/>
  <c r="BT975" i="1"/>
  <c r="BF976" i="1"/>
  <c r="BT976" i="1"/>
  <c r="BF977" i="1"/>
  <c r="BT977" i="1"/>
  <c r="BF978" i="1"/>
  <c r="BT978" i="1"/>
  <c r="BF979" i="1"/>
  <c r="BT979" i="1"/>
  <c r="BF980" i="1"/>
  <c r="BT980" i="1"/>
  <c r="BF981" i="1"/>
  <c r="BT981" i="1"/>
  <c r="BF982" i="1"/>
  <c r="BT982" i="1"/>
  <c r="BF983" i="1"/>
  <c r="BT983" i="1"/>
  <c r="BF984" i="1"/>
  <c r="BT984" i="1"/>
  <c r="BF985" i="1"/>
  <c r="BT985" i="1"/>
  <c r="BT986" i="1"/>
  <c r="BT987" i="1"/>
  <c r="BF988" i="1"/>
  <c r="BT988" i="1"/>
  <c r="BF989" i="1"/>
  <c r="BT989" i="1"/>
  <c r="BF990" i="1"/>
  <c r="BT990" i="1"/>
  <c r="BF991" i="1"/>
  <c r="BT991" i="1"/>
  <c r="BF992" i="1"/>
  <c r="BT992" i="1"/>
  <c r="BF993" i="1"/>
  <c r="BT993" i="1"/>
  <c r="BF994" i="1"/>
  <c r="BT994" i="1"/>
  <c r="BF995" i="1"/>
  <c r="BT995" i="1"/>
  <c r="BF996" i="1"/>
  <c r="BT996" i="1"/>
  <c r="BF997" i="1"/>
  <c r="BT997" i="1"/>
  <c r="BF998" i="1"/>
  <c r="BT998" i="1"/>
  <c r="BF999" i="1"/>
  <c r="BT999" i="1"/>
  <c r="BF1000" i="1"/>
  <c r="BT1000" i="1"/>
  <c r="BF1001" i="1"/>
  <c r="BT1001" i="1"/>
</calcChain>
</file>

<file path=xl/sharedStrings.xml><?xml version="1.0" encoding="utf-8"?>
<sst xmlns="http://schemas.openxmlformats.org/spreadsheetml/2006/main" count="59993" uniqueCount="18835">
  <si>
    <t>Publication Type</t>
  </si>
  <si>
    <t>Authors</t>
  </si>
  <si>
    <t>Book Authors</t>
  </si>
  <si>
    <t>Book Editors</t>
  </si>
  <si>
    <t>Book Group Authors</t>
  </si>
  <si>
    <t>Author Full Names</t>
  </si>
  <si>
    <t>Book Author Full Names</t>
  </si>
  <si>
    <t>Group Authors</t>
  </si>
  <si>
    <t>Article Title</t>
  </si>
  <si>
    <t>Source Title</t>
  </si>
  <si>
    <t>Book Series Title</t>
  </si>
  <si>
    <t>Book Series Subtitle</t>
  </si>
  <si>
    <t>Language</t>
  </si>
  <si>
    <t>Document Type</t>
  </si>
  <si>
    <t>Conference Title</t>
  </si>
  <si>
    <t>Conference Date</t>
  </si>
  <si>
    <t>Conference Location</t>
  </si>
  <si>
    <t>Conference Sponsor</t>
  </si>
  <si>
    <t>Conference Host</t>
  </si>
  <si>
    <t>Author Keywords</t>
  </si>
  <si>
    <t>Keywords Plus</t>
  </si>
  <si>
    <t>Abstract</t>
  </si>
  <si>
    <t>Addresses</t>
  </si>
  <si>
    <t>Affiliations</t>
  </si>
  <si>
    <t>Reprint Addresses</t>
  </si>
  <si>
    <t>Email Addresses</t>
  </si>
  <si>
    <t>Researcher Ids</t>
  </si>
  <si>
    <t>ORCIDs</t>
  </si>
  <si>
    <t>Funding Orgs</t>
  </si>
  <si>
    <t>Funding Name Preferred</t>
  </si>
  <si>
    <t>Funding Text</t>
  </si>
  <si>
    <t>Cited References</t>
  </si>
  <si>
    <t>Cited Reference Count</t>
  </si>
  <si>
    <t>Times Cited, WoS Core</t>
  </si>
  <si>
    <t>Times Cited, All Databases</t>
  </si>
  <si>
    <t>180 Day Usage Count</t>
  </si>
  <si>
    <t>Since 2013 Usage Count</t>
  </si>
  <si>
    <t>Publisher</t>
  </si>
  <si>
    <t>Publisher City</t>
  </si>
  <si>
    <t>Publisher Address</t>
  </si>
  <si>
    <t>ISSN</t>
  </si>
  <si>
    <t>eISSN</t>
  </si>
  <si>
    <t>ISBN</t>
  </si>
  <si>
    <t>Journal Abbreviation</t>
  </si>
  <si>
    <t>Journal ISO Abbreviation</t>
  </si>
  <si>
    <t>Publication Date</t>
  </si>
  <si>
    <t>Publication Year</t>
  </si>
  <si>
    <t>Volume</t>
  </si>
  <si>
    <t>Issue</t>
  </si>
  <si>
    <t>Part Number</t>
  </si>
  <si>
    <t>Supplement</t>
  </si>
  <si>
    <t>Special Issue</t>
  </si>
  <si>
    <t>Meeting Abstract</t>
  </si>
  <si>
    <t>Start Page</t>
  </si>
  <si>
    <t>End Page</t>
  </si>
  <si>
    <t>Article Number</t>
  </si>
  <si>
    <t>DOI</t>
  </si>
  <si>
    <t>DOI Link</t>
  </si>
  <si>
    <t>Book DOI</t>
  </si>
  <si>
    <t>Early Access Date</t>
  </si>
  <si>
    <t>Number of Pages</t>
  </si>
  <si>
    <t>WoS Categories</t>
  </si>
  <si>
    <t>Web of Science Index</t>
  </si>
  <si>
    <t>Research Areas</t>
  </si>
  <si>
    <t>IDS Number</t>
  </si>
  <si>
    <t>Pubmed Id</t>
  </si>
  <si>
    <t>Open Access Designations</t>
  </si>
  <si>
    <t>Highly Cited Status</t>
  </si>
  <si>
    <t>Hot Paper Status</t>
  </si>
  <si>
    <t>Date of Export</t>
  </si>
  <si>
    <t>UT (Unique WOS ID)</t>
  </si>
  <si>
    <t>Web of Science Record</t>
  </si>
  <si>
    <t>J</t>
  </si>
  <si>
    <t>Svubure, O; Struik, PC; Haverkort, AJ; Steyn, JM</t>
  </si>
  <si>
    <t/>
  </si>
  <si>
    <t>Svubure, O.; Struik, P. C.; Haverkort, A. J.; Steyn, J. M.</t>
  </si>
  <si>
    <t>Carbon footprinting of potato (Solanum tuberosum L.) production systems in Zimbabwe</t>
  </si>
  <si>
    <t>OUTLOOK ON AGRICULTURE</t>
  </si>
  <si>
    <t>English</t>
  </si>
  <si>
    <t>Article</t>
  </si>
  <si>
    <t>Greenhouse gas emission; benchmarking; climate change mitigation; Cool Farm Tool-Potato</t>
  </si>
  <si>
    <t>GREENHOUSE-GAS MITIGATION; NITROUS-OXIDE EMISSIONS; YIELD GAPS; FOOD SECURITY; AGRICULTURE; INTENSIFICATION; CROP; SOIL</t>
  </si>
  <si>
    <t>Agriculture contributes significantly to the global greenhouse gas (GHG) emissions. Farmers need to fine-tune agricultural practices to balance the trade-offs between increasing productivity in order to feed a growing population and lowering GHG emissions to mitigate climate change and its impact on agriculture. We conducted a survey on the major cultural practices in four potato production systems in Zimbabwe, namely large-scale commercial, communal area, A1 and A2 resettlement production systems. The resettlement production systems were formed from the radical Fast Track Land Reform Programme initiated in 2000, which changed the landscape of commercial agriculture in Zimbabwe. We used survey data as an input into the 'Cool Farm Tool - Potato' model. The model calculates the contributions of various production operations to total GHG emission. Experienced growers were targeted. The average carbon footprint calculated was 251 kg CO2 eq./t potato harvested, ranging from 216 kg CO2 eq./t to 286 kg CO2 eq./t in the communal area and A2 resettlement production systems, respectively. The major drivers of the GHG emissions were fertilizer production and soil-related field emissions, which together accounted for on average 56% of the total emissions across all production systems. Although mitigation options were not assessed, the model outputs the factors/farm operations and their respective emission estimates allowing growers to choose the inputs and operations to reduce their carbon footprint. Opportunities for benchmarking as an incentive to improve performance exist given the large variation in GHG emission between individual growers.</t>
  </si>
  <si>
    <t>[Svubure, O.] Chinhoyi Univ Technol, Dept Irrigat &amp; Water Engn, Chinhoyi, Zimbabwe; [Svubure, O.; Struik, P. C.] Wageningen Univ &amp; Res Ctr, Ctr Crop Syst Anal, Wageningen, Netherlands; [Haverkort, A. J.] Wageningen Univ &amp; Res Ctr, Plant Res Int, Wageningen, Netherlands; [Haverkort, A. J.; Steyn, J. M.] Univ Pretoria, Dept Plant Prod &amp; Soil Sci, Pretoria, South Africa</t>
  </si>
  <si>
    <t>Wageningen University &amp; Research; Wageningen University &amp; Research; University of Pretoria</t>
  </si>
  <si>
    <t>Svubure, O (corresponding author), Chinhoyi Univ Technol, Dept Irrigat &amp; Water Engn, Chinhoyi, Zimbabwe.;Svubure, O (corresponding author), Wageningen Univ &amp; Res Ctr, Ctr Crop Syst Anal, Wageningen, Netherlands.</t>
  </si>
  <si>
    <t>oniwardsvubure@gmail.com</t>
  </si>
  <si>
    <t>Steyn, Martin/AAA-3827-2019; Steyn, Joachim/AAA-3827-2019; Struik, Paul/OIS-3262-2025</t>
  </si>
  <si>
    <t>Steyn, Martin/0000-0002-9959-3234;</t>
  </si>
  <si>
    <t>Wageningen University and Research Centre Sandwich PhD programme of the Netherlands [318330]; Chinhoyi University of Technology, Zimbabwe [RB2240]</t>
  </si>
  <si>
    <t>Wageningen University and Research Centre Sandwich PhD programme of the Netherlands; Chinhoyi University of Technology, Zimbabwe</t>
  </si>
  <si>
    <t>The author(s) disclosed receipt of the following financial support for the research, authorship, and/or publication of this article: This research was supported by the Wageningen University and Research Centre Sandwich PhD programme of the Netherlands (grant number: 318330), and the Chinhoyi University of Technology, Zimbabwe (grant number: RB2240) for field data collection in Zimbabwe.</t>
  </si>
  <si>
    <t>SAGE PUBLICATIONS LTD</t>
  </si>
  <si>
    <t>LONDON</t>
  </si>
  <si>
    <t>1 OLIVERS YARD, 55 CITY ROAD, LONDON EC1Y 1SP, ENGLAND</t>
  </si>
  <si>
    <t>0030-7270</t>
  </si>
  <si>
    <t>2043-6866</t>
  </si>
  <si>
    <t>OUTLOOK AGR</t>
  </si>
  <si>
    <t>Outlook Agric.</t>
  </si>
  <si>
    <t>MAR</t>
  </si>
  <si>
    <t>10.1177/0030727018757546</t>
  </si>
  <si>
    <t>Agriculture, Multidisciplinary</t>
  </si>
  <si>
    <t>Science Citation Index Expanded (SCI-EXPANDED)</t>
  </si>
  <si>
    <t>Agriculture</t>
  </si>
  <si>
    <t>GC6ML</t>
  </si>
  <si>
    <t>Green Submitted, Bronze</t>
  </si>
  <si>
    <t>2025-12-14</t>
  </si>
  <si>
    <t>WOS:000429905900001</t>
  </si>
  <si>
    <t>Ellis, EA; Montero, SA; Gómez, IUH; Montero, JAR; Ellis, PW; Rodríguez-Ward, D; Reyes, PB; Putz, FE</t>
  </si>
  <si>
    <t>Ellis, Edward A.; Armenta Montero, Samaria; Hernandez Gomez, Irving Uriel; Romero Montero, Jose Arturo; Ellis, Peter W.; Rodriguez-Ward, Dawn; Blanco Reyes, Pascual; Putz, Francis E.</t>
  </si>
  <si>
    <t>Reduced-impact logging practices reduce forest disturbance and carbon emissions in community managed forests on the Yucatan Peninsula, Mexico</t>
  </si>
  <si>
    <t>FOREST ECOLOGY AND MANAGEMENT</t>
  </si>
  <si>
    <t>Selective logging; Tropical forest; Carbon emissions; Logging damage</t>
  </si>
  <si>
    <t>SWIETENIA-MACROPHYLLA KING; TROPICAL FOREST; QUINTANA-ROO; EAST KALIMANTAN; PROTECTED AREAS; BIOMASS; CERTIFICATION; CONSERVATION; RECOVERY; STOCKS</t>
  </si>
  <si>
    <t>On the Yucatan Peninsula in Mexico, communities (ejidos) that selectively log their forests help reduce deforestation and are an important source of timber for national and international markets. If carried out without proper planning and reduced-impact logging (RIL) practices, forest disturbances and carbon emissions from these harvests can be substantial. To assess variation in logging-induced emissions and to estimate potential reductions in those emissions, we estimated carbon impacts from damage to trees &gt; 5 cm DBH in the annual cutting areas of ten forest-managing ejidos. Baselines were developed for emissions from felling, skidding and transport of timber and then ejidos were compared with respect to whether they were Forest Stewardship Council (FSC) certified, size of annual cutting area, logging intensity, and implementation of RIL practices, particularly directional felling, skid trail planning, and the use of small modified agricultural tractors instead of large forestry skidders. The carbon impacts of enrichment planting in multiple-tree felling gaps (400-1800 m(2)) were also evaluated. Carbon emissions from selective logging averaged 1.52 Mg m(-3) but ranged 1.19-2.55 Mg m(-3) among the 10 ejidos. Most emissions were from the remnants of trees felled for their timber (73%), followed by skidding (11%), transport infrastructure (i.e. logging roads and landings; 8%), and collateral damage from felling (7%). Our analyses indicate that FSC certification was not associated with any difference in carbon emissions from selective logging but that employment of RIL practices resulted in fewer damaged trees and lower carbon emissions even in ejidos with high logging intensities. Use of modified agricultural tractors for log yarding (i.e., skidding) reduced C emissions by 0.15 Mg m(-3) or 5 Mg km(-1) of skid trail. Greater collateral damage was found in multiple felling gaps but the increased emissions were offset by reductions in the remnants of harvest trees. Adoption of RIL-C practices by all community forestry ejidos in the region would contribute substantially to the Mexican forest sector's efforts to mitigate climate change.</t>
  </si>
  <si>
    <t>[Ellis, Edward A.; Armenta Montero, Samaria] Univ Veracruzana, Ctr Invest Trop, Xalapa 91000, Veracruz, Mexico; [Hernandez Gomez, Irving Uriel] Univ Veracruzana, Fac Ciencias Agr, Xalapa 91000, Veracruz, Mexico; [Romero Montero, Jose Arturo] Equilibrio Conservac &amp; Desarrollo AC ECODES, Xalapa 91158, Veracruz, Mexico; [Ellis, Peter W.] Nature Conservancy, 4245 North Fairfax Dr,Suite 100, Arlington, VA 22203 USA; [Rodriguez-Ward, Dawn] Univ Intercultural Maya Quintana Roo, Jose Maria Morelos 77870, Quintana Roo, Mexico; [Blanco Reyes, Pascual] Ejido Noh Bec, Noh Bec 77190, Quintana Roo, Mexico; [Putz, Francis E.] Univ Florida, Dept Biol, Gainesville, FL 32611 USA</t>
  </si>
  <si>
    <t>Universidad Veracruzana; Universidad Veracruzana; Nature Conservancy; State University System of Florida; University of Florida</t>
  </si>
  <si>
    <t>Ellis, EA (corresponding author), Univ Veracruzana, Ctr Invest Trop, Xalapa 91000, Veracruz, Mexico.</t>
  </si>
  <si>
    <t>eellis@uv.mx</t>
  </si>
  <si>
    <t>Armenta Montero, Samaria/0000-0001-6316-9573; Ellis, Edward A/0000-0001-8972-4846; Ellis, Peter/0000-0001-7933-8298; Roiguez-Ward, Dawn/0000-0003-3268-2168</t>
  </si>
  <si>
    <t>United States Agency for International Development (USAID) [AID-523-A-11-00001]; Nature Conservancy (TNC)</t>
  </si>
  <si>
    <t>United States Agency for International Development (USAID)(United States Agency for International Development (USAID)CGIAR); Nature Conservancy (TNC)</t>
  </si>
  <si>
    <t>Funding for this research was made possible by the United States Agency for International Development (USAID), under the terms of the Cooperation Agreement No. AID-523-A-11-00001 (Proyecto de Reduccion de Emisiones por la Deforestacian y la Degradacion de Bosques de Mexico) implemented by the main awardee The Nature Conservancy (TNC) and its partners (Rainforest Alliance, Woods Hole Research Center and Espacios Naturales y Desarrollo Sustentable). The authors received no financial support for the authorship, and/or publication of this article. We would like to acknowledge Sebastian Proust, TNC Regional Director for the Yucatan Peninsula during the period of the study.</t>
  </si>
  <si>
    <t>ELSEVIER</t>
  </si>
  <si>
    <t>AMSTERDAM</t>
  </si>
  <si>
    <t>RADARWEG 29, 1043 NX AMSTERDAM, NETHERLANDS</t>
  </si>
  <si>
    <t>0378-1127</t>
  </si>
  <si>
    <t>1872-7042</t>
  </si>
  <si>
    <t>FOREST ECOL MANAG</t>
  </si>
  <si>
    <t>For. Ecol. Manage.</t>
  </si>
  <si>
    <t>APR 1</t>
  </si>
  <si>
    <t>10.1016/j.foreco.2019.01.040</t>
  </si>
  <si>
    <t>Forestry</t>
  </si>
  <si>
    <t>HO9GU</t>
  </si>
  <si>
    <t>WOS:000461270600037</t>
  </si>
  <si>
    <t>Chen, MY; Wang, XW; Zhang, ZH</t>
  </si>
  <si>
    <t>Chen, Mingyue; Wang, Xiaowen; Zhang, Zhenhua</t>
  </si>
  <si>
    <t>How can the digital economy reduce carbon emissions? Empirical evidence from China</t>
  </si>
  <si>
    <t>PLOS ONE</t>
  </si>
  <si>
    <t>CO2 EMISSIONS; URBAN FORM; DETERMINANTS; CONTRIBUTE; DRIVERS; IMPACT; GROWTH; RIVER</t>
  </si>
  <si>
    <t>China is transitioning into the digital economy era. The advancement of the digital economy could offer a fresh mechanism to attain carbon peak and carbon neutrality objectives. Applications of the digital economy, such as smart energy management, intelligent transport systems, and digital agricultural technologies, have significantly reduced carbon emissions by optimizing resource use, reducing energy waste, and improving production efficiency. This research does so by devising a theoretical model that looks into the multi-faceted power of the digital economy under a two-sector paradigm. Utilising a panel model, a mediation effect model and a spatial Durbin model to assess the digital economy's power on carbon emissions. This research has determined that the digital economy can significantly diminish carbon emissions, with green tech innovations and industrial transformation being key contributors. The spatial spillover effect was used for the digital economy to aid in lowering carbon emissions in adjacent districts and upgrading better environmental stewardship. The influence of the digital economy has better performance in lowering carbon emissions in mid-western China than in the eastern area. This paper deepens understanding of the drivers of low-carbon growth and the significance, mechanism and regional disparities of the digital economy's effect on reducing carbon emissions. It offers valuable policy insights and guidance for globally achieving digital economy growth, reducing carbon emissions and reaching carbon peak and neutrality goals.</t>
  </si>
  <si>
    <t>[Chen, Mingyue; Wang, Xiaowen; Zhang, Zhenhua] Lanzhou Univ, Sch Econ, Lanzhou, Gansu, Peoples R China</t>
  </si>
  <si>
    <t>Lanzhou University</t>
  </si>
  <si>
    <t>Wang, XW (corresponding author), Lanzhou Univ, Sch Econ, Lanzhou, Gansu, Peoples R China.</t>
  </si>
  <si>
    <t>wxwen@lzu.edu.cn</t>
  </si>
  <si>
    <t>; Zhang, Zhenhua/AAQ-8317-2020</t>
  </si>
  <si>
    <t>Zhang, Zhenhua/0000-0002-6629-393X;</t>
  </si>
  <si>
    <t>Study on the construction of Hexi Corridor Economic belt [2022ZD009]</t>
  </si>
  <si>
    <t>Study on the construction of Hexi Corridor Economic belt</t>
  </si>
  <si>
    <t>Study on the construction of Hexi Corridor Economic belt (2022ZD009) The funders had no role in study design, data collection and analysis, decision to publish, or preparation of the manuscript.</t>
  </si>
  <si>
    <t>PUBLIC LIBRARY SCIENCE</t>
  </si>
  <si>
    <t>SAN FRANCISCO</t>
  </si>
  <si>
    <t>1160 BATTERY STREET, STE 100, SAN FRANCISCO, CA 94111 USA</t>
  </si>
  <si>
    <t>1932-6203</t>
  </si>
  <si>
    <t>PLoS One</t>
  </si>
  <si>
    <t>JUN 25</t>
  </si>
  <si>
    <t>e0303582</t>
  </si>
  <si>
    <t>10.1371/journal.pone.0303582</t>
  </si>
  <si>
    <t>Multidisciplinary Sciences</t>
  </si>
  <si>
    <t>Science &amp; Technology - Other Topics</t>
  </si>
  <si>
    <t>WF7A6</t>
  </si>
  <si>
    <t>Green Submitted, gold</t>
  </si>
  <si>
    <t>WOS:001253508900085</t>
  </si>
  <si>
    <t>Burke, PJ; Shahiduzzaman, M; Stern, DI</t>
  </si>
  <si>
    <t>Burke, Paul J.; Shahiduzzaman, Md; Stern, David I.</t>
  </si>
  <si>
    <t>Carbon dioxide emissions in the short run: The rate and sources of economic growth matter</t>
  </si>
  <si>
    <t>GLOBAL ENVIRONMENTAL CHANGE-HUMAN AND POLICY DIMENSIONS</t>
  </si>
  <si>
    <t>Economic growth; Emissions; Pollution; Business cycle; Asymmetry; Sector</t>
  </si>
  <si>
    <t>KUZNETS CURVE; ENERGY-CONSUMPTION; POLICY; INCOME; LADDER; EKC</t>
  </si>
  <si>
    <t>This paper investigates the short-run effects of economic growth on carbon dioxide emissions from the combustion of fossil fuels and the manufacture of cement for 189 countries over the period 1961-2010. Contrary to what has previously been reported, we conclude that there is no strong evidence that the emissions-income elasticity is larger during individual years of economic expansion as compared to recession. Significant evidence of asymmetry emerges when effects over longer periods are considered. We find that economic growth tends to increase emissions not only in the same year, but also in subsequent years. Delayed effects - especially noticeable in the road transport sector - mean that emissions tend to grow more quickly after booms and more slowly after recessions. Emissions are more sensitive to fluctuations in industrial value added than agricultural value added, with services being an intermediate case. On the expenditure side, growth in consumption and growth in investment have similar implications for national emissions. External shocks have a relatively large emissions impact, and the short-run emissions-income elasticity does not appear to decline as incomes increase. Economic growth and emissions have been more tightly linked in fossil-fuel rich countries. (C) 2015 Elsevier Ltd. All rights reserved.</t>
  </si>
  <si>
    <t>[Burke, Paul J.] Australian Natl Univ, Crawford Sch Publ Policy, Arndt Corden Dept Econ, 9 Fellows Rd, Acton, ACT 2601, Australia; [Shahiduzzaman, Md] Univ So Queensland, Australian Ctr Sustainable Business &amp; Dev, Toowoomba, Qld 4350, Australia; [Stern, David I.] Australian Natl Univ, Crawford Sch Publ Policy, Acton, ACT 2601, Australia</t>
  </si>
  <si>
    <t>Australian National University; University of Southern Queensland; Australian National University</t>
  </si>
  <si>
    <t>Burke, PJ (corresponding author), Australian Natl Univ, Crawford Sch Publ Policy, Arndt Corden Dept Econ, 9 Fellows Rd, Acton, ACT 2601, Australia.</t>
  </si>
  <si>
    <t>paul.j.burke@anu.edu.au; MD.Shahiduzzaman@usq.edu.au; david.stern@anu.edu.au</t>
  </si>
  <si>
    <t>Stern, David/B-4700-2009; Burke, Paul/G-3757-2010; Shahiduzzaman, Md/JHT-6464-2023</t>
  </si>
  <si>
    <t>Stern, David/0000-0001-6595-4268; Burke, Paul/0000-0003-2715-2672; Shahididuzzaman/0000-0001-5843-351X;</t>
  </si>
  <si>
    <t>ELSEVIER SCI LTD</t>
  </si>
  <si>
    <t>OXFORD</t>
  </si>
  <si>
    <t>THE BOULEVARD, LANGFORD LANE, KIDLINGTON, OXFORD OX5 1GB, OXON, ENGLAND</t>
  </si>
  <si>
    <t>0959-3780</t>
  </si>
  <si>
    <t>1872-9495</t>
  </si>
  <si>
    <t>GLOBAL ENVIRON CHANG</t>
  </si>
  <si>
    <t>Glob. Environ. Change-Human Policy Dimens.</t>
  </si>
  <si>
    <t>JUL</t>
  </si>
  <si>
    <t>10.1016/j.gloenvcha.2015.04.012</t>
  </si>
  <si>
    <t>Environmental Sciences; Environmental Studies; Geography</t>
  </si>
  <si>
    <t>Science Citation Index Expanded (SCI-EXPANDED); Social Science Citation Index (SSCI)</t>
  </si>
  <si>
    <t>Environmental Sciences &amp; Ecology; Geography</t>
  </si>
  <si>
    <t>CM7UV</t>
  </si>
  <si>
    <t>WOS:000357902900010</t>
  </si>
  <si>
    <t>Liu, CJ; Chen, L; Li, ZZ; Wu, DF</t>
  </si>
  <si>
    <t>Liu, Cunjing; Chen, Lei; Li, Zhezhou; Wu, Difan</t>
  </si>
  <si>
    <t>The impact of digital financial inclusion and urbanization on agricultural mechanization: Evidence from counties of China</t>
  </si>
  <si>
    <t>This paper expounds the theoretical logic among digital inclusive finance, urbanization, and agricultural mechanization level, puts forward the research hypothesis, and then selects the county unbalanced panel data of 1309 counties in China from 2014 to 2020 based on the two-way fixed model with standard error clustering to county level and mediating effect model for empirical data regression analysis. Through baseline regression analysis, mediation effect analysis, and heterogeneity analysis, the findings of this paper are as follows. First, digital financial inclusion has a significant positive effect on the growth of agricultural mechanization. Second, digital inclusive finance at the county level can also indirectly affect the growth of agricultural mechanization through urbanization. That is, agricultural mechanization has an intermediary effect between the financial agglomeration at the county level and the growth of farmers' income. Third, the impact of county-level digital financial inclusion on the growth of agricultural mechanization level is significantly heterogeneous, and the promoting effect is significant in areas with balanced grain production, national-level poor county or contiguous areas of dire poverty, and areas with a good foundation for digital financial inclusion. By analyzing digital inclusive finance, urbanization, and agricultural mechanization, this paper proposes targeted policy recommendations. First, the government can promote agricultural mechanization by developing digital financial inclusion. Second, the government should guide and accelerate the process of digital financial inclusion, promoting urbanization thereby amplifying the positive impact of digital financial inclusion on agricultural mechanization. Third, given the heterogeneity of the impact of digital financial inclusion on agricultural mechanization, local development should focus on developing different dimensions of digital financial inclusion according to specific conditions.</t>
  </si>
  <si>
    <t>[Liu, Cunjing] Yanan Univ, Sch Econ &amp; Management, Yanan, Peoples R China; [Chen, Lei] Yanan Univ, Rural Dev Inst, Yanan, Peoples R China; [Li, Zhezhou] Fuzhou Univ Int Studies &amp; Trade, Sch Econ &amp; Management, Fuzhou, Peoples R China; [Wu, Difan] Shibei Power Supply Co, State Grid Shanghai Elect Power Co, Shanghai, Peoples R China</t>
  </si>
  <si>
    <t>Yanan University; Yanan University; State Grid Corporation of China</t>
  </si>
  <si>
    <t>Chen, L (corresponding author), Yanan Univ, Rural Dev Inst, Yanan, Peoples R China.</t>
  </si>
  <si>
    <t>stone0227@foxmail.com</t>
  </si>
  <si>
    <t>Zhezhou, Li/KPA-5214-2024; 李, 折周/KPA-4920-2024</t>
  </si>
  <si>
    <t>李, 折周/0000-0002-8032-1263; CHEN, LEI/0009-0006-2169-5245</t>
  </si>
  <si>
    <t>Deutsche Forschungsgemeinschaft (DFG) [655 122679504 - SFB 874]</t>
  </si>
  <si>
    <t>Deutsche Forschungsgemeinschaft (DFG)(German Research Foundation (DFG))</t>
  </si>
  <si>
    <t>This work was supported by Deutsche Forschungsgemeinschaft (DFG) grants: (grant number Project ID 655 122679504 - SFB 874) awarded to D.J.</t>
  </si>
  <si>
    <t>NOV 2</t>
  </si>
  <si>
    <t>e0293910</t>
  </si>
  <si>
    <t>10.1371/journal.pone.0293910</t>
  </si>
  <si>
    <t>HH5L8</t>
  </si>
  <si>
    <t>WOS:001158614800029</t>
  </si>
  <si>
    <t>Sun, ML; Fu, YH; Sun, MY; Huang, R; Teng, Y</t>
  </si>
  <si>
    <t>Sun, Mulin; Fu, Yuhao; Sun, Mingyao; Huang, Run; Teng, Yun</t>
  </si>
  <si>
    <t>Study on Key Influencing Factors of Carbon Emissions from Farmland Resource Utilization in Northeast China Under the Background of Energy Conservation and Emission Reduction</t>
  </si>
  <si>
    <t>ENERGIES</t>
  </si>
  <si>
    <t>energy conservation and emission reduction; land resources; carbon emission; gray prediction model; logarithmic mean Divisia index model</t>
  </si>
  <si>
    <t>LAND-USE CHANGE; SEQUESTRATION</t>
  </si>
  <si>
    <t>Under the background of energy conservation and emission reduction, how to rationally and scientifically utilize the non-renewable resources of northeastern farmland is particularly important. In this study, the carbon emission coefficient method is used to select six major carbon sources with energy consumption, including energy consumption in the process of fertilizer production, agricultural machinery use, irrigation, and agricultural waste treatment, to measure the spatial and temporal carbon emissions from the utilization of farmland resources in Northeast China during 2012-2021. A gray prediction model is constructed to predict the carbon emissions from the utilization of farmland resources in the next 10 years, and the logarithmic mean Divisia index model is used to analyze the effects of the various influencing factors on the carbon emissions from farmland utilization. The results show the following: (1) Between 2012 and 2021, carbon emissions from farmland use in Northeast China show a fluctuating development trend of rising and then falling, and the distribution of carbon emissions within the region is characterized by a decreasing trend of high-middle-low from the north to the south. (2) Carbon emissions from farmland use in the next 10 years will maintain a gently decreasing trend. (3) The industrial structure of farmland, the level of economic development and the level of urbanization play a contributing role in carbon emissions. The industrial structure of farmland, the level of economic development, and the level of urbanization contribute to carbon emissions from the use of farmland resources. (4) The efficiency of farmland use, the regional industrial structure, and the size of the labor force inhibit the carbon emissions from the use of farmland. This study provides a scientific basis and strategic recommendations for optimizing the use of farmland resources, adjusting the structure of energy use, and realizing the balanced development of land and energy resources under the goal of energy conservation and emission reduction in Northeast China.</t>
  </si>
  <si>
    <t>[Sun, Mulin] Hong Kong Metropolitan Univ, Lee Shau Kee Sch Business &amp; Adm, Hong Kong 999077, Peoples R China; [Fu, Yuhao; Sun, Mingyao; Huang, Run; Teng, Yun] Northeast Agr Univ, Engn Sch, Harbin 150030, Peoples R China</t>
  </si>
  <si>
    <t>Hong Kong Metropolitan University; Northeast Agricultural University - China</t>
  </si>
  <si>
    <t>Teng, Y (corresponding author), Northeast Agr Univ, Engn Sch, Harbin 150030, Peoples R China.</t>
  </si>
  <si>
    <t>s1352659@live.hkmu.edu.hk; january30777@163.com; smy1240701865@163.com; xiaohuang654321@126.com; xlty@neau.edu.cn</t>
  </si>
  <si>
    <t>National Social Science Fund of China; [22BJY240]</t>
  </si>
  <si>
    <t>National Social Science Fund of China;</t>
  </si>
  <si>
    <t>This research was supported by the National Social Science Fund of China (22BJY240).</t>
  </si>
  <si>
    <t>MDPI</t>
  </si>
  <si>
    <t>BASEL</t>
  </si>
  <si>
    <t>ST ALBAN-ANLAGE 66, CH-4052 BASEL, SWITZERLAND</t>
  </si>
  <si>
    <t>1996-1073</t>
  </si>
  <si>
    <t>Energies</t>
  </si>
  <si>
    <t>JAN</t>
  </si>
  <si>
    <t>10.3390/en18020277</t>
  </si>
  <si>
    <t>Energy &amp; Fuels</t>
  </si>
  <si>
    <t>T5K3J</t>
  </si>
  <si>
    <t>gold</t>
  </si>
  <si>
    <t>WOS:001405386400001</t>
  </si>
  <si>
    <t>Storlien, JO; Hons, FM; Wight, JP; Heilman, JL</t>
  </si>
  <si>
    <t>Storlien, Joseph O.; Hons, Frank M.; Wight, Jason P.; Heilman, James L.</t>
  </si>
  <si>
    <t>Carbon Dioxide and Nitrous Oxide Emissions Impacted by Bioenergy Sorghum Management</t>
  </si>
  <si>
    <t>SOIL SCIENCE SOCIETY OF AMERICA JOURNAL</t>
  </si>
  <si>
    <t>GREENHOUSE-GAS FLUXES; SOIL ORGANIC-CARBON; N2O EMISSIONS; AGRICULTURAL SOILS; MICROBIAL BIOMASS; TILLAGE; SYSTEMS; ROTATION; MAIZE; FERTILIZATION</t>
  </si>
  <si>
    <t>Modern bioenergy feedstocks, such as bioenergy sorghum [Sorghum bicolor (L.) Moench], are being developed to supply future cellulosic biofuel demands. How these cropping systems impact greenhouse gas (GHG) emission of CO2 and N2O from the soil is unknown and field research is necessary to elucidate the effects of agronomic management practices on soil trace gas emissions. We studied the effects of N fertilization (0 vs. 280 kg urea-N ha(-1)), residue management (0 vs. 50% of sorghum biomass returned), crop sequence (corn [Zea mays L.]-sorghum vs. sorghum-sorghum), and their interactions on CO2 and N2O emissions from bioenergy production scenarios on a Weswood (fine-silty, mixed, superactive, thermic Udifluventic Haplustept) silty clay loam soil in central Texas. Gas fluxes were measured approximately weekly throughout the 2010 and 2011 growing season and at a reduced rate during the fallow season with a photoacoustic gas analyzer integrated with a static chamber. Overall, CO2 and N2O fluxes were relatively higher than those observed by others in the United States despite drought conditions throughout much of 2010 and 2011. Highest emissions of both gases were observed during the growing season, often following a precipitation-irrigation event and shortly after N fertilization. Residue return increased cumulative CO2 emissions each year, probably due to increased heterotrophic microbial activity. Nitrogen addition significantly increased cumulative emissions of N2O both years but only impacted cumulative CO2 emissions in 2011. While crop rotation impacted biomass yield, it had no significant effect on cumulative CO2 or N2O emissions. Additional research is needed to identify the optimal N and residue application rates that provide high yields with minimal soil GHG emissions and aid in sustaining long-term soil quality.</t>
  </si>
  <si>
    <t>[Storlien, Joseph O.; Hons, Frank M.; Wight, Jason P.; Heilman, James L.] Texas A&amp;M Univ, Dept Soil &amp; Crop Sci, College Stn, TX 77843 USA</t>
  </si>
  <si>
    <t>Texas A&amp;M University System; Texas A&amp;M University College Station</t>
  </si>
  <si>
    <t>Storlien, JO (corresponding author), Texas A&amp;M Univ, Dept Soil &amp; Crop Sci, College Stn, TX 77843 USA.</t>
  </si>
  <si>
    <t>jstorlien@csbsju.edu</t>
  </si>
  <si>
    <t>Wight, Jason/0000-0002-3523-4101</t>
  </si>
  <si>
    <t>USDA/NIFA Agriculture and Food Research Initiative [2011-67009-30050]; North Central Regional Sun Grant Center at South Dakota State University - U.S. Dep. of Energy Bioenergy Technologies Office [DE-FC36-05GO85041]; Texas A&amp;M AgriLife Research Cropping Systems Bioenergy Program; NIFA [579825, 2011-67009-30050] Funding Source: Federal RePORTER</t>
  </si>
  <si>
    <t>USDA/NIFA Agriculture and Food Research Initiative; North Central Regional Sun Grant Center at South Dakota State University - U.S. Dep. of Energy Bioenergy Technologies Office; Texas A&amp;M AgriLife Research Cropping Systems Bioenergy Program; NIFA(United States Department of Agriculture (USDA)National Institute of Food &amp; Agriculture)</t>
  </si>
  <si>
    <t>Funding for this research was provided by the USDA/NIFA Agriculture and Food Research Initiative (grant #2011-67009-30050), North Central Regional Sun Grant Center at South Dakota State University through a grant provided by the U.S. Dep. of Energy Bioenergy Technologies Office (award # DE-FC36-05GO85041), and Texas A&amp;M AgriLife Research Cropping Systems Bioenergy Program. The study site was established and maintained with the assistance of Vince Saladino. Technical assistance provided by Terry Gentry, Tom Boutton, and Kevin McInnes. Field support was provided by Yasu Tokumoto, Katie Lewis, and members of the Soil Fertility and Nutrient Cycling Laboratory.</t>
  </si>
  <si>
    <t>WILEY</t>
  </si>
  <si>
    <t>HOBOKEN</t>
  </si>
  <si>
    <t>111 RIVER ST, HOBOKEN 07030-5774, NJ USA</t>
  </si>
  <si>
    <t>0361-5995</t>
  </si>
  <si>
    <t>1435-0661</t>
  </si>
  <si>
    <t>SOIL SCI SOC AM J</t>
  </si>
  <si>
    <t>Soil Sci. Soc. Am. J.</t>
  </si>
  <si>
    <t>SEP-OCT</t>
  </si>
  <si>
    <t>10.2136/sssaj2014.04.0176</t>
  </si>
  <si>
    <t>Soil Science</t>
  </si>
  <si>
    <t>AQ9IK</t>
  </si>
  <si>
    <t>WOS:000343164600022</t>
  </si>
  <si>
    <t>Hoyt, AM; Chaussard, E; Seppalainen, SS; Harvey, CF</t>
  </si>
  <si>
    <t>Hoyt, Alison M.; Chaussard, Estelle; Seppalainen, Sandra S.; Harvey, Charles F.</t>
  </si>
  <si>
    <t>Widespread subsidence and carbon emissions across Southeast Asian peatlands</t>
  </si>
  <si>
    <t>NATURE GEOSCIENCE</t>
  </si>
  <si>
    <t>TROPICAL PEATLANDS; PEAT SUBSIDENCE; CO2 EMISSIONS; DEFORMATION; INDONESIA; INSAR; ACCUMULATION; KALIMANTAN; PLANTATION; SUMATRA</t>
  </si>
  <si>
    <t>Subsidence and carbon emissions in tropical peatlands are primarily linked to drainage history, not land-use type, according to large-scale high-resolution remote sensing in Southeast Asia. Over the last three decades, most of the 25 million hectares of tropical peatlands in Southeast Asia have been deforested and drained. As a consequence, declining water tables are exposing peat to oxidation, converting plant material accumulated over millennia to carbon dioxide, and causing land subsidence. Here, we quantify the widespread peat carbon loss by using InSAR remote sensing to map subsidence at 90-m resolution across 2.7 Mha of peatland area from 2007 to 2011. Over 90% of the surveyed area is subsiding, with a mean rate of 2.2 cm yr(-1). Consequently, the region now faces loss of productive land and flooding because many peatlands are near sea level. Our measurements reveal that smallholder agricultural areas and degraded peatlands are subsiding at rates comparable to those of plantations, and that subsidence rates increase away from rivers and decrease over time following drainage. Because of its detailed spatial resolution, InSAR provides a valuable tool to identify emissions by land use and geography and to target hotspots for better management. Finally, we use remotely sensed maps to update IPCC emissions factors and calculate regional CO2 emissions from peat oxidation of 155 +/- 30 MtC yr(-1) in 2015, similar in magnitude to both regional fossil-fuel emissions and peat fires.</t>
  </si>
  <si>
    <t>[Hoyt, Alison M.; Seppalainen, Sandra S.; Harvey, Charles F.] MIT, Dept Civil &amp; Environm Engn, 77 Massachusetts Ave, Cambridge, MA 02139 USA; [Chaussard, Estelle] Univ Oregon, Dept Earth Sci, Eugene, OR 97403 USA; [Harvey, Charles F.] Singapore MIT Alliance Res &amp; Technol, Ctr Environm Sensing &amp; Modeling, Singapore, Singapore; [Hoyt, Alison M.] Max Planck Inst Biogeochem, Jena, Germany</t>
  </si>
  <si>
    <t>Massachusetts Institute of Technology (MIT); University of Oregon; Singapore-MIT Alliance for Research &amp; Technology Centre (SMART); Max Planck Society</t>
  </si>
  <si>
    <t>Hoyt, AM (corresponding author), MIT, Dept Civil &amp; Environm Engn, 77 Massachusetts Ave, Cambridge, MA 02139 USA.;Hoyt, AM (corresponding author), Max Planck Inst Biogeochem, Jena, Germany.</t>
  </si>
  <si>
    <t>ahoyt@bgc-jena.mpg.de</t>
  </si>
  <si>
    <t>harvey, charles/A-8601-2012; Hoyt, Alison/AAF-1085-2020</t>
  </si>
  <si>
    <t>Harvey, Charles F/0000-0002-7759-4447; Hoyt, Alison/0000-0003-0813-5084;</t>
  </si>
  <si>
    <t>National Research Foundation Singapore under its Campus for Research Excellence and Technological Enterprise (CREATE) programme; Singapore-MIT Alliance for Research and Technology; US National Science Foundation [1114155, 1114161, 1923491]; Environmental Solutions Initiative at MIT; Directorate For Geosciences; Division Of Earth Sciences [1114161, 1114155] Funding Source: National Science Foundation; Division Of Earth Sciences; Directorate For Geosciences [1923491] Funding Source: National Science Foundation</t>
  </si>
  <si>
    <t>National Research Foundation Singapore under its Campus for Research Excellence and Technological Enterprise (CREATE) programme(National Research Foundation, Singapore); Singapore-MIT Alliance for Research and Technology(Singapore-MIT Alliance for Research &amp; Technology Centre (SMART)); US National Science Foundation(National Science Foundation (NSF)); Environmental Solutions Initiative at MIT; Directorate For Geosciences; Division Of Earth Sciences(National Science Foundation (NSF)NSF - Directorate for Geosciences (GEO)); Division Of Earth Sciences; Directorate For Geosciences(National Science Foundation (NSF)NSF - Directorate for Geosciences (GEO))</t>
  </si>
  <si>
    <t>We thank D. Sheehan, A. Graham, M. Wrable and J. Murack of the MIT Libraries' GIS and Data Lab for sharing their time, expertise and the computing resources of the Lab. The ALOS-PALSAR data are copyrighted by the Japanese Aerospace Exploration Agency and Ministry of Economy, Trade and Industry and were made available by the US Government Research Consortium through the Alaska Satellite Facility. ISCE is an InSAR processing software package developed at NASA JPL, Caltech and Stanford, which was made available through the Western North America InSAR Consortium. Peatland land-use maps1 were made available by the Centre for Remote Imaging, Sensing and Processing at the National University of Singapore. This work benefited from access to the University of Oregon high performance computer, Talapas. This research was supported by the National Research Foundation Singapore under its Campus for Research Excellence and Technological Enterprise (CREATE) programme, the Singapore-MIT Alliance for Research and Technology, the US National Science Foundation (grants 1114155, 1114161 and 1923491 to C.F.H.) and the Environmental Solutions Initiative at MIT.</t>
  </si>
  <si>
    <t>NATURE PORTFOLIO</t>
  </si>
  <si>
    <t>BERLIN</t>
  </si>
  <si>
    <t>HEIDELBERGER PLATZ 3, BERLIN, 14197, GERMANY</t>
  </si>
  <si>
    <t>1752-0894</t>
  </si>
  <si>
    <t>1752-0908</t>
  </si>
  <si>
    <t>NAT GEOSCI</t>
  </si>
  <si>
    <t>Nat. Geosci.</t>
  </si>
  <si>
    <t>JUN</t>
  </si>
  <si>
    <t>+</t>
  </si>
  <si>
    <t>10.1038/s41561-020-0575-4</t>
  </si>
  <si>
    <t>JUN 2020</t>
  </si>
  <si>
    <t>Geosciences, Multidisciplinary</t>
  </si>
  <si>
    <t>Geology</t>
  </si>
  <si>
    <t>LW6ZV</t>
  </si>
  <si>
    <t>WOS:000537994800002</t>
  </si>
  <si>
    <t>Owusu-Sekyere, E; Mahlathi, Y; Jordaan, H</t>
  </si>
  <si>
    <t>Owusu-Sekyere, Enoch; Mahlathi, Yondela; Jordaan, Henry</t>
  </si>
  <si>
    <t>Understanding South African consumers' preferences and market potential for products with low water and carbon footprints</t>
  </si>
  <si>
    <t>AGREKON</t>
  </si>
  <si>
    <t>environmental sustainability; sustainable consumption; sustainable products; sustainability policy; South Africa</t>
  </si>
  <si>
    <t>WILLINGNESS-TO-PAY; FOOD SAFETY; MODEL; BEEF; INDICATORS; CHOICES; IMPACT</t>
  </si>
  <si>
    <t>In this article, we used a hybrid latent class model and choice experimental data to examine the choices of consumers regarding water and carbon footprint attributes. The findings indicate that a significant proportion of middle- to upper-class consumers are generally willing to pay higher premiums for a reduction in both water usage and carbon emission in agricultural production, displayed through water and carbon footprint labelling. There exist heterogeneous preferences for water and carbon footprint sustainability attributes, with some being environmental sustainability activists and water sustainability advocates, while others are conservatives regarding environmentally sustainable products. About 86 per cent of the middle-class to upper-class respondents attaches a higher monetary value to low water usage relative to low carbon emissions. The preferences for ecologically sustainable product attributes differ significantly as a function of respondents' underlying attitudes towards environmental degradation and sustainability, socioeconomic characteristics and awareness of water scarcity situation locally. The findings contribute to the current debate on the possibility of using environmentally sustainable production and ecological footprint labelling to address the problem of ecological externalities in the food and agricultural sector.</t>
  </si>
  <si>
    <t>[Owusu-Sekyere, Enoch; Jordaan, Henry] Univ Free State, Dept Agr Econ, Bloemfontein, South Africa; [Mahlathi, Yondela] Competit Commiss South Africa, Trevenna, Pretoria, South Africa</t>
  </si>
  <si>
    <t>University of the Free State</t>
  </si>
  <si>
    <t>Owusu-Sekyere, E (corresponding author), Univ Free State, Dept Agr Econ, Bloemfontein, South Africa.</t>
  </si>
  <si>
    <t>kofiwusu23@gmail.com</t>
  </si>
  <si>
    <t>; Owusu-Sekyere, Enoch/AAR-7580-2020; Jordaan, Henry/AAF-8722-2019</t>
  </si>
  <si>
    <t>Owusu-Sekyere, Enoch/0000-0002-4993-5064; Jordaan, Henry/0000-0003-4845-1727</t>
  </si>
  <si>
    <t>Water Research Commission (WRC) [K5/2397//4]; University of the Free State, through the Interdisciplinary Research Grant; WRC</t>
  </si>
  <si>
    <t>Water Research Commission (WRC); University of the Free State, through the Interdisciplinary Research Grant; WRC</t>
  </si>
  <si>
    <t>The paper is based on research that was conducted as part of a research project: Determining the water footprints of selected field and forage crops towards sustainable use of fresh water (K5/2397//4), which was initiated, managed and funded by the Water Research Commission (WRC). Financial and other assistance by the WRC are gratefully acknowledged. Financial assistance from the University of the Free State, through the Interdisciplinary Research Grant, is also gratefully acknowledged.</t>
  </si>
  <si>
    <t>ROUTLEDGE JOURNALS, TAYLOR &amp; FRANCIS LTD</t>
  </si>
  <si>
    <t>ABINGDON</t>
  </si>
  <si>
    <t>2-4 PARK SQUARE, MILTON PARK, ABINGDON OX14 4RN, OXON, ENGLAND</t>
  </si>
  <si>
    <t>0303-1853</t>
  </si>
  <si>
    <t>2078-0400</t>
  </si>
  <si>
    <t>Agrekon</t>
  </si>
  <si>
    <t>JUL 3</t>
  </si>
  <si>
    <t>10.1080/03031853.2019.1589544</t>
  </si>
  <si>
    <t>APR 2019</t>
  </si>
  <si>
    <t>Agricultural Economics &amp; Policy</t>
  </si>
  <si>
    <t>IS7PM</t>
  </si>
  <si>
    <t>WOS:000466211900001</t>
  </si>
  <si>
    <t>Chen, SR; Chen, KY; Wu, F; You, J</t>
  </si>
  <si>
    <t>Chen, Shuru; Chen, Keyan; Wu, Fan; You, Jing</t>
  </si>
  <si>
    <t>Life cycle greenhouse gas emission of pork production in China: Carbon inequality embodied in supply chain</t>
  </si>
  <si>
    <t>RESOURCES CONSERVATION AND RECYCLING</t>
  </si>
  <si>
    <t>Life cycle assessment; Food supply chain; Climate change; Carbon transfer; Carbon compensation</t>
  </si>
  <si>
    <t>DIETARY FIBER; FOOTPRINT; IMPACTS; PROTEIN</t>
  </si>
  <si>
    <t>Understanding feed formulation impacts and regional carbon transfer is crucial for sustainable pork supply chains. Currently, secondary greenhouse gas (GHG) emissions in the pork supply chain are often overlooked, and regional carbon transfer inequality impedes food sustainability. This study combines spatial equilibrium modeling with life cycle assessment to quantify China's 2021 pork supply emissions. Increasing pig feed crude fiber from 4 % to 10 % raised annual lifecycle GHG emissions from 275.7 to 300.8 Mt CO2eq, driven by 45 % and 13 % emission increases in farming and transportation, respectively. Additionally, carbon transfer among provinces is imbalanced, primarily flowing from southern pig farming regions to northern agricultural provinces. Hunan, Guangdong, and Jiangxi were the top three benefiting provinces, accounting for nearly 27.5 % of the total carbon transfer. Emission burden shifts through interprovincial transfers undermine reduction targets, necessitating strategies like integrating transfer responsibilities into carbon quota systems or compensation mechanisms to ensure equitable mitigation.</t>
  </si>
  <si>
    <t>[Chen, Shuru; Wu, Fan; You, Jing] Jinan Univ, Coll Environm &amp; Climate, Guangdong Prov Key Lab Environm Pollut &amp; Hlth, Guangzhou 511443, Peoples R China; [Chen, Keyan] Guangzhou Construct Engn Qual &amp; Safety Testing Ctr, Guangzhou 510440, Peoples R China</t>
  </si>
  <si>
    <t>Jinan University</t>
  </si>
  <si>
    <t>Wu, F (corresponding author), Jinan Univ, Coll Environm &amp; Climate, Guangdong Prov Key Lab Environm Pollut &amp; Hlth, Guangzhou 511443, Peoples R China.</t>
  </si>
  <si>
    <t>fanwu@jnu.edu.cn</t>
  </si>
  <si>
    <t>Wu, Fan/Q-2346-2019; Chen, Keyan/AEP-7032-2022; You, Jing/A-6201-2009</t>
  </si>
  <si>
    <t>Wu, Fan/0000-0001-8621-9449;</t>
  </si>
  <si>
    <t>Natural Science Foundation of Guangdong Province [42477284]; Guangzhou Basic and Applied Basic Research Foundation [2023A1515011215]; Special Project of Wuhan Technology and Business University [2024A04J9882]; Fundamental Research Funds for the Central Universities [S2022002]; Innovative Research Team of the Department of Education of Guangdong Province [21623214]; [2020KCXTD005]</t>
  </si>
  <si>
    <t>Natural Science Foundation of Guangdong Province(National Natural Science Foundation of Guangdong Province); Guangzhou Basic and Applied Basic Research Foundation; Special Project of Wuhan Technology and Business University; Fundamental Research Funds for the Central Universities(Fundamental Research Funds for the Central Universities); Innovative Research Team of the Department of Education of Guangdong Province;</t>
  </si>
  <si>
    <t>This work is supported by the National Natural Science Foundation</t>
  </si>
  <si>
    <t>0921-3449</t>
  </si>
  <si>
    <t>1879-0658</t>
  </si>
  <si>
    <t>RESOUR CONSERV RECY</t>
  </si>
  <si>
    <t>Resour. Conserv. Recycl.</t>
  </si>
  <si>
    <t>JUN 30</t>
  </si>
  <si>
    <t>10.1016/j.resconrec.2025.108386</t>
  </si>
  <si>
    <t>MAY 2025</t>
  </si>
  <si>
    <t>Engineering, Environmental; Environmental Sciences</t>
  </si>
  <si>
    <t>Engineering; Environmental Sciences &amp; Ecology</t>
  </si>
  <si>
    <t>2WV1B</t>
  </si>
  <si>
    <t>WOS:001493204000002</t>
  </si>
  <si>
    <t>Yuan, YM; Sun, L; Chen, SW; She, ZY; Niu, H</t>
  </si>
  <si>
    <t>Yuan, Yanmei; Sun, Le; Chen, Shengwei; She, Zongyun; Niu, Hao</t>
  </si>
  <si>
    <t>Mechanisms of capital endowment's influence on farmers' adoption of low-carbon fertilization technologies</t>
  </si>
  <si>
    <t>SCIENTIFIC REPORTS</t>
  </si>
  <si>
    <t>Low-carbon fertilization technologies (LCFTs); Capital endowment; Value cognition; Environmental regulation; Technology adoption; Agricultural emissions</t>
  </si>
  <si>
    <t>Agriculture is critical in global greenhouse gas (GHG) emissions, making promoting low-carbon agricultural technologies essential for sustainable development. Drawing on survey data from 1,008 grain farmers in Shandong Province, this study develops a moderated mediation model within the expanded resource-cognition-behavior framework to explore how capital endowment affects adopting low-carbon fertilization technologies (LCFTs). The analysis reveals three key findings. First, capital endowment significantly promotes LCFT adoption, with natural capital driving organic fertilizer substitution and human capital facilitating soil testing and formula fertilization. Second, value cognition-particularly ecological value-is a crucial mediating path. Third, environmental regulation strengthens these effects through guidance and incentive-based instruments. Notably, the study introduces information capital as a novel dimension, highlighting the role of digital literacy in adoption behavior. Heterogeneity analysis further shows that environmental regulation has stronger moderating effects among large-scale farmers and those in central and eastern Shandong. This research advances the theoretical understanding of green agricultural transformation by enriching the resource-based behavioral framework and provides empirical evidence to support regionally differentiated and capital-sensitive policy design.</t>
  </si>
  <si>
    <t>[Yuan, Yanmei; Sun, Le; Chen, Shengwei; She, Zongyun; Niu, Hao] Shandong Agr Univ, Coll Econ &amp; Management, 960 Wenquan Rd, Tai An 271018, Peoples R China; [Yuan, Yanmei] Taishan Coll Sci &amp; Technol, Fac Gen Educ, 8 Xueyuan West Rd, Tai An 271038, Peoples R China; [Chen, Shengwei] Shandong Univ Technol, Sch Econ, 88 Gongqingtuan West Rd, Zibo 255000, Peoples R China</t>
  </si>
  <si>
    <t>Shandong Agricultural University; Shandong University of Technology</t>
  </si>
  <si>
    <t>Chen, SW (corresponding author), Shandong Agr Univ, Coll Econ &amp; Management, 960 Wenquan Rd, Tai An 271018, Peoples R China.;Chen, SW (corresponding author), Shandong Univ Technol, Sch Econ, 88 Gongqingtuan West Rd, Zibo 255000, Peoples R China.</t>
  </si>
  <si>
    <t>chenswsdau@163.com</t>
  </si>
  <si>
    <t>the National Social Science Foundation [23AGL026]</t>
  </si>
  <si>
    <t>the National Social Science Foundation</t>
  </si>
  <si>
    <t>This research was funded by the National Social Science Foundation Key Project, Research on the Optimization of China's Agricultural Insurance Policy Based on the Trinity of Scale, Structure, and Efficiency, grant number 23AGL026.</t>
  </si>
  <si>
    <t>2045-2322</t>
  </si>
  <si>
    <t>SCI REP-UK</t>
  </si>
  <si>
    <t>Sci Rep</t>
  </si>
  <si>
    <t>NOV 23</t>
  </si>
  <si>
    <t>10.1038/s41598-025-29655-2</t>
  </si>
  <si>
    <t>K7217</t>
  </si>
  <si>
    <t>WOS:001628840800001</t>
  </si>
  <si>
    <t>Wu, YX; He, C; Liu, G</t>
  </si>
  <si>
    <t>Wu, Yuanxin; He, Chao; Liu, Gang</t>
  </si>
  <si>
    <t>On inertial navigation and attitude initialization in polar areas</t>
  </si>
  <si>
    <t>SATELLITE NAVIGATION</t>
  </si>
  <si>
    <t>Inertial navigation; Mechanization; Polar areas; Attitude initialization</t>
  </si>
  <si>
    <t>STRAPDOWN INS; ALIGNMENT</t>
  </si>
  <si>
    <t>Inertial navigation and attitude initialization in polar areas become a hot topic in recent years in the navigation community, as the widely-used navigation mechanization of the local level frame encounters the inherent singularity when the latitude approaches 90 degrees. Great endeavors have been devoted to devising novel navigation mechanizations such as the grid or transversal frames. This paper highlights the fact that the common Earth-frame mechanization is sufficiently good to handle the singularity problem in polar areas. Simulation results are reported to demonstrate the singularity problem and the effectiveness of the Earth-frame mechanization.</t>
  </si>
  <si>
    <t>[Wu, Yuanxin] Shanghai Jiao Tong Univ, Sch Elect Informat &amp; Elect Engn, Shanghai Key Lab Nav &amp; Locat Based Serv, Shanghai 200240, Peoples R China; [He, Chao; Liu, Gang] Flight Automat Control Res Inst, Xian 710065, Peoples R China</t>
  </si>
  <si>
    <t>Shanghai Jiao Tong University</t>
  </si>
  <si>
    <t>Wu, YX (corresponding author), Shanghai Jiao Tong Univ, Sch Elect Informat &amp; Elect Engn, Shanghai Key Lab Nav &amp; Locat Based Serv, Shanghai 200240, Peoples R China.</t>
  </si>
  <si>
    <t>yuanx_wu@hotmail.com</t>
  </si>
  <si>
    <t>Liu, Gang/GXG-4269-2022; Wu, Yuanxin/B-3272-2009</t>
  </si>
  <si>
    <t>Wu, Yuanxin/0000-0001-6941-615X;</t>
  </si>
  <si>
    <t>SPRINGERNATURE</t>
  </si>
  <si>
    <t>CAMPUS, 4 CRINAN ST, LONDON, N1 9XW, ENGLAND</t>
  </si>
  <si>
    <t>2662-9291</t>
  </si>
  <si>
    <t>2662-1363</t>
  </si>
  <si>
    <t>SATELLITE NAVIG</t>
  </si>
  <si>
    <t>Satell. Navig.</t>
  </si>
  <si>
    <t>10.1186/s43020-019-0002-4</t>
  </si>
  <si>
    <t>Engineering, Aerospace; Remote Sensing; Telecommunications</t>
  </si>
  <si>
    <t>Engineering; Remote Sensing; Telecommunications</t>
  </si>
  <si>
    <t>VK7NC</t>
  </si>
  <si>
    <t>WOS:000751601600004</t>
  </si>
  <si>
    <t>Ge, DD; Huang, M; Jin, X; Liang, ZY; Chang, WS; Yin, XZ</t>
  </si>
  <si>
    <t>Ge, Dandong; Huang, Man; Jin, Xin; Liang, Zhaoyuan; Chang, Wen-shao; Yin, Xunzhi</t>
  </si>
  <si>
    <t>Carbon emission of rural household in China: A STIRPAT analysis of 30 provinces 2011-2021</t>
  </si>
  <si>
    <t>ENERGY AND BUILDINGS</t>
  </si>
  <si>
    <t>China; Rural household carbon emission; Carbon dioxide emission; Carbon Emission Coefficient Method</t>
  </si>
  <si>
    <t>CO2 EMISSIONS; RENEWABLE ENERGY; DIOXIDE EMISSIONS; DRIVING FORCES; IMPACT; URBANIZATION; CONSUMPTION; INTENSITY; GROWTH; URBAN</t>
  </si>
  <si>
    <t>In the context of China's rapid economic growth and the increasing environmental concerns, this study analyzes the carbon emissions of rural households across thirty provinces in China from 2011 to 2021. The findings of this study demonstrate that rural household carbon emissions generally follow an inverted U-shaped pattern characterized by initial growth followed by eventual decline. Per capita carbon emissions currently increase at an excessive rate while carbon emission intensity decreases too slowly to meet reduction targets. The majority of provinces remain in a phase of rapid emission growth and have not yet crossed the inflection point toward declining emissions. The study also uses STIRPAT method to investigates the impact of the rural population, agricultural GDP, energy intensity and energy structure on carbon emissions from rural household energy consumption. The results reveal that substantial energy demand growth counteracts potential benefits from cleaner energy adoption, while energy intensity emerges as a crucial factor for enhancing carbon reduction efficiency. The data analysis and regional regressions show detailed regional and provincial differences, identifying key provincial influencing factors to inform differentiated policy approaches for rural carbon reduction.</t>
  </si>
  <si>
    <t>[Ge, Dandong; Huang, Man; Jin, Xin; Liang, Zhaoyuan; Yin, Xunzhi] Zhejiang Univ, Coll Civil Engn &amp; Architecture, Hangzhou 310058, Peoples R China; [Liang, Zhaoyuan] Zhejiang Univ Technol, Sch Design &amp; Architecture, Hangzhou 310014, Peoples R China; [Chang, Wen-shao] Univ Lincoln, Sch Architecture &amp; Design, Brayford Pool LN6 7TS, England</t>
  </si>
  <si>
    <t>Zhejiang University; Zhejiang University of Technology; University of Lincoln</t>
  </si>
  <si>
    <t>Yin, XZ (corresponding author), Zhejiang Univ, Coll Civil Engn &amp; Architecture, Hangzhou 310058, Peoples R China.</t>
  </si>
  <si>
    <t>x.yin@zju.edu.cn</t>
  </si>
  <si>
    <t>; Chang, Wen-Shao/H-2066-2013</t>
  </si>
  <si>
    <t>Liang, zhaoyuan/0009-0002-8614-0209;</t>
  </si>
  <si>
    <t>National Key R &amp; D Program of China [2022YFE0208600]</t>
  </si>
  <si>
    <t>National Key R &amp; D Program of China</t>
  </si>
  <si>
    <t>The authors declare the following financial interests/personal re-lationships which may be considered as potential competing interests: Xunzhi Yin reports financial support was provided by the National Key R &amp; D Program of China (2022YFE0208600) .</t>
  </si>
  <si>
    <t>ELSEVIER SCIENCE SA</t>
  </si>
  <si>
    <t>LAUSANNE</t>
  </si>
  <si>
    <t>PO BOX 564, 1001 LAUSANNE, SWITZERLAND</t>
  </si>
  <si>
    <t>0378-7788</t>
  </si>
  <si>
    <t>1872-6178</t>
  </si>
  <si>
    <t>ENERG BUILDINGS</t>
  </si>
  <si>
    <t>Energy Build.</t>
  </si>
  <si>
    <t>SEP 15</t>
  </si>
  <si>
    <t>10.1016/j.enbuild.2025.115953</t>
  </si>
  <si>
    <t>JUN 2025</t>
  </si>
  <si>
    <t>Construction &amp; Building Technology; Energy &amp; Fuels; Engineering, Civil</t>
  </si>
  <si>
    <t>Construction &amp; Building Technology; Energy &amp; Fuels; Engineering</t>
  </si>
  <si>
    <t>3QD0L</t>
  </si>
  <si>
    <t>WOS:001506341300001</t>
  </si>
  <si>
    <t>Ferreiro-Dominguez, N; Palma, JHN; Paulo, JA; Rigueiro-Rodriguez, A; Mosquera-Losada, MR</t>
  </si>
  <si>
    <t>Ferreiro-Dominguez, N.; Palma, J. H. N.; Paulo, J. A.; Rigueiro-Rodriguez, A.; Mosquera-Losada, M. R.</t>
  </si>
  <si>
    <t>Assessment of soil carbon storage in three land use types of a semi-arid ecosystem in South Portugal</t>
  </si>
  <si>
    <t>CATENA</t>
  </si>
  <si>
    <t>Agroforestry; Forest; Agricultural; Agroecology; Soil aggregates; Climate change</t>
  </si>
  <si>
    <t>SIZE-FRACTIONS; DYNAMICS; ROOT</t>
  </si>
  <si>
    <t>The land use sector currently represents similar to 25% of the global greenhouse gas emissions, thus this human activity is having a huge impact on climate change. Semi-arid climate areas, which are widely distributed, are particularly influenced by such climate change. In these areas, land use changes have transformed the entire landscape and increased the greenhouse gas emissions. However, in semi-arid climate areas, the information on the effect of climate change is scarce and usually centred on one single type of land use. For the land uses (forest, agricultural and agroforestry) traditionally found in the semi-arid area in South Portugal, this study aimed to evaluate (i) the soil chemical (pH) and physical properties (bulk density and percentage of different soil aggregate fractions: 250-2000; 53-250 and &lt; 53 mu m) and (ii) the carbon (C) storage in whole soil and each soil aggregate fraction in land with over 100 years of the same use. The results show that after &gt; 100 years with the same land use, C storage in the whole soil was similar in the plots with extensive agriculture based on the agroecology principles to that in the agroforestry plots. However, the concentration and storage of C in the microaggregates (53-250 mu m) and the silt + clay soil fraction (&lt; 53 mu m) were generally higher for the forest and agroforestry land uses than for the agricultural land use due to the tree effect. This C associated with the smallest soil fractions is very stable and is retained in the soil in the long term. In this context, agroforestry systems improve the soil C storage in the long term at the same time that agricultural production is allowed compared to the traditional forest systems. Therefore, the establishment and maintenance of agroforestry systems in the semi-arid climate areas is a sustainable land use for climate change mitigation.</t>
  </si>
  <si>
    <t>[Ferreiro-Dominguez, N.; Rigueiro-Rodriguez, A.; Mosquera-Losada, M. R.] Univ Santiago De Compostela, Escuela Politecn Super Lugo, Dept Crop Prod &amp; Engn Projects, Campus Univ S-N, Lugo 27002, Spain; [Palma, J. H. N.; Paulo, J. A.] Univ Lisbon, Forest Res Ctr, Sch Agr, Tapada Ajuda S-N, P-1349017 Lisbon, Portugal; [Palma, J. H. N.] MV Agroecol Res Ctr, Mertola, Espirito Santo, Portugal</t>
  </si>
  <si>
    <t>Universidade de Santiago de Compostela; Universidade de Lisboa; Centro de Estudos Florestais</t>
  </si>
  <si>
    <t>Mosquera-Losada, MR (corresponding author), Univ Santiago De Compostela, Escuela Politecn Super Lugo, Dept Crop Prod &amp; Engn Projects, Campus Univ S-N, Lugo 27002, Spain.</t>
  </si>
  <si>
    <t>mrosa.mosquera.losada@usc.es</t>
  </si>
  <si>
    <t>Ferreiro-Domínguez, Nuria/M-1568-2014; Paulo, Joana/I-5742-2012; Palma, Joao/D-1571-2012; Mosquera-Losada, M/K-8357-2014; RODRÍGUEZ, ANTONIO/B-2982-2019; FERREIRO, NURIA/S-5363-2019</t>
  </si>
  <si>
    <t>Ferreiro-Domínguez, Nuria/0000-0001-9459-1128; Paulo, Joana Amaral/0000-0003-1889-1721;</t>
  </si>
  <si>
    <t>Xunta de Galicia, Conselleria de Cultura, Educacion e Ordenacion Universitaria [122, 213]; Pilot Program of the University of Santiago de Compostela (USC); FCT [SFRH/BPD/96475/2013, DL57/2016/CP1382/CT0027]; Forest Research Centre by Fundacao para a Ciencia e a Tecnologia I.P. (FCT), Portugal [UIDB/00239/2020]; Fundação para a Ciência e a Tecnologia [SFRH/BPD/96475/2013] Funding Source: FCT</t>
  </si>
  <si>
    <t>Xunta de Galicia, Conselleria de Cultura, Educacion e Ordenacion Universitaria(Xunta de Galicia); Pilot Program of the University of Santiago de Compostela (USC); FCT(Fundacao para a Ciencia e a Tecnologia (FCT)); Forest Research Centre by Fundacao para a Ciencia e a Tecnologia I.P. (FCT), Portugal; Fundação para a Ciência e a Tecnologia</t>
  </si>
  <si>
    <t>This work was supported by Xunta de Galicia, Conselleria de Cultura, Educacion e Ordenacion Universitaria (Programa de axudasa etapa posdoutoral modalide A DOG n. 122, 29/06/2016 p.27443, exp: ED481B 2016/071-0 and Programa de axudasa etapa posdoutoral modalide B DOG n. 213, 08/11/2019 p.48018, exp: ED481D 2019/009). Nuria Ferreiro-Dominguez was financed by the Pilot Program of the University of Santiago de Compostela (USC) for the hiring of distinguished research staff -call 2021, funded under the collaboration agreement between USC and Banco Santander, for the years 2021-2024. Joana Amaral Paulo was financed by FCT under the contracts SFRH/BPD/96475/2013 and DL57/2016/CP1382/CT0027. This research was also funded by the Forest Research Centre, a research unit funded by Fundacao para a Ciencia e a Tecnologia I.P. (FCT), Portugal (UIDB/00239/2020). We thank the Municipality of Moura and Herdade da Contenda for their assistance and facilitation of facilities.</t>
  </si>
  <si>
    <t>0341-8162</t>
  </si>
  <si>
    <t>1872-6887</t>
  </si>
  <si>
    <t>Catena</t>
  </si>
  <si>
    <t>10.1016/j.catena.2022.106196</t>
  </si>
  <si>
    <t>MAR 2022</t>
  </si>
  <si>
    <t>Geosciences, Multidisciplinary; Soil Science; Water Resources</t>
  </si>
  <si>
    <t>Geology; Agriculture; Water Resources</t>
  </si>
  <si>
    <t>0Y5QO</t>
  </si>
  <si>
    <t>WOS:000790445600003</t>
  </si>
  <si>
    <t>Hu, ZZ; Liu, HJ; Zhang, YF; Chen, J; Wang, X; Yang, DL; Sheng, J; Chen, LG; Zheng, JC</t>
  </si>
  <si>
    <t>Hu, Zhongze; Liu, Hongjiang; Zhang, Yuefang; Chen, Ji; Wang, Xian; Yang, Daliu; Sheng, Jing; Chen, Liugen; Zheng, Jianchu</t>
  </si>
  <si>
    <t>Greenhouse Gas Emissions, Carbon Footprint, and Grain Yields of Rice-Based Cropping Systems in Eastern China</t>
  </si>
  <si>
    <t>AGRONOMY-BASEL</t>
  </si>
  <si>
    <t>carbon footprint; methane; nitrous oxide; grain yield; economic outputs; multiple cropping system</t>
  </si>
  <si>
    <t>NITROUS-OXIDE EMISSIONS; ROTATION SYSTEMS; METHANE; STRAW; MITIGATION; FERTILIZER; N2O</t>
  </si>
  <si>
    <t>A multiple cropping system is beneficial for utilizing natural resources, while increasing the grain production and economic outputs. However, its impact on greenhouse gas emissions is unclear. The objective of this study was to evaluate the influence of rice-based cropping systems on methane (CH4) and nitrous oxide (N2O) emissions, the carbon footprint (CF), grain yields, and net economic returns in eastern China. Four treatments were applied: rice-fallow (as a control), rice-milk vetch, rice-wheat, and rice-rapeseed. Methane and N2O emissions were measured every 7 days via static chamber and gas chromatography methods from the 2019 rice season to the 2021 non-rice season. The CF was calculated based on the life cycle assessment. The results showed that multiple cropping systems significantly increased the annual grain yield by 1.2-6.4 t ha(-1) and the annual CH4 and N2O emissions by 38-101 kg CH4-C ha(-1) and 0.58-1.06 kg N2O-N ha(-1), respectively. The average annual net returns for rice-wheat and rice-rapeseed were 131-150% greater than those for rice-milk vetch and rice-fallow. The annual CFs increased in the following order: rice-wheat (19.2 t CO2-eq ha(-1)) &gt; rice-rapeseed (16.6 t CO2-eq ha(-1)) &gt; rice-milk vetch (13.9 t CO2-eq ha(-1)) &gt; rice-fallow (11.5 t CO2-eq ha(-1)). The CH4 emissions contributed to the largest share of the CF (60.4-68.8%), followed by agricultural inputs (27.2-33.7%) and N2O emissions (2.9-5.9%). Moreover, nitrogen fertilizer accounted for 65.6-72.4% of the indirect greenhouse gas emissions from agricultural inputs. No significant difference in the CF per unit grain yield was observed between the four rice-based cropping systems. The CF per net return of rice-wheat and rice-rapeseed significantly decreased by 37-50% relative to that of rice-fallow and rice-milk vetch. These findings suggest the potential to optimize rice-based cropping systems for environmental sustainability and grain security.</t>
  </si>
  <si>
    <t>[Hu, Zhongze; Wang, Xian; Yang, Daliu] Jiangsu Acad Agr Sci, Inst Taizhou Agr Sci, Taizhou 225300, Peoples R China; [Hu, Zhongze; Liu, Hongjiang; Zhang, Yuefang; Sheng, Jing; Chen, Liugen; Zheng, Jianchu] Jiangsu Agr Biodivers Cultivat &amp; Utilizat Res Ctr, Nanjing 210014, Peoples R China; [Chen, Ji] Chinese Acad Sci, Inst Earth Environm, State Key Lab Loess &amp; Quaternary Geol, Xian 710061, Peoples R China; [Chen, Liugen; Zheng, Jianchu] Jiangsu Acad Agr Sci, Key Lab Agroenvironm Downstream Yangze Plain, Minist Agr &amp; Rural Affairs, Nanjing 210014, Peoples R China</t>
  </si>
  <si>
    <t>Jiangsu Academy of Agricultural Sciences; Chinese Academy of Sciences; Institute of Earth Environment, CAS; Jiangsu Academy of Agricultural Sciences</t>
  </si>
  <si>
    <t>Zhang, YF (corresponding author), Jiangsu Agr Biodivers Cultivat &amp; Utilizat Res Ctr, Nanjing 210014, Peoples R China.</t>
  </si>
  <si>
    <t>huzhongze@126.com; liuhongjiang2004@sohu.com; yfzhang@jaas.ac.cn; chenji@ieecas.cn; wangxian615@163.com; 15850853884@163.com; nkysj@hotmail.com; chenliugen@163.com; zjc@jaas.ac.cn</t>
  </si>
  <si>
    <t>Zhang, Yuefang/W-9045-2019; Chen, Ji/A-6299-2018</t>
  </si>
  <si>
    <t>Suzhou Science and Technology Program</t>
  </si>
  <si>
    <t>No Statement Available</t>
  </si>
  <si>
    <t>2073-4395</t>
  </si>
  <si>
    <t>Agronomy-Basel</t>
  </si>
  <si>
    <t>FEB</t>
  </si>
  <si>
    <t>10.3390/agronomy14020395</t>
  </si>
  <si>
    <t>Agronomy; Plant Sciences</t>
  </si>
  <si>
    <t>Agriculture; Plant Sciences</t>
  </si>
  <si>
    <t>JS2B9</t>
  </si>
  <si>
    <t>WOS:001175077600001</t>
  </si>
  <si>
    <t>Gao, YH; Han, B; Liu, HW; Bai, YN; Li, Z</t>
  </si>
  <si>
    <t>Gao, Yi-Hang; Han, Bo; Liu, Hong-Wei; Bai, Yao-Nan; Li, Zhuang</t>
  </si>
  <si>
    <t>Spatial-Temporal Restructuring of Regional Landscape Patterns and Associated Carbon Effects: Evidence from Xiong'an New Area</t>
  </si>
  <si>
    <t>SUSTAINABILITY</t>
  </si>
  <si>
    <t>Xiong'an New Area; territorial space; carbon emission response</t>
  </si>
  <si>
    <t>China's accelerated urbanization has instigated construction land expansion and ecological land attrition, aggravating the carbon emission disequilibrium. Notably, the land carbon emission elasticity coefficient in urban agglomerations far exceeds international benchmarks, underscoring the contradiction between spatial expansion and low-carbon goals. Existing research predominantly centers on single-spatial-type or static-model analyses, lacking cross-scale mechanism exploration, policy heterogeneity consideration, and differentiated carbon metabolism assessment across functional spaces. This study takes Xiong'an New Area as a case, delineating the spatiotemporal evolution of land use and carbon emissions during 2017-2023. Construction land expanded by 26.8%, propelling an 11-fold escalation in carbon emissions, while emission intensity decreased by 11.4% due to energy efficiency improvements and renewable energy adoption. Cultivated land reduction (31.8%) caused a 73.4% decline in agricultural emissions, and ecological land network restructuring (65.3% forest expansion and wetland restoration) significantly enhanced carbon sequestration. This research validates a governance paradigm prioritizing structural optimization over scale expansion-synergizing construction land intensification with ecological restoration to decelerate emission growth and strengthen carbon sink systems.</t>
  </si>
  <si>
    <t>[Gao, Yi-Hang; Han, Bo; Liu, Hong-Wei; Bai, Yao-Nan; Li, Zhuang] China Geol Survey, Tianjin Ctr, 4 Dazhigu 8th Rd, Tianjin 300170, Peoples R China; [Gao, Yi-Hang; Han, Bo; Liu, Hong-Wei; Bai, Yao-Nan; Li, Zhuang] North China Ctr Geosci Innovat, Tianjin 300170, Peoples R China; [Gao, Yi-Hang; Han, Bo; Liu, Hong-Wei; Bai, Yao-Nan; Li, Zhuang] China Geol Survey, Xiongan Urban Geol Res Ctr, 4 Dazhigu 8th Rd, Tianjin 300170, Peoples R China; [Gao, Yi-Hang; Han, Bo; Liu, Hong-Wei; Bai, Yao-Nan; Li, Zhuang] Tianjin Key Lab Coast Geol Proc &amp; Environm Safety, 4 Dazhigu 8th Rd, Tianjin 300170, Peoples R China</t>
  </si>
  <si>
    <t>China Geological Survey; Tianjin Center, China Geological Survey; China Geological Survey</t>
  </si>
  <si>
    <t>Han, B; Liu, HW (corresponding author), China Geol Survey, Tianjin Ctr, 4 Dazhigu 8th Rd, Tianjin 300170, Peoples R China.;Han, B; Liu, HW (corresponding author), North China Ctr Geosci Innovat, Tianjin 300170, Peoples R China.;Han, B; Liu, HW (corresponding author), China Geol Survey, Xiongan Urban Geol Res Ctr, 4 Dazhigu 8th Rd, Tianjin 300170, Peoples R China.;Han, B; Liu, HW (corresponding author), Tianjin Key Lab Coast Geol Proc &amp; Environm Safety, 4 Dazhigu 8th Rd, Tianjin 300170, Peoples R China.</t>
  </si>
  <si>
    <t>gaoyihang1988@163.com; hanbo1984@126.com; liuhenry022@163.com; byaonan@mail.cgs.gov.cn; lizhuang01@mail.cgs.gov.cn</t>
  </si>
  <si>
    <t>the Monitoring and Evaluation of Resource and Environment Carrying Capacity of the Beijing-Tianjin-Hebei Collaborative Development Area and Xiongan New Area [DD20221727]; Detailed Investigation and Risk Control of Geological Disasters in Taihang Lvliang Mountain Area [DD20230438]</t>
  </si>
  <si>
    <t>the Monitoring and Evaluation of Resource and Environment Carrying Capacity of the Beijing-Tianjin-Hebei Collaborative Development Area and Xiongan New Area; Detailed Investigation and Risk Control of Geological Disasters in Taihang Lvliang Mountain Area</t>
  </si>
  <si>
    <t>This research was funded by the Monitoring and Evaluation of Resource and Environment Carrying Capacity of the Beijing-Tianjin-Hebei Collaborative Development Area and Xiongan New Area (Grant no. DD20221727) and Detailed Investigation and Risk Control of Geological Disasters in Taihang Lvliang Mountain Area (Grant no. DD20230438).</t>
  </si>
  <si>
    <t>MDPI AG, Grosspeteranlage 5, CH-4052 BASEL, SWITZERLAND</t>
  </si>
  <si>
    <t>2071-1050</t>
  </si>
  <si>
    <t>SUSTAINABILITY-BASEL</t>
  </si>
  <si>
    <t>Sustainability</t>
  </si>
  <si>
    <t>JUL 7</t>
  </si>
  <si>
    <t>10.3390/su17136224</t>
  </si>
  <si>
    <t>Green &amp; Sustainable Science &amp; Technology; Environmental Sciences; Environmental Studies</t>
  </si>
  <si>
    <t>Science &amp; Technology - Other Topics; Environmental Sciences &amp; Ecology</t>
  </si>
  <si>
    <t>4VK0Z</t>
  </si>
  <si>
    <t>WOS:001527585000001</t>
  </si>
  <si>
    <t>Han, WJ; Zhou, XP; Huang, J; Shen, WC; Zheng, JY; Bai, YP</t>
  </si>
  <si>
    <t>Han, Wenjing; Zhou, Xiaoping; Huang, Jing; Shen, Wencang; Zheng, Jiayu; Bai, Yuping</t>
  </si>
  <si>
    <t>Unveiling the link: Spatial spillover effects of land use efficiency on carbon emissions in Chinese Prefecture-level cities</t>
  </si>
  <si>
    <t>ENVIRONMENT DEVELOPMENT AND SUSTAINABILITY</t>
  </si>
  <si>
    <t>Article; Early Access</t>
  </si>
  <si>
    <t>Land use efficiency; Carbon emissions; Spatial spillover effect; Spatial durbin model; Data envelopment analysis</t>
  </si>
  <si>
    <t>CLIMATE-CHANGE; FOOD SECURITY; MANAGEMENT</t>
  </si>
  <si>
    <t>Improving land use efficiency (LUE) is an effective mean to address the imbalance between land resource supply and demand, while also reducing carbon emissions (CE) simultaneously. However, due to neglect of the differentiation of distinct land categories, tailored policies targeting the efficiency-carbon emissions dynamics of specific land categories have not been developed. Drawing on panel data spanning the years 2006 to 2019 from 284 prefecture-level cities in China, by employing a data envelopment analysis (DEA) approach, this paper measures the utilization efficiency of three categories of land with production capabilities-agricultural, industrial, and commercial land-as well as ecological land. Employing the spatial Durbin model (SDM), this paper empirically examines the influence of LUE on CE and their spatial spillover effects by analysing spatial heterogeneity across regions. The main research findings include the following: (1) Significant autocorrelation exists in CE in Chinese cities. China's agricultural LUE showed a declining trend, while industrial and commercial LUE exhibited a significant upwards trend, reflecting the overall development characteristics of the primary, secondary, and tertiary sectors during China's rapid urbanization phase. (2) The ecological LUE exhibits a notable positive spatial spillover effect on the CE of adjacent cities. Improving the utilization efficiency of agricultural, industrial, and ecological land contributes to a reduction in CE. (3) Regional heterogeneity analysis reveals that agricultural LUE demonstrates a positive spatial spillover effect on reducing CE in neighbouring areas within the central and western regions. In the eastern, central, and western regions, the ecological LUE exhibits a positive spatial spillover effect, contributing to the reduction of CE in neighbouring areas. The results provide references for further exploring the carbon reduction potential of differentiated land use systems.</t>
  </si>
  <si>
    <t>[Han, Wenjing; Zhou, Xiaoping] Beijing Normal Univ, Sch Govt, Beijing, Peoples R China; [Huang, Jing] Xian Jiaotong Liverpool Univ, Sch Sci, Suzhou, Peoples R China; [Shen, Wencang] Renmin Univ China, Sch Publ Adm &amp; Policy, Beijing, Peoples R China; [Zheng, Jiayu; Bai, Yuping] China Univ Geosci, Sch Land Sci &amp; Technol, Beijing, Peoples R China</t>
  </si>
  <si>
    <t>Beijing Normal University; Xi'an Jiaotong-Liverpool University; Renmin University of China; China University of Geosciences</t>
  </si>
  <si>
    <t>Bai, YP (corresponding author), China Univ Geosci, Sch Land Sci &amp; Technol, Beijing, Peoples R China.</t>
  </si>
  <si>
    <t>hanwenjing@bnu.edu.cn; zhouxp@bnu.edu.cn; jhuang@ruc.edu.cn; shenwencang@ruc.edu.cn; zhengjiayu0216@163.com; baiyp@cugb.edu.cn</t>
  </si>
  <si>
    <t>Huang, Jing/JPY-3462-2023; Zheng, Jiayu/GXZ-7770-2022</t>
  </si>
  <si>
    <t>Fundamental Research Funds for the Central Universities [1233100032, 310400209505]; Fundamental Research Funds for the Central Universities [42401317, 72474200, 72104223]; National Natural Science Foundation of China</t>
  </si>
  <si>
    <t>Fundamental Research Funds for the Central Universities(Fundamental Research Funds for the Central Universities); Fundamental Research Funds for the Central Universities(Fundamental Research Funds for the Central Universities); National Natural Science Foundation of China(National Natural Science Foundation of China (NSFC))</t>
  </si>
  <si>
    <t>We thank the editors and anonymous referees for their useful comments and suggestions. This research was financially supported by the Fundamental Research Funds for the Central Universities (1233100032, 310400209505), and National Natural Science Foundation of China (42401317, 72474200, 72104223).</t>
  </si>
  <si>
    <t>SPRINGER</t>
  </si>
  <si>
    <t>DORDRECHT</t>
  </si>
  <si>
    <t>VAN GODEWIJCKSTRAAT 30, 3311 GZ DORDRECHT, NETHERLANDS</t>
  </si>
  <si>
    <t>1387-585X</t>
  </si>
  <si>
    <t>1573-2975</t>
  </si>
  <si>
    <t>ENVIRON DEV SUSTAIN</t>
  </si>
  <si>
    <t>Environ. Dev. Sustain.</t>
  </si>
  <si>
    <t>2025 AUG 31</t>
  </si>
  <si>
    <t>10.1007/s10668-025-06699-y</t>
  </si>
  <si>
    <t>AUG 2025</t>
  </si>
  <si>
    <t>Green &amp; Sustainable Science &amp; Technology; Environmental Sciences</t>
  </si>
  <si>
    <t>6RW0Z</t>
  </si>
  <si>
    <t>WOS:001560526200001</t>
  </si>
  <si>
    <t>Yablonovitch, E; Deckman, HW</t>
  </si>
  <si>
    <t>Yablonovitch, Eli; Deckman, Harry W.</t>
  </si>
  <si>
    <t>Scalable, economical, and stable sequestration of agricultural fixed carbon</t>
  </si>
  <si>
    <t>PROCEEDINGS OF THE NATIONAL ACADEMY OF SCIENCES OF THE UNITED STATES OF AMERICA</t>
  </si>
  <si>
    <t>carbon capture; sequestration; agriculture; anaerobic; biolandfill</t>
  </si>
  <si>
    <t>ENERGY</t>
  </si>
  <si>
    <t>We describe a scalable, economical solution to the carbon dioxide problem. CO2 is captured from the atmosphere by plants, and the harvested vegetation is then buried in an engineered dry biolandfill. Plant biomass can be preserved for hundreds to thousands of years by burial in a dry environment with sufficiently low thermodynamic Water Activity, which is the relative humidity in equilibrium with the biomass. Maintaining a dry environment within the engineered dry biolandfill is assisted by salt that preserves biomass, which has been known since Biblical times. A  Water Activity &lt;60%, assisted by salt, will not support life, suppressing anaerobic organisms, thus preserving the biomass for thousands of years. Current agricultural costs, and biolandfill costs, indicate US$60/tonne of sequestered CO2 which corresponds to similar to US$0.53 per gallon of gasoline. The technology is scalable owing to the large area of land available for nonfood biomass sources. If biomass production is scaled to the level of a major crop, existing CO2 can be extracted from the atmosphere, and will simultaneously sequester a significant fraction of world CO2 emissions.</t>
  </si>
  <si>
    <t>[Yablonovitch, Eli; Deckman, Harry W.] Univ Calif Berkeley, Elect Engn &amp; Comp Sci Dept, Berkeley, CA 94720 USA</t>
  </si>
  <si>
    <t>University of California System; University of California Berkeley</t>
  </si>
  <si>
    <t>Yablonovitch, E (corresponding author), Univ Calif Berkeley, Elect Engn &amp; Comp Sci Dept, Berkeley, CA 94720 USA.</t>
  </si>
  <si>
    <t>eliy@eecs.berkeley.edu</t>
  </si>
  <si>
    <t>Univ. of California, Berkeley [none] Funding Source: Medline</t>
  </si>
  <si>
    <t>Univ. of California, Berkeley(University of California System)</t>
  </si>
  <si>
    <t>NATL ACAD SCIENCES</t>
  </si>
  <si>
    <t>WASHINGTON</t>
  </si>
  <si>
    <t>2101 CONSTITUTION AVE NW, WASHINGTON, DC 20418 USA</t>
  </si>
  <si>
    <t>0027-8424</t>
  </si>
  <si>
    <t>1091-6490</t>
  </si>
  <si>
    <t>P NATL ACAD SCI USA</t>
  </si>
  <si>
    <t>Proc. Natl. Acad. Sci. U. S. A.</t>
  </si>
  <si>
    <t>APR 18</t>
  </si>
  <si>
    <t>e2217695120</t>
  </si>
  <si>
    <t>10.1073/pnas.2217695120</t>
  </si>
  <si>
    <t>N7OF4</t>
  </si>
  <si>
    <t>Green Submitted</t>
  </si>
  <si>
    <t>WOS:001038854400005</t>
  </si>
  <si>
    <t>Hou, YM; Yue, FJ; Li, SL; Liu, XL</t>
  </si>
  <si>
    <t>Hou, Yong-Mei; Yue, Fu-Jun; Li, Si-Liang; Liu, Xiao-Long</t>
  </si>
  <si>
    <t>Elevated nitrogen loadings facilitate carbon dioxide emissions from urban inland waters</t>
  </si>
  <si>
    <t>JOURNAL OF ENVIRONMENTAL MANAGEMENT</t>
  </si>
  <si>
    <t>pCO(2); CO2 emissions; Nitrogen loading; Urban inland waters</t>
  </si>
  <si>
    <t>CO2; PCO(2); EUTROPHICATION; ALKALINITY; DYNAMICS; METHANE; RIVERS; CH4</t>
  </si>
  <si>
    <t>Carbon dioxide (CO2) production and emissions from inland waters play considerable roles in global atmospheric CO2 sources, while there are still uncertainties regarding notable nutrient inputs and anthropogenic activities. Urban inland waters, with frequently anthropogenic modifications and severely nitrogen loadings, were hotspots for CO2 emissions. Here, we investigated the spatiotemporal patterns of partial pressure of CO2 (pCO(2)) and CO2 fluxes (FCO2) in typical urban inland waters in Tianjin, China. Our observation indicated that pCO(2) values were oversaturated in highly polluted waters, particularly in sewage rivers and urban rivers, exhibiting approximately 9 times higher than the atmosphere equilibrium concentration during sampling campaigns. Obviously, the spatiotemporal distributions of pCO(2) and FCO2 emphasized that the water environmental conditions and anthropogenic activities jointly adjusted primary productivity and biological respiration of inland waters. Meanwhile, statistically positive correlations between pCO(2)/FCO2 and NH4+-N/NO3--N (p &lt; 0.05) suggested that nitrogen biogeochemical processes, especially the nitrification, played a dominant role in CO2 emissions attributing to the water acidification that stimulated CO2 production and emissions. Except for slight CO2 sinks in waters with low organic contents, the total CO2 emissions from the urban surface waters of Tianjin were remarkable (286.8 Gg yr(-1)). The results emphasized that the reductions of nitrogen loadings, sewage draining waters, and agricultural pollution could alleviate CO2 emissions from urban inland waters.</t>
  </si>
  <si>
    <t>[Hou, Yong-Mei; Yue, Fu-Jun; Li, Si-Liang] Tianjin Univ, Inst Surface Earth Syst Sci, Sch Earth Syst Sci, Tianjin 300072, Peoples R China; [Yue, Fu-Jun; Li, Si-Liang] Tianjin Univ, Tianjin Bohai Rim Coastal Earth Crit Zone Natl Obs, Tianjin 300072, Peoples R China; [Liu, Xiao-Long] Tianjin Normal Univ, Tianjin Key Lab Water Resources &amp; Environm, Tianjin 300387, Peoples R China</t>
  </si>
  <si>
    <t>Tianjin University; Tianjin University; Tianjin Normal University</t>
  </si>
  <si>
    <t>Liu, XL (corresponding author), Tianjin Normal Univ, Tianjin Key Lab Water Resources &amp; Environm, Tianjin 300387, Peoples R China.</t>
  </si>
  <si>
    <t>xiaolong.liu@tjnu.edu.cn</t>
  </si>
  <si>
    <t>Yue, Fu-Jun/K-7305-2017; Liu, Xiaolong/AFP-0342-2022; Li, Siliang/AFB-7205-2022</t>
  </si>
  <si>
    <t>Yue, Fu-Jun/0000-0003-3733-7216;</t>
  </si>
  <si>
    <t>National Natural Science Foundation of China [42221001, 42293262]; Construction of Inno- vation System for Science and Technology Projects of Tianjin Science and Technology Bureau [21ZYJDJC00090]</t>
  </si>
  <si>
    <t>National Natural Science Foundation of China(National Natural Science Foundation of China (NSFC)); Construction of Inno- vation System for Science and Technology Projects of Tianjin Science and Technology Bureau</t>
  </si>
  <si>
    <t>This work was financed by the National Natural Science Foundation of China (grant Nos. 42221001, 42293262) , and Construction of Inno- vation System for Science and Technology Projects of Tianjin Science and Technology Bureau (No. 21ZYJDJC00090) .</t>
  </si>
  <si>
    <t>ACADEMIC PRESS LTD- ELSEVIER SCIENCE LTD</t>
  </si>
  <si>
    <t>24-28 OVAL RD, LONDON NW1 7DX, ENGLAND</t>
  </si>
  <si>
    <t>0301-4797</t>
  </si>
  <si>
    <t>1095-8630</t>
  </si>
  <si>
    <t>J ENVIRON MANAGE</t>
  </si>
  <si>
    <t>J. Environ. Manage.</t>
  </si>
  <si>
    <t>10.1016/j.jenvman.2024.121268</t>
  </si>
  <si>
    <t>MAY 2024</t>
  </si>
  <si>
    <t>Environmental Sciences</t>
  </si>
  <si>
    <t>Environmental Sciences &amp; Ecology</t>
  </si>
  <si>
    <t>UN1N5</t>
  </si>
  <si>
    <t>WOS:001248648600003</t>
  </si>
  <si>
    <t>Jokube, M; Hyyrynen, M; Pihlainen, S; Hyytiäinen, K</t>
  </si>
  <si>
    <t>Jokube, Medile; Hyyrynen, Matti; Pihlainen, Sampo; Hyytiainen, Kari</t>
  </si>
  <si>
    <t>Economic feasibility of biochar for carbon stock enhancement in Finnish agricultural soils</t>
  </si>
  <si>
    <t>CARBON MANAGEMENT</t>
  </si>
  <si>
    <t>Biochar; carbon dioxide removal; boreal; agricultural soil; carbon sink</t>
  </si>
  <si>
    <t>YIELD FORMATION; SEQUESTRATION; SYSTEMS; WHEAT</t>
  </si>
  <si>
    <t>Biochar is a promising climate mitigation measure that can safely capture and store atmospheric carbon dioxide in soil for many years. We conduct an economic analysis to assess the economic feasibility of increasing Finnish mineral agricultural soil carbon stock with biochar in an increasingly dry and warm climate scenario. The Monte Carlo simulations showed that it is challenging to achieve economic feasibility with current carbon prices and biochar costs. To make biochar application economically feasible with a carbon subsidy at the level of the European Union Emissions Trading System (EU ETS) carbon price of 88 EUR/t CO2eq, the cost of biochar material would need to be reduced to less than one-third of its current average price. Alternatively, economic viability could be achieved if the subsidy paid to the farmers was between two to nine times larger than the EU ETS carbon price for the current range of biochar market prices. Lastly, the feasibility can be achieved by simultaneous doubling of the carbon price and halving average biochar cost. Currently, the biochar market is thin and a decrease in biochar cost level is needed to make biochar competitive with other climate change mitigation measures.</t>
  </si>
  <si>
    <t>[Jokube, Medile; Hyytiainen, Kari] Univ Helsinki, Dept Econ &amp; Management, Koetilantie 5, FL-00790 Helsinki, Finland; [Hyyrynen, Matti] Finnish Nat Resources Inst, Helsinki, Finland; [Pihlainen, Sampo] Finnish Environm Inst, Helsinki, Finland</t>
  </si>
  <si>
    <t>University of Helsinki; Natural Resources Institute Finland (Luke); Finnish Environment Institute</t>
  </si>
  <si>
    <t>Jokube, M (corresponding author), Univ Helsinki, Dept Econ &amp; Management, Koetilantie 5, FL-00790 Helsinki, Finland.</t>
  </si>
  <si>
    <t>medile.jokube@helsinki.fi</t>
  </si>
  <si>
    <t>Hyytiäinen, Kari/0000-0002-4366-0186; Pihlainen, Sampo/0000-0002-0902-9040</t>
  </si>
  <si>
    <t>Ministry of the Agriculture and Forestry of Finland under the Catch the Carbon research and innovation program, HiiletIn project</t>
  </si>
  <si>
    <t>The study is funded by the Ministry of the Agriculture and Forestry of Finland under the Catch the Carbon research and innovation program, HiiletIn project.</t>
  </si>
  <si>
    <t>TAYLOR &amp; FRANCIS LTD</t>
  </si>
  <si>
    <t>2-4 PARK SQUARE, MILTON PARK, ABINGDON OR14 4RN, OXON, ENGLAND</t>
  </si>
  <si>
    <t>1758-3004</t>
  </si>
  <si>
    <t>1758-3012</t>
  </si>
  <si>
    <t>CARBON MANAG</t>
  </si>
  <si>
    <t>Carbon Manag.</t>
  </si>
  <si>
    <t>DEC 31</t>
  </si>
  <si>
    <t>10.1080/17583004.2025.2465328</t>
  </si>
  <si>
    <t>Environmental Sciences; Environmental Studies</t>
  </si>
  <si>
    <t>X8A4D</t>
  </si>
  <si>
    <t>WOS:001427505700001</t>
  </si>
  <si>
    <t>Sirigina, DSSS; Goel, A; Nazir, SM</t>
  </si>
  <si>
    <t>Sirigina, Devesh Sathya Sri Sairam; Goel, Aditya; Nazir, Shareq Mohd</t>
  </si>
  <si>
    <t>Process concepts and analysis for co-removing methane and carbon dioxide from the atmosphere</t>
  </si>
  <si>
    <t>SPECIAL TOPICS-MITIGATION; NITROUS-OXIDE EMISSIONS; SELECTIVE CATALYTIC-REDUCTION; ROOM-TEMPERATURE; AUTO-IGNITION; COMBUSTION; OXIDATION; AIR; OXYGEN; N2O</t>
  </si>
  <si>
    <t>Methane is the second largest contributor to global warming after CO2, and it is hard to abate due to its low concentration in the emission sources and in the atmosphere. However, removing methane from the atmosphere will accelerate achieving net-zero targets, since its global warming potential is 28 over a 100-year period. This work presents first-of-its-kind process concepts for co-removal of methane and CO2 that combines the catalytic conversion of methane step (thermal/photo-catalytic) with CO2 capture. Proposed processes have been analyzed for streams with lean methane concentrations, which are non-fossil emissions originating in the agricultural sector or natural emissions from wetlands. If the proposed processes can overcome challenges in catalyst/material design to convert methane at low concentrations, they have the potential to remove more than 40% of anthropogenic and natural methane emissions from the atmosphere at a lower energy penalty than the state-of-the-art technologies for direct air capture of CO2.</t>
  </si>
  <si>
    <t>[Sirigina, Devesh Sathya Sri Sairam; Nazir, Shareq Mohd] KTH Royal Inst Technol, Dept Chem Engn, S-11428 Stockholm, Sweden; [Goel, Aditya] Columbia Univ, Dept Chem Engn, New York, NY 10027 USA; [Goel, Aditya] Birla Inst Technol &amp; Sci, Dept Chem Engn, Pilani Goa Campus, Sancoale 403726, Goa, India</t>
  </si>
  <si>
    <t>Royal Institute of Technology; Columbia University; Birla Institute of Technology &amp; Science Pilani (BITS Pilani)</t>
  </si>
  <si>
    <t>Sirigina, DSSS; Nazir, SM (corresponding author), KTH Royal Inst Technol, Dept Chem Engn, S-11428 Stockholm, Sweden.</t>
  </si>
  <si>
    <t>sirigina@kth.se; smnazir@kth.se</t>
  </si>
  <si>
    <t>Nazir, Shareq/AAF-9688-2019</t>
  </si>
  <si>
    <t>Sirigina, Devesh Sathya Sri Sairam/0000-0002-4702-8081</t>
  </si>
  <si>
    <t>Energimyndigheten (Swedish Energy Agency) [50340-1]; Swedish governmental initiative StandUp for Energy</t>
  </si>
  <si>
    <t>Energimyndigheten (Swedish Energy Agency)(Swedish Energy Agency); Swedish governmental initiative StandUp for Energy</t>
  </si>
  <si>
    <t>The work is part of the project Energieffektiv negativa utslaepp fran jordbrukssektorn [In English: Energy efficient negative emissions from agriculture and farming] (project number 50340-1) funded by Energimyndigheten (Swedish Energy Agency). This work is also co-financed by the Swedish governmental initiative StandUp for Energy.</t>
  </si>
  <si>
    <t>OCT 12</t>
  </si>
  <si>
    <t>10.1038/s41598-023-44582-w</t>
  </si>
  <si>
    <t>W1GS2</t>
  </si>
  <si>
    <t>WOS:001089186400064</t>
  </si>
  <si>
    <t>Luo, X; Ao, XH; Zhang, Z; Wan, Q; Liu, XJ</t>
  </si>
  <si>
    <t>Luo Xiang; Ao Xinhe; Zhang Zuo; Wan Qing; Liu Xingjian</t>
  </si>
  <si>
    <t>Spatiotemporal variations of cultivated land use efficiency in the Yangtze River Economic Belt based on carbon emission constraints</t>
  </si>
  <si>
    <t>JOURNAL OF GEOGRAPHICAL SCIENCES</t>
  </si>
  <si>
    <t>Yangtze River Economic Belt; carbon emissions; cultivated land use efficiency; Tobit model</t>
  </si>
  <si>
    <t>ENERGY EFFICIENCY; CROP PRODUCTION; CHINA; AGRICULTURE; TILLAGE; SEQUESTRATION; URBANIZATION; PRODUCTIVITY; VARIABILITY; PROTECTION</t>
  </si>
  <si>
    <t>In this study, the carbon emissions (CEs) from cultivated land (CL) were included as an undesirable output in the utilization efficiency of such land. A slack-based model was used to calculate the CL use efficiency (CLUE) for 11 provinces and cities in the Yangtze River Economic Belt (YREB) from 2007 to 2016, and then a kernel density estimation map was drawn to analyze the spatiotemporal variations of CLUE. The Tobit model was also employed to analyze the factors affecting the CLUE. The results show the following. 1) In the YREB, the CEs from CL showed a rising and then a slowly decreasing trend. In this paper, we calculate CEs by carbon emission factors and major carbon sources, and the CEs from CL in the YREB totaled 25.2354 million tons in 2007. By 2014, the value had increased gradually to 28.4400 million tons, and by 2016 it had declined to 27.8922 million tons, suggesting that the carbon-emission reduction measures of the government had an impact. 2) The CLUE of various provinces and cities in the YREB showed an upward trend in the time dimension, while for the spatial dimension, the kernel density was high in the east and low in the west, and the areas with high kernel density were mainly located in the Yangtze River Delta. 3) The per capita gross domestic product, the primary industrial output, and the number of agricultural technicians per 10,000 people had positive effects on the CLUE. The CL area per capita and the electrical power per hectare for agricultural machinery had significant negative impacts on CLUE. In addition, every 1% increase in the number of agricultural technicians increased the CLUE by 0.057%.</t>
  </si>
  <si>
    <t>[Luo Xiang; Ao Xinhe; Zhang Zuo] Cent China Normal Univ, Coll Publ Adm, Wuhan 430079, Peoples R China; [Wan Qing] Wuhan Inst Technol, Sch Management, Wuhan 430205, Peoples R China; [Liu Xingjian] Univ Hong Kong, Dept Urban Planning &amp; Design, Hong Kong 999077, Peoples R China</t>
  </si>
  <si>
    <t>Central China Normal University; Wuhan Institute of Technology; University of Hong Kong</t>
  </si>
  <si>
    <t>Wan, Q (corresponding author), Wuhan Inst Technol, Sch Management, Wuhan 430205, Peoples R China.</t>
  </si>
  <si>
    <t>philiplaw@163.com; wanqing1989@126.com</t>
  </si>
  <si>
    <t>Zhang, Qing xia/JFH-8246-2023; Wan, Qing/IQS-3839-2023</t>
  </si>
  <si>
    <t>National Natural Science Foundation of China [71947071, 71904151, 71774066]; Hong Kong Research Grant Council [ECS27604016]; Self-Determined Research Funds of CCNU from the Colleges' Basic Research and Operation of MOE [CCNU19TD004]</t>
  </si>
  <si>
    <t>National Natural Science Foundation of China(National Natural Science Foundation of China (NSFC)); Hong Kong Research Grant Council(Hong Kong Research Grants Council); Self-Determined Research Funds of CCNU from the Colleges' Basic Research and Operation of MOE</t>
  </si>
  <si>
    <t>National Natural Science Foundation of China, No.71947071, No.71904151, No.71774066; Hong Kong Research Grant Council, No.ECS27604016; Financially Supported by Self-Determined Research Funds of CCNU from the Colleges' Basic Research and Operation of MOE, No.CCNU19TD004.</t>
  </si>
  <si>
    <t>SCIENCE PRESS</t>
  </si>
  <si>
    <t>BEIJING</t>
  </si>
  <si>
    <t>16 DONGHUANGCHENGGEN NORTH ST, BEIJING 100717, PEOPLES R CHINA</t>
  </si>
  <si>
    <t>1009-637X</t>
  </si>
  <si>
    <t>1861-9568</t>
  </si>
  <si>
    <t>J GEOGR SCI</t>
  </si>
  <si>
    <t>J. Geogr. Sci.</t>
  </si>
  <si>
    <t>APR</t>
  </si>
  <si>
    <t>10.1007/s11442-020-1741-8</t>
  </si>
  <si>
    <t>Geography, Physical</t>
  </si>
  <si>
    <t>Physical Geography</t>
  </si>
  <si>
    <t>LH1OV</t>
  </si>
  <si>
    <t>WOS:000528559600002</t>
  </si>
  <si>
    <t>Qi, L; Li, YN</t>
  </si>
  <si>
    <t>Qi, Li; Li, Yanan</t>
  </si>
  <si>
    <t>Balancing productivity and carbon emissions: the potential for carbon reduction in wheat fertilization practices in China</t>
  </si>
  <si>
    <t>FRONTIERS IN ENVIRONMENTAL SCIENCE</t>
  </si>
  <si>
    <t>chemical fertilizer; wheat; carbon emission; sfa; soil testing and fertilizer recommendation</t>
  </si>
  <si>
    <t>The irrational application of chemical fertilizers in wheat cultivation not only threatens the agricultural ecosystem but also significantly contributes to carbon emissions, impeding the achievement of carbon peaking and carbon neutrality goals. The objective of this research is to assess the efficiency of chemical fertilizer use in wheat production across ten major wheat-producing provinces in China from 2004 to 2020. We employed a stochastic frontier production function to evaluate the technical efficiency of fertilizer use, determining feasible reduction levels. The Gini coefficient, kernel density estimation, and Markov chain analysis were further utilized to dissect the spatio-temporal dynamics of carbon emission reduction potential. Our findings provide a detailed analysis of the carbon emission reduction potential in wheat chemical fertilizer use across China's ten major wheat-producing provinces from 2004 to 2020. The average carbon emission reduction potential is significant, at 251.1 kg CE/hm2, with considerable variation observed among regions. The western region, in particular, stands out with the highest potential, reaching up to 336.51 kg CE/hm2, which is notably higher compared to the eastern (230.05 kg CE/hm2) and central regions (158.28 kg CE/hm2). The spatial distribution of this potential is uneven, and the disparities are progressively increasing, primarily due to inter-regional differences. Despite a general decline in carbon reduction potential, the spatial distribution remains relatively consistent. To foster sustainable wheat production, it is imperative to prioritize the western region for targeted chemical fertilizer carbon reduction initiatives. Attention must also be given to the issue of regional disparities in low-carbon wheat production. Enhancing the role of soil testing and fertilizer recommendations is essential to increase the effectiveness of carbon reduction efforts. Additionally, a multi-faceted approach that incorporates various alternative measures is necessary to drive further reductions in chemical fertilizer-related carbon emissions.</t>
  </si>
  <si>
    <t>[Qi, Li; Li, Yanan] Shaanxi Prov Land Engn Construct Grp Co Ltd, Inst Land Engn &amp; Technol, Xian, Peoples R China</t>
  </si>
  <si>
    <t>Qi, L (corresponding author), Shaanxi Prov Land Engn Construct Grp Co Ltd, Inst Land Engn &amp; Technol, Xian, Peoples R China.</t>
  </si>
  <si>
    <t>420778295@qq.com</t>
  </si>
  <si>
    <t>LI, YANAN/NAZ-1208-2025</t>
  </si>
  <si>
    <t>Key industrial chain Project of Shaanxi Province: Research on ecological evolution mechanism and coping technology of the Shaanxi Section of the Yellow River Basin under Climate Change [2022ZDLSF06-04]; Project of Shaanxi Provence Land Engineering Construction Group [DJNY 2024-37]; Shaanxi Province key research and development project [2023-YBSF-454]</t>
  </si>
  <si>
    <t>Key industrial chain Project of Shaanxi Province: Research on ecological evolution mechanism and coping technology of the Shaanxi Section of the Yellow River Basin under Climate Change; Project of Shaanxi Provence Land Engineering Construction Group; Shaanxi Province key research and development project</t>
  </si>
  <si>
    <t>The author(s) declare that financial support was received for the research, authorship, and/or publication of this article. This study was supported by the Key industrial chain Project of Shaanxi Province: Research on ecological evolution mechanism and coping technology of the Shaanxi Section of the Yellow River Basin under Climate Change (2022ZDLSF06-04) and the project of Shaanxi Provence Land Engineering Construction Group (DJNY 2024-37) and Shaanxi Province key research and development project (2023-YBSF-454).</t>
  </si>
  <si>
    <t>FRONTIERS MEDIA SA</t>
  </si>
  <si>
    <t>AVENUE DU TRIBUNAL FEDERAL 34, LAUSANNE, CH-1015, SWITZERLAND</t>
  </si>
  <si>
    <t>2296-665X</t>
  </si>
  <si>
    <t>FRONT ENV SCI-SWITZ</t>
  </si>
  <si>
    <t>Front. Environ. Sci.</t>
  </si>
  <si>
    <t>JUL 19</t>
  </si>
  <si>
    <t>10.3389/fenvs.2024.1427250</t>
  </si>
  <si>
    <t>A3X1X</t>
  </si>
  <si>
    <t>WOS:001281886200001</t>
  </si>
  <si>
    <t>Sarkar, R</t>
  </si>
  <si>
    <t>Sarkar, Reshmi</t>
  </si>
  <si>
    <t>Global challenges and adaptations in management practices to preserve soil carbon pool with changing climate</t>
  </si>
  <si>
    <t>ENVIRONMENTAL EARTH SCIENCES</t>
  </si>
  <si>
    <t>Soil carbon (C); Climate change; Soil fertility; Adaptation of management practices; Land-use change; Restoration of soil C pool; Agricultural system; Grasslands; Forest ecosystem</t>
  </si>
  <si>
    <t>GREENHOUSE-GAS EMISSIONS; LAND-USE CHANGE; ORGANIC-CARBON; NITROGEN MANAGEMENT; MANGROVE FORESTS; SEQUESTRATION; GRASSLAND; QUALITY; MATTER; DEFORESTATION</t>
  </si>
  <si>
    <t>Increasing CO2 levels and its consequent effects have been prominent with climate change. Three out of ten transgressed planetary boundaries reflect our planet's status at tipping point. Soil Organic Carbon (SOC) which helps soil supply water and nutrients to plants through roots is inherently related to various ecological systems and needs urgent attention. Although the total SOC globally is more than the total carbon in biosphere and atmosphere, the vulnerability of SOC due to anthropogenic activities is unavoidable. The environmental factors affecting sequestration of SOC, soil fertility, crop production, accelerated SOC removal with rising temperatures, green-house gases emissions and climate change are interrelated. Thus, it is impossible to understand and estimate the various scenarios of impacts on SOC pool with ever-changing ecosystems and related processes in soil environment completely. Based on currently predicted climate change scenarios, if deforestation is controlled and reestablishment is achieved, tropical forests can trap atmospheric CO2 in the cheapest way and function as the largest sink on earth. The agricultural management practices (AMPs), which have been practiced in the last two decades and found helpful are suitable. However, some innovative adaptations such as crop modelling, selecting types of residue to change microbial communities, practices of grassland-grazing and low-C-emission AMPs are also necessary. To achieve the millennium development goals, we must accomplish food security, which relates all 17 sustainable development goals (SDGs) also relays agricultural systems, soil systems, ecosystem services, soil fertility and how best we nurture SOC pool with supportive AMPs.</t>
  </si>
  <si>
    <t>[Sarkar, Reshmi] Texas A&amp; M Agrilife Res &amp; Extens Ctr, Overton, TX 75684 USA</t>
  </si>
  <si>
    <t>Sarkar, R (corresponding author), Texas A&amp; M Agrilife Res &amp; Extens Ctr, Overton, TX 75684 USA.</t>
  </si>
  <si>
    <t>Reshmi.sarkar@ag.tamu.edu</t>
  </si>
  <si>
    <t>Sarkar, Reshmi/V-4024-2018</t>
  </si>
  <si>
    <t>Sarkar, Reshmi/0000-0003-2415-8876</t>
  </si>
  <si>
    <t>NEW YORK</t>
  </si>
  <si>
    <t>ONE NEW YORK PLAZA, SUITE 4600, NEW YORK, NY, UNITED STATES</t>
  </si>
  <si>
    <t>1866-6280</t>
  </si>
  <si>
    <t>1866-6299</t>
  </si>
  <si>
    <t>ENVIRON EARTH SCI</t>
  </si>
  <si>
    <t>Environ. Earth Sci.</t>
  </si>
  <si>
    <t>10.1007/s12665-018-7600-6</t>
  </si>
  <si>
    <t>Environmental Sciences; Geosciences, Multidisciplinary; Water Resources</t>
  </si>
  <si>
    <t>Environmental Sciences &amp; Ecology; Geology; Water Resources</t>
  </si>
  <si>
    <t>GM9ME</t>
  </si>
  <si>
    <t>WOS:000438572000002</t>
  </si>
  <si>
    <t>da Vitória, YT; Leite, MCT; Delgado, RC; Moreira, GF; de Oliveira, EC; Quartezani, WZ; de Sales, RA</t>
  </si>
  <si>
    <t>da Vitoria, Yago T.; Leite, Marta Cristina T.; Delgado, Rafael C.; Moreira, Grazielle F.; de Oliveira, Evandro C.; Quartezani, Waylson Z.; de Sales, Ramon A.</t>
  </si>
  <si>
    <t>Soil carbon dioxide efflux in conilon coffee (Coffea canephora Pierre ex A. Froehner) plantations in different phenological phases in tropical climate in Brazil</t>
  </si>
  <si>
    <t>CHILEAN JOURNAL OF AGRICULTURAL RESEARCH</t>
  </si>
  <si>
    <t>Agricultural culture; basal respiration; CO2; phenology</t>
  </si>
  <si>
    <t>CO2 EMISSION; LAND-USE</t>
  </si>
  <si>
    <t>The agricultural sector is considered an important source of greenhouse gases, in which the coffee crop has an important contribution, participating in the dynamics of soil C and CO2 emissions. In this way, the aim of this study was to analyze and quantify CO2 emissions in different phenological phases in soil cultivated with conilon coffee (Coffea canephora Pierre ex A. Froehner), and compare it with CO(2 )flow in forest and pasture area. The experiment was conducted in the Experimental Area of the Federal Institute of Espirito Santo, Southeastern Brazil, in an experimental plot of 0.5 ha cultivated with conilon Vitoria coffee clones. The quantification of soil CO2 flux was performed between July 2016 and June 2017, this period comprising all the seasons of the year, using in two rounds of ratings (day and night), with five replicates each. For comparison purposes, another measurement of the CO2 stream was conducted in June 2017 with an evaluation period of 24 h. The highest CO2 emission occurred during the harvest phases of the fruit (206.7 mg CO2 m(-2)h(-1)). The lowest daily CO(2)flow records were observed in the rest and flowering phases with values of 82.1 and 83.6 CO2 mg m(-2) h(-1), respectively. The CO2 emission from the forest was higher than the emissions that occurred in the area planted with conilon coffee and pasture, during dry season.</t>
  </si>
  <si>
    <t>[da Vitoria, Yago T.; Leite, Marta Cristina T.; Moreira, Grazielle F.; de Oliveira, Evandro C.] Inst Fed Educ Ciencia &amp; Tecnol Espirito Santo, Campus Itapina, BR-29700970 Colatina, ES, Brazil; [Delgado, Rafael C.] Univ Fed Rural Rio de Janeiro, BR-23890000 Seropedica, RJ, Brazil; [Quartezani, Waylson Z.] Inst Fed Educ Ciencia &amp; Tecnol Espirito Santo, Campus Montanha, BR-29890000 Montanha, ES, Brazil; [de Sales, Ramon A.] Univ Fed Vicosa, Dept Fitotecnia, BR-36570900 Vicosa, MG, Brazil</t>
  </si>
  <si>
    <t>Instituto Federal do Espirito Santo (IFES); Universidade Federal Rural do Rio de Janeiro (UFRRJ); Instituto Federal do Espirito Santo (IFES); Universidade Federal de Vicosa</t>
  </si>
  <si>
    <t>de Sales, RA (corresponding author), Univ Fed Vicosa, Dept Fitotecnia, BR-36570900 Vicosa, MG, Brazil.</t>
  </si>
  <si>
    <t>ramonamarodesales@gmail.com</t>
  </si>
  <si>
    <t>Delgado, Rafael/D-2879-2013; de Sales, Ramon/L-8881-2016; Quartezani, Waylson/H-2700-2018; Coll Delgado, Rafael/D-2879-2013</t>
  </si>
  <si>
    <t>Amaro de Sales, Ramon/0000-0002-1872-7182; Coll Delgado, Rafael/0000-0002-3157-2277; Quartezani, Waylson Zancanella/0000-0002-2700-332X</t>
  </si>
  <si>
    <t>Foundation for Support to Research and Innovation of Espirito Santo [006/2014]</t>
  </si>
  <si>
    <t>Foundation for Support to Research and Innovation of Espirito Santo</t>
  </si>
  <si>
    <t>To the Foundation for Support to Research and Innovation of Espirito Santo (Edital Fapes No 006/2014 - Universal Individual Project of Research) for the financial assistance of funding and research grant.</t>
  </si>
  <si>
    <t>INST INVESTIGACIONES AGROPECUARIAS</t>
  </si>
  <si>
    <t>CHILLAN</t>
  </si>
  <si>
    <t>CENTRO REGIONAL DE INVESTIGACION QUILAMAPU, CASILLA 426, CHILLAN, 00000, CHILE</t>
  </si>
  <si>
    <t>0718-5839</t>
  </si>
  <si>
    <t>CHIL J AGR RES</t>
  </si>
  <si>
    <t>Chil. J. Agric. Res.</t>
  </si>
  <si>
    <t>JUL-SEP</t>
  </si>
  <si>
    <t>10.4067/S0718-58392019000300366</t>
  </si>
  <si>
    <t>Agriculture, Multidisciplinary; Agronomy</t>
  </si>
  <si>
    <t>IE9UA</t>
  </si>
  <si>
    <t>WOS:000472720900004</t>
  </si>
  <si>
    <t>Wang, ML; McCarl, B; Wei, HL; Shiva, L</t>
  </si>
  <si>
    <t>Wang, Minglu; McCarl, Bruce; Wei, Hanlin; Shiva, Layla</t>
  </si>
  <si>
    <t>Unintended Consequences of Agricultural Participation in Voluntary Carbon Markets: Their Nature and Avoidance</t>
  </si>
  <si>
    <t>COMPLEXITY</t>
  </si>
  <si>
    <t>GREENHOUSE-GAS MITIGATION; ADVERSE SELECTION; BASE-LINE; OFFSETS; COMPETITIVENESS; REDUCTIONS; PERMANENCE; LEAKAGE</t>
  </si>
  <si>
    <t>Greenhouse gas (GHG) trading markets have been widely discussed for climate change mitigation. However in implementation coverage has not been universal. Agriculture, despite being the source of nearly 25% of net emissions, has not commonly been capped. But it has been mentioned as voluntary source of net emission offsets. Such offsets could arise from action reducing GHG emissions, enhancing sequestration, or producing feedstocks for low emitting bioenergy replacements for fossil based energy. This could be harnessed by setting up voluntary carbon markets that producers could join at their discretion. However, such a scheme could have unintended consequences. We conduct theoretical and empirical analyses of a voluntary carbon market examining both intended and unintended effects. We find certain participation rules can stimulate rebound effects from emitters and suppress participation from sequestration and bioenergy producing entities. To overcome this we develop and simulate offset participation limitations that could preclude unintended consequences.</t>
  </si>
  <si>
    <t>[Wang, Minglu] Southwestern Univ Finance &amp; Econ, Sch Publ Finance &amp; Taxat, Chengdu, Peoples R China; [McCarl, Bruce] Texas A&amp;M Univ, Dept Agr Econ, College Stn, TX 77843 USA; [Wei, Hanlin] China Agr Univ, Coll Econ &amp; Management, Beijing, Peoples R China; [Shiva, Layla] Tehran Inst Adv Studies, Dept Econ, Tehran, Iran</t>
  </si>
  <si>
    <t>Southwestern University of Finance &amp; Economics - China; Texas A&amp;M University System; Texas A&amp;M University College Station; China Agricultural University</t>
  </si>
  <si>
    <t>McCarl, B (corresponding author), Texas A&amp;M Univ, Dept Agr Econ, College Stn, TX 77843 USA.</t>
  </si>
  <si>
    <t>wangml1120@gmail.com; brucemccarl@gmail.com; poigfdsa@gmail.com; laylashiva@gmail.com</t>
  </si>
  <si>
    <t>McCarl, Bruce/E-9445-2011</t>
  </si>
  <si>
    <t>Wei, Hanlin/0000-0002-4559-4573; Wang, Minglu/0000-0002-8705-1809; MCCARL, BRUCE/0000-0002-8864-186X</t>
  </si>
  <si>
    <t>WILEY-HINDAWI</t>
  </si>
  <si>
    <t>ADAM HOUSE, 3RD FL, 1 FITZROY SQ, LONDON, WIT 5HE, ENGLAND</t>
  </si>
  <si>
    <t>1076-2787</t>
  </si>
  <si>
    <t>1099-0526</t>
  </si>
  <si>
    <t>Complexity</t>
  </si>
  <si>
    <t>JUL 17</t>
  </si>
  <si>
    <t>10.1155/2021/9518135</t>
  </si>
  <si>
    <t>Mathematics, Interdisciplinary Applications; Multidisciplinary Sciences</t>
  </si>
  <si>
    <t>Mathematics; Science &amp; Technology - Other Topics</t>
  </si>
  <si>
    <t>TT7IV</t>
  </si>
  <si>
    <t>WOS:000680519200006</t>
  </si>
  <si>
    <t>Lugato, E; Panagos, P; Bampa, F; Jones, A; Montanarella, L</t>
  </si>
  <si>
    <t>Lugato, Emanuele; Panagos, Panos; Bampa, Francesca; Jones, Arwyn; Montanarella, Luca</t>
  </si>
  <si>
    <t>A new baseline of organic carbon stock in European agricultural soils using a modelling approach</t>
  </si>
  <si>
    <t>GLOBAL CHANGE BIOLOGY</t>
  </si>
  <si>
    <t>agriculture; CENTURY model; climate change scenario; sequestration; soil organic carbon stock; Tier 3 approach</t>
  </si>
  <si>
    <t>LAND-USE CHANGE; PROJECTED CHANGES; CLIMATE; SEQUESTRATION; DYNAMICS; MANAGEMENT; NORTHEAST; CROPLANDS; STORAGE; POOLS</t>
  </si>
  <si>
    <t>Proposed European policy in the agricultural sector will place higher emphasis on soil organic carbon (SOC), both as an indicator of soil quality and as a means to offset CO2 emissions through soil carbon (C) sequestration. Despite detailed national SOC data sets in several European Union (EU) Member States, a consistent C stock estimation at EU scale remains problematic. Data are often not directly comparable, different methods have been used to obtain values (e.g. sampling, laboratory analysis) and access may be restricted. Therefore, any evolution of EU policies on C accounting and sequestration may be constrained by a lack of an accurate SOC estimation and the availability of tools to carry out scenario analysis, especially for agricultural soils. In this context, a comprehensive model platform was established at a pan-European scale (EU+Serbia, Bosnia and Herzegovina, Croatia, Montenegro, Albania, Former Yugoslav Republic of Macedonia and Norway) using the agro-ecosystem SOC model CENTURY. Almost 164000 combinations of soil-climate-land use were computed, including the main arable crops, orchards and pasture. The model was implemented with the main management practices (e.g. irrigation, mineral and organic fertilization, tillage) derived from official statistics. The model results were tested against inventories from the European Environment and Observation Network (EIONET) and approximately 20000 soil samples from the 2009 LUCAS survey, a monitoring project aiming at producing the first coherent, comprehensive and harmonized top-soil data set of the EU based on harmonized sampling and analytical methods. The CENTURY model estimation of the current 0-30cm SOC stock of agricultural soils was 17.63Gt; the model uncertainty estimation was below 36% in half of the NUTS2 regions considered. The model predicted an overall increase of this pool according to different climate-emission scenarios up to 2100, with C loss in the south and east of the area (involving 30% of the whole simulated agricultural land) compensated by a gain in central and northern regions. Generally, higher soil respiration was offset by higher C input as a consequence of increased CO2 atmospheric concentration and favourable crop growing conditions, especially in northern Europe. Considering the importance of SOC in future EU policies, this platform of simulation appears to be a very promising tool to orient future policymaking decisions.</t>
  </si>
  <si>
    <t>[Lugato, Emanuele; Panagos, Panos; Bampa, Francesca; Jones, Arwyn; Montanarella, Luca] Commiss European Communities, Joint Res Ctr, Inst Environm &amp; Sustainabil, I-21027 Ispra, VA, Italy</t>
  </si>
  <si>
    <t>European Commission Joint Research Centre; EC JRC ISPRA Site</t>
  </si>
  <si>
    <t>Lugato, E (corresponding author), Commiss European Communities, Joint Res Ctr, Inst Environm &amp; Sustainabil, Via E Fermi, I-21027 Ispra, VA, Italy.</t>
  </si>
  <si>
    <t>emanuele.lugato@jrc.ec.europa.eu</t>
  </si>
  <si>
    <t>lugato, emanuele/F-6947-2010; Montanarella, Luca/AAE-7112-2019; Panagos, Panos/F-1699-2011</t>
  </si>
  <si>
    <t>Jones, Arwyn/0000-0002-8552-6137; Panagos, Panos/0000-0003-1484-2738; lugato, emanuele/0000-0002-8947-352X</t>
  </si>
  <si>
    <t>1354-1013</t>
  </si>
  <si>
    <t>1365-2486</t>
  </si>
  <si>
    <t>GLOBAL CHANGE BIOL</t>
  </si>
  <si>
    <t>Glob. Change Biol.</t>
  </si>
  <si>
    <t>10.1111/gcb.12292</t>
  </si>
  <si>
    <t>Biodiversity Conservation; Ecology; Environmental Sciences</t>
  </si>
  <si>
    <t>Biodiversity &amp; Conservation; Environmental Sciences &amp; Ecology</t>
  </si>
  <si>
    <t>266BZ</t>
  </si>
  <si>
    <t>WOS:000327998600028</t>
  </si>
  <si>
    <t>Noojipady, P; Morton, DC; Macedo, MN; Victoria, DC; Huang, CQ; Gibbs, HK; Bolfe, EL</t>
  </si>
  <si>
    <t>Noojipady, Praveen; Morton, Douglas C.; Macedo, Marcia N.; Victoria, Daniel C.; Huang, Chengquan; Gibbs, Holly K.; Bolfe, Edson L.</t>
  </si>
  <si>
    <t>Forest carbon emissions from cropland expansion in the Brazilian Cerrado biome</t>
  </si>
  <si>
    <t>ENVIRONMENTAL RESEARCH LETTERS</t>
  </si>
  <si>
    <t>Cerrado; Matopiba; carbon emissions; land-use; deforestation; agriculture expansion; remote sensing</t>
  </si>
  <si>
    <t>GREENHOUSE-GAS EMISSIONS; LAND-USE CHANGE; SOUTHERN AMAZON; DEFORESTATION; DROUGHT; FIRE; INTENSIFICATION; CONSERVATION; AGRICULTURE; DEGRADATION</t>
  </si>
  <si>
    <t>Land use, land use change, and forestry accounted for two-thirds of Brazil's greenhouse gas emissions profile in 2005. Amazon deforestation has declined by more than 80% over the past decade, yet Brazil's forests extend beyond the Amazon biome. Rapid expansion of cropland in the neighboring Cerrado biome has the potential to undermine climate mitigation efforts if emissions from dry forest and woodland conversion negate some of the benefits of avoided Amazon deforestation. Here, we used satellite data on cropland expansion, forest cover, and vegetation carbon stocks to estimate annual gross forest carbon emissions from cropland expansion in the Cerrado biome. Nearly half of the Cerrado met Brazil's definition of forest cover in 2000 (&gt;= 0.5 ha with &gt;= 10% canopy cover). In areas of established crop production, conversion of both forest and non-forest Cerrado formations for cropland declined during 2003-2013. However, forest carbon emissions from cropland expansion increased over the past decade in Matopiba, a new frontier of agricultural production that includes portions of Maranhao, Tocantins, Piau, and Bahia states. Gross carbon emissions from cropland expansion in the Cerrado averaged 16.28 Tg C yr(-1) between 2003 and 2013, with forest-to-cropland conversion accounting for 29% of emissions. The fraction of forest carbon emissions from Matopiba was much higher; between 2010-2013, large-scale cropland conversion in Matopiba contributed 45% of total Cerrado forest carbon emissions. Carbon emissions from Cerrado-to-cropland transitions offset 5%-7% of the avoided emissions from reduced Amazon deforestation rates during 2011-2013. Comprehensive national estimates of forest carbon fluxes, including all biomes, are critical to detect cross-biome leakage within countries and achieve climate mitigation targets to reduce emissions from land use, land use change, and forestry.</t>
  </si>
  <si>
    <t>[Noojipady, Praveen; Morton, Douglas C.] NASA, Goddard Space Flight Ctr, Greenbelt, MD 20771 USA; [Noojipady, Praveen; Huang, Chengquan] Univ Maryland, College Pk, MD 20742 USA; [Macedo, Marcia N.] Woods Hole Res Ctr, Falmouth, MA 02540 USA; [Macedo, Marcia N.] Amazon Environm Res Insitute IPAM, BR-71503505 Brasilia, DF, Brazil; [Victoria, Daniel C.] Brazilian Agr Res Corp Embrapa Agr Informat, BR-13083886 Campinas, SP, Brazil; [Gibbs, Holly K.] Univ Wisconsin, Madison, WI 53706 USA; [Bolfe, Edson L.] Brazilian Agr Res Corp Embrapa, Secretariat Intelligence &amp; Macrostrategy, BR-70770901 Brasilia, DF, Brazil</t>
  </si>
  <si>
    <t>National Aeronautics &amp; Space Administration (NASA); NASA Goddard Space Flight Center; University System of Maryland; University of Maryland College Park; Woodwell Climate Research Center; Empresa Brasileira de Pesquisa Agropecuaria (EMBRAPA); University of Wisconsin System; University of Wisconsin Madison; Empresa Brasileira de Pesquisa Agropecuaria (EMBRAPA)</t>
  </si>
  <si>
    <t>Noojipady, P (corresponding author), NASA, Goddard Space Flight Ctr, Greenbelt, MD 20771 USA.;Noojipady, P (corresponding author), Univ Maryland, College Pk, MD 20742 USA.</t>
  </si>
  <si>
    <t>praveen.noojipady@nasa.gov</t>
  </si>
  <si>
    <t>; Macedo, Marcia/HSF-2886-2023; Morton, Douglas/D-5044-2012; Nunes Macedo, Marcia/N-3044-2017; Noojipady, Praveen/B-2511-2010; Gibbs, Holly/JQW-0283-2023; Bolfe, Edson/A-7016-2013</t>
  </si>
  <si>
    <t>Bolfe, Édson Luis/0000-0001-7777-2445; Nunes Macedo, Marcia/0000-0001-8102-5901;</t>
  </si>
  <si>
    <t>NASA [NNX11AE56G]; Norwegian Agency for Development Cooperation's Civil Society Department under Norway's International Climate and Forest Initiative; NASA [146141, NNX11AE56G] Funding Source: Federal RePORTER</t>
  </si>
  <si>
    <t>NASA(National Aeronautics &amp; Space Administration (NASA)); Norwegian Agency for Development Cooperation's Civil Society Department under Norway's International Climate and Forest Initiative; NASA(National Aeronautics &amp; Space Administration (NASA))</t>
  </si>
  <si>
    <t>Funding for this study was provided by NASA's Carbon Monitoring System, Interdisciplinary Science, and Land-Cover and Land-Use Change (NNX11AE56G) Programs, and the Norwegian Agency for Development Cooperation's Civil Society Department under Norway's International Climate and Forest Initiative.</t>
  </si>
  <si>
    <t>IOP PUBLISHING LTD</t>
  </si>
  <si>
    <t>BRISTOL</t>
  </si>
  <si>
    <t>TEMPLE CIRCUS, TEMPLE WAY, BRISTOL BS1 6BE, ENGLAND</t>
  </si>
  <si>
    <t>1748-9326</t>
  </si>
  <si>
    <t>ENVIRON RES LETT</t>
  </si>
  <si>
    <t>Environ. Res. Lett.</t>
  </si>
  <si>
    <t>10.1088/1748-9326/aa5986</t>
  </si>
  <si>
    <t>Environmental Sciences; Meteorology &amp; Atmospheric Sciences</t>
  </si>
  <si>
    <t>Environmental Sciences &amp; Ecology; Meteorology &amp; Atmospheric Sciences</t>
  </si>
  <si>
    <t>FG5OO</t>
  </si>
  <si>
    <t>WOS:000410375900001</t>
  </si>
  <si>
    <t>Xia, Q; Liao, M; Xie, XM; Guo, B; Lu, XY; Qiu, H</t>
  </si>
  <si>
    <t>Xia, Qing; Liao, Min; Xie, Xiaomei; Guo, Bin; Lu, Xinyue; Qiu, Hao</t>
  </si>
  <si>
    <t>Agricultural carbon emissions in Zhejiang Province, China (2001-2020): changing trends, influencing factors, and has it achieved synergy with food security and economic development?</t>
  </si>
  <si>
    <t>ENVIRONMENTAL MONITORING AND ASSESSMENT</t>
  </si>
  <si>
    <t>Agricultural carbon emissions; Agricultural carbon sources; Influencing factors; Food security; Agricultural economic development; Synergy</t>
  </si>
  <si>
    <t>DECOMPOSITION ANALYSIS; DIOXIDE EMISSION; TILLAGE; FLUX</t>
  </si>
  <si>
    <t>Given the huge carbon footprint of agricultural activities, reduction in agricultural carbon emission (ACE) is important to achieve China's carbon peaking and carbon neutrality goals, but it may affect agricultural food security and economic development. Therefore, it is important for scientific carbon reduction measures to understand the multi-year trends and the influencing factors of ACE, and clarify whether the process of ACE affects food security and economic development. This study analyzed the trends of total ACE and ACE caused by different agricultural carbon sources (ACS) from 2001 to 2020 in Zhejiang Province, then we revealed the main influencing factors of ACE based on the logarithmic mean Divisia index (LMDI) model and dissected the relationship between ACE and food security and economic development. Results show that the total ACE fluctuated from 6.10 Mt in 2001 to 3.93 Mt in 2020, and the process included a decrease in 2001-2003 and 2005-2020 and an increase in 2003-2005. The decrease in ACE, from 2001 to 2014, was mainly due to the decline in rice acreage, which contributed 90.38%; from 2014 to 2020, it was by the reduction in the use of fertilizer, diesel, and pesticide, which contributed 83.9%. As drivers, agricultural economic development effect and total population size effect drove 4.25 and 1.54 Mt of ACE, respectively. As inhibitors, planting structure effect, technology development effect, and population structure effect inhibited 3.12, 2.11, and 2.74 Mt of ACE, respectively. With the reduction of ACE, the agricultural economy continued to grow, but the food security situation was pessimistic, indicating that ACE reduction has achieved synergy with economic development, but not with food security.</t>
  </si>
  <si>
    <t>[Xia, Qing; Liao, Min; Xie, Xiaomei; Guo, Bin; Lu, Xinyue; Qiu, Hao] Zhejiang Univ, Coll Environm &amp; Resource Sci, Hangzhou 310058, Peoples R China; [Xia, Qing; Liao, Min; Guo, Bin; Lu, Xinyue; Qiu, Hao] Zhejiang Prov Key Lab Agr Resources &amp; Environm, Hangzhou 310058, Peoples R China; [Xie, Xiaomei] Zhejiang Univ, Natl Demonstrat Ctr Expt Environm &amp; Resources Educ, Hangzhou 310058, Peoples R China</t>
  </si>
  <si>
    <t>Zhejiang University; Zhejiang University</t>
  </si>
  <si>
    <t>Liao, M (corresponding author), Zhejiang Prov Key Lab Agr Resources &amp; Environm, Hangzhou 310058, Peoples R China.;Xie, XM (corresponding author), Zhejiang Univ, Natl Demonstrat Ctr Expt Environm &amp; Resources Educ, Hangzhou 310058, Peoples R China.</t>
  </si>
  <si>
    <t>liaomin@zju.edu.cn; xiexiaomei@zju.edu.cn</t>
  </si>
  <si>
    <t>lu, xinyue/KUF-3273-2024</t>
  </si>
  <si>
    <t>National Key Research and Development Project of China [2018YFC1800403]; National Natural Science Fund of China [41571226]</t>
  </si>
  <si>
    <t>National Key Research and Development Project of China(National Key Research &amp; Development Program of China); National Natural Science Fund of China(National Natural Science Foundation of China (NSFC))</t>
  </si>
  <si>
    <t>This study was funded by the National Key Research and Development Project of China (2018YFC1800403) and the National Natural Science Fund of China (41571226).</t>
  </si>
  <si>
    <t>0167-6369</t>
  </si>
  <si>
    <t>1573-2959</t>
  </si>
  <si>
    <t>ENVIRON MONIT ASSESS</t>
  </si>
  <si>
    <t>Environ. Monit. Assess.</t>
  </si>
  <si>
    <t>NOV</t>
  </si>
  <si>
    <t>10.1007/s10661-023-11998-w</t>
  </si>
  <si>
    <t>W3AA6</t>
  </si>
  <si>
    <t>WOS:001090376700001</t>
  </si>
  <si>
    <t>Ma, JQ; Xu, XL; Cui, BF; Hao, XP; Yang, JS; Yang, SG; Liu, LS</t>
  </si>
  <si>
    <t>Ma, Jianqin; Xu, Xiaolong; Cui, Bifeng; Hao, Xiuping; Yang, Jiangshan; Yang, Shuoguo; Liu, Lansong</t>
  </si>
  <si>
    <t>Multivariate Regression-Based Dynamic Simulation Modeling of Cumulative Carbon Emissions from Fields</t>
  </si>
  <si>
    <t>field CO2 emissions; winter wheat; polyfactor; dynamic modeling</t>
  </si>
  <si>
    <t>CROPLAND; MAIZE; CHINA</t>
  </si>
  <si>
    <t>Determining the influencing factors of winter wheat field carbon emissions and their dynamic trends is of great significance to study the carbon emission mechanism of winter wheat, reduce greenhouse gas emissions from agricultural fields, and promote the sustainable development of agriculture. The aim of this study is to analyze the relationship between different influencing factors and CO2 emission fluxes in winter wheat fields and to construct a dynamic simulation model of field carbon emission so as to provide a basis for accurate and convenient calculation of CO2 emission from wheat fields in the Henan region. This study comprehensively considered the effects of the dynamic changes in meteorological, soil, hydrological, and other factors over time on the field carbon emission during the growth process of the crop and carried out a dynamic simulation study of the field carbon emission in the experimental field with six sets of experiments, using the multiple regression method. Six groups of experiments were set up, and a multi-parameter field carbon emission dynamic model was constructed by the multiple regression method to simulate the optimal calculation model. The results showed that the simulated values of field CO2 emissions were consistent with the trend of the measured values, and the total cumulative CO2 emissions in fields A1, A2, and A3 were 8624.2 kg/hm(2), 7924.3 kg/hm(2), and 7531.4 kg/hm(2), respectively, while the model-simulated values were 9399.2 kg/hm(2), 8935.2 kg/hm(2), and 8371.1 kg/hm(2). The errors between the simulated and actual emissions were 7.9%, 12.8%, and 11.1%, respectively, indicating a high accuracy in the simulation results. The model developed in this study comprehensively accounts for the dynamic impacts of meteorological, soil, and hydraulic factors on CO2 emissions, effectively reflecting the dynamic changes in field carbon emissions and achieving high calculation accuracy.</t>
  </si>
  <si>
    <t>[Ma, Jianqin; Xu, Xiaolong; Cui, Bifeng; Hao, Xiuping; Yang, Jiangshan; Yang, Shuoguo; Liu, Lansong] North China Univ Water Resources &amp; Elect Power, Sch Water Conservancy, Zhengzhou 450046, Peoples R China; [Cui, Bifeng] Henan Univ Urban Construct, Henan Key Lab Water Pollut Control &amp; Rehabil Techn, Pingdingshan 467036, Peoples R China</t>
  </si>
  <si>
    <t>North China University of Water Resources &amp; Electric Power; Henan University of Urban Construction</t>
  </si>
  <si>
    <t>Xu, XL (corresponding author), North China Univ Water Resources &amp; Elect Power, Sch Water Conservancy, Zhengzhou 450046, Peoples R China.</t>
  </si>
  <si>
    <t>majianqin@ncwu.edu.cn; z202210010147@stu.ncwu.edu.cn</t>
  </si>
  <si>
    <t>Key R &amp; D projects in Henan Province; North China University of Water Resources [CXTDPY-8]; Henan Key Laboratory of Water Pollution Control and Rehabilitation Technology [CJSZ2024008]; Department of Science and Technology of Henan Province; [241111112600]</t>
  </si>
  <si>
    <t>Key R &amp; D projects in Henan Province; North China University of Water Resources; Henan Key Laboratory of Water Pollution Control and Rehabilitation Technology; Department of Science and Technology of Henan Province;</t>
  </si>
  <si>
    <t>This research was supported by the Key R &amp; D projects in Henan Province (241111112600), North China University of Water Resources and Electric Power 'double first-class' innovation team project (CXTDPY-8), and this project is supported by a special fund of the Henan Key Laboratory of Water Pollution Control and Rehabilitation Technology (CJSZ2024008). Therefore, we thank the Department of Education and the Department of Science and Technology of Henan Province for their strong support.</t>
  </si>
  <si>
    <t>10.3390/su16229700</t>
  </si>
  <si>
    <t>N9D8I</t>
  </si>
  <si>
    <t>WOS:001367262400001</t>
  </si>
  <si>
    <t>Zareei, S; Khodaei, J</t>
  </si>
  <si>
    <t>Zareei, S.; Khodaei, J.</t>
  </si>
  <si>
    <t>Determination of Essential Indexes in Assessing the Status of Agricultural Mechanization in Kurdistan, Iran</t>
  </si>
  <si>
    <t>AMA-AGRICULTURAL MECHANIZATION IN ASIA AFRICA AND LATIN AMERICA</t>
  </si>
  <si>
    <t>In order to develop a proper plan for agricultural management in a region, adequate understanding of the current situation in the field of agricultural mechanization is a necessity. In this study, a comprehensive assessment was conducted on developmental situation of agricultural mechanization in Kurdistan, Iran. For this purpose, some factors such as the degree of mechanization, level of mechanization, coefficient of productivity and operational power were calculated. The degree of mechanization in major crops was generally calculated for tillage, planting, growing and harvesting throughout the province, separately. The ratio of this index was highest for tillage operations (nearly 100%) and lowest for the growing operations (less than 50%). The average index of the tractor mechanization level was estimated to be 1.67 (hp/ha) which is higher than the national average (1.5 hp/ha). The coefficient of productivity and machinery usage in the region was estimated to be 71%.</t>
  </si>
  <si>
    <t>[Zareei, S.; Khodaei, J.] Univ Kurdistan, Dept Biosyst Engn, Sanandaj, Iran</t>
  </si>
  <si>
    <t>University of Kurdistan</t>
  </si>
  <si>
    <t>Zareei, S (corresponding author), Univ Kurdistan, Dept Biosyst Engn, Sanandaj, Iran.</t>
  </si>
  <si>
    <t>s.zareei@uok.ac.ir</t>
  </si>
  <si>
    <t>Khodaei, Jalal/AAK-8187-2021; Zareei, Samira/ABC-5077-2020</t>
  </si>
  <si>
    <t>FARM MACHINERY INDUSTRIAL RESEARCH CORP</t>
  </si>
  <si>
    <t>TOKYO</t>
  </si>
  <si>
    <t>2nd Floor, Dai-ichi Amai Bldg. 1-12-3 Kanda Nishiki-cho, Chiyoda-ku, TOKYO, 101-0054, JAPAN</t>
  </si>
  <si>
    <t>0084-5841</t>
  </si>
  <si>
    <t>AMA-AGR MECH ASIA AF</t>
  </si>
  <si>
    <t>AMA-Agric. Mech. Asia Afr. Lat. A.</t>
  </si>
  <si>
    <t>WIN</t>
  </si>
  <si>
    <t>Agricultural Engineering</t>
  </si>
  <si>
    <t>YZ9XE</t>
  </si>
  <si>
    <t>WOS:000755822100003</t>
  </si>
  <si>
    <t>Gebiso, T; Ketema, M; Shumetie, A; Feye, GL</t>
  </si>
  <si>
    <t>Gebiso, Tamrat; Ketema, Mengistu; Shumetie, Arega; Feye, Getachew Legese</t>
  </si>
  <si>
    <t>Impact of farm mechanization on crop productivity and economic efficiency in central and southern Oromia, Ethiopia</t>
  </si>
  <si>
    <t>FRONTIERS IN SUSTAINABLE FOOD SYSTEMS</t>
  </si>
  <si>
    <t>augment inverse probability weight; economic efficiency; farm mechanization; impact; stochastic frontier analysis</t>
  </si>
  <si>
    <t>AGRICULTURAL MECHANIZATION; SCALE; SERVICES</t>
  </si>
  <si>
    <t>Introduction Farm mechanization has multi-dimensional impacts on agricultural production systems like economic efficiency and productivity, thereby improving the quality of life in the farming community by reducing work drudgeries. However, these impacts were not studied empirically in Ethiopia. Hence, this research was initiated to estimate the level of economic efficiency, and productivity of wheat and barley, and the impact of farm mechanization on economic efficiency and productivity of wheat and barley.Methods The analysis was done for 232 and 257 wheat and barley producer farmers respectively who are selected from the Arsi and West Arsi zones. The stochastic frontier model was used to estimate economic efficiency while augmented inverse probability weighted (AIPW) was used to estimate the impact.Results and discussion Based on the result, it is apparent that farm mechanization has a significant positive impact on wheat productivity while the percentage change in average treatment effect for the barley was not statistically significant. Farm mechanization also affects wheat and barley economic efficiency positively. Hence, we recommended the wider use of farm mechanization to improve economic efficiency and productivity. Therefore, policy design should focus on ways to avail farm machinery easily like establishing farm mechanization service centers and facilitating credit services for mechanization service renders.</t>
  </si>
  <si>
    <t>[Gebiso, Tamrat] Oromia Agr Res Inst, Socioecon Res Directorate, Asella, Ethiopia; [Ketema, Mengistu; Shumetie, Arega] Ethiopian Econ Assoc, Addis Ababa, Ethiopia; [Feye, Getachew Legese] Int Livestock Res Inst ILRI, Addis Ababa, Ethiopia</t>
  </si>
  <si>
    <t>CGIAR; International Livestock Research Institute (ILRI)</t>
  </si>
  <si>
    <t>Gebiso, T (corresponding author), Oromia Agr Res Inst, Socioecon Res Directorate, Asella, Ethiopia.</t>
  </si>
  <si>
    <t>gebisochalla@gmail.com</t>
  </si>
  <si>
    <t>Challa, Tamrat Gebiso/0000-0002-9870-8626</t>
  </si>
  <si>
    <t>Oromia Agricultural Research Institute (IQQO)</t>
  </si>
  <si>
    <t>Researchers from Asella Agricultural Engineering Research center who participated in data collection process, respondent (interviewed) farmers who participated in data collection processes, development agents and respective district's agriculture office leaders are duly acknowledged. The authors also acknowledge the small financial support for data collection by Oromia Agricultural Research Institute (IQQO).</t>
  </si>
  <si>
    <t>2571-581X</t>
  </si>
  <si>
    <t>FRONT SUSTAIN FOOD S</t>
  </si>
  <si>
    <t>Front. Sustain. Food Syst.</t>
  </si>
  <si>
    <t>NOV 13</t>
  </si>
  <si>
    <t>10.3389/fsufs.2024.1414912</t>
  </si>
  <si>
    <t>Food Science &amp; Technology</t>
  </si>
  <si>
    <t>N4K2T</t>
  </si>
  <si>
    <t>WOS:001364041100001</t>
  </si>
  <si>
    <t>Lap, T; Daioglou, V; Benders, R; van der Hilst, F; Faaij, A</t>
  </si>
  <si>
    <t>Lap, Tjerk; Daioglou, Vassilis; Benders, Rene; van der Hilst, Floor; Faaij, Andre</t>
  </si>
  <si>
    <t>The impact of land-use change emissions on the potential of bioenergy as climate change mitigation option for a Brazilian low-carbon energy system</t>
  </si>
  <si>
    <t>GLOBAL CHANGE BIOLOGY BIOENERGY</t>
  </si>
  <si>
    <t>bioenergy; Brazil; climate change mitigation; energy system modelling; energy transition; greenhouse gas accounting; land use change; natural succession; reference system; sugarcane</t>
  </si>
  <si>
    <t>GREENHOUSE-GAS EMISSIONS; BIOFUELS; POLICY; FOREST; POWER; CROP; INTENSIFICATION; AVAILABILITY; AGRICULTURE; RESIDUES</t>
  </si>
  <si>
    <t>Land-use change (LUC)-related greenhouse gas (GHG) emissions determine largely whether bioenergy is a suitable option for climate change mitigation. This study assesses how LUC emissions influence demand for bioenergy to mitigate GHG emissions, and how this affects the energy mix, using Brazil as a case study. A methodological framework is applied linking bioenergy supply curves, with associated costs and spatially explicit LUC emissions, to a bottom-up energy system model. Furthermore, the influence of four key determining parameters is assessed: agricultural productivity, time horizon, natural succession (NS), and the use of dynamic emission factors (EFs). Demand for new bioenergy plantations range from 0.5 to 6.7 EJ in 2050, and is avoided when its EF reaches above 15 kg CO2/GJ(biomass). Dynamic EFs result in earlier and larger use of bioenergy. Static EFs attenuate all emissions evenly over time, resulting in relative high emissions around 2050 when the carbon budget is most stringent. This in contrast to dynamic EFs, having early high peaks because of clearance of natural vegetation, but relatively small long-term emissions when the carbon budget is most stringent. Exclusion of NS, in combination with spared agricultural land, results in a demand of 6.7 EJ, because of its low carbon penalty. Assuming that land is spared due to continuous yield increase (which is the reason to include NS as and EF component), bypasses the fact that yield improvements (that make those lands available) take place because of demand for bioenergy. When low-carbon biomass is in limited availability, increasing electrification is observed, leading to electric capacity increase of 62% (mainly wind and solar energy), and a 12% energy system costs increase. Inclusion of spatiotemporal explicit supply potential and LUC emissions leads to improved bioenergy deployment pathways that come closer to the real situation as the dynamic nature of LUC emissions is included.</t>
  </si>
  <si>
    <t>[Lap, Tjerk; Benders, Rene; Faaij, Andre] Univ Groningen, Energy &amp; Sustainabil Res Inst Groningen, Nijenborg 4, Groningen, Netherlands; [Daioglou, Vassilis] PBL Netherlands Environm Assessment Agcy, The Hague, Netherlands; [Daioglou, Vassilis; van der Hilst, Floor] Univ Utrecht, Fac Geosci, Copernicus Inst Sustainable Dev, Utrecht, Netherlands; [Faaij, Andre] TNO Energy Transit, Utrecht, Netherlands</t>
  </si>
  <si>
    <t>University of Groningen; Utrecht University</t>
  </si>
  <si>
    <t>Lap, T (corresponding author), Univ Groningen, Energy &amp; Sustainabil Res Inst Groningen, Nijenborg 4, Groningen, Netherlands.</t>
  </si>
  <si>
    <t>t.lap@rug.nl</t>
  </si>
  <si>
    <t>van der Hilst, Floor/N-3450-2013; Daioglou, Vassilis/L-7262-2013; Faaij, André/AAE-7253-2019</t>
  </si>
  <si>
    <t>van der Hilst, Floor/0000-0002-6839-9375; Lap, Tjerk/0000-0001-5366-2225;</t>
  </si>
  <si>
    <t>Stichting voor de Technische Wetenschappen [729.004.001]</t>
  </si>
  <si>
    <t>Stichting voor de Technische Wetenschappen</t>
  </si>
  <si>
    <t>Stichting voor de Technische Wetenschappen, Grant/Award Number: 729.004.001</t>
  </si>
  <si>
    <t>1757-1693</t>
  </si>
  <si>
    <t>1757-1707</t>
  </si>
  <si>
    <t>GCB BIOENERGY</t>
  </si>
  <si>
    <t>GCB Bioenergy</t>
  </si>
  <si>
    <t>10.1111/gcbb.12901</t>
  </si>
  <si>
    <t>NOV 2021</t>
  </si>
  <si>
    <t>Agronomy; Biotechnology &amp; Applied Microbiology; Energy &amp; Fuels</t>
  </si>
  <si>
    <t>Agriculture; Biotechnology &amp; Applied Microbiology; Energy &amp; Fuels</t>
  </si>
  <si>
    <t>YD6SC</t>
  </si>
  <si>
    <t>Green Submitted, Green Published, gold</t>
  </si>
  <si>
    <t>WOS:000723823500001</t>
  </si>
  <si>
    <t>Turner, PA; Mach, KJ; Lobell, DB; Benson, SM; Baik, E; Sanchez, DL; Field, CB</t>
  </si>
  <si>
    <t>Turner, P. A.; Mach, K. J.; Lobell, D. B.; Benson, S. M.; Baik, E.; Sanchez, D. L.; Field, C. B.</t>
  </si>
  <si>
    <t>The global overlap of bioenergy and carbon sequestration potential</t>
  </si>
  <si>
    <t>CLIMATIC CHANGE</t>
  </si>
  <si>
    <t>BIOMASS; ENERGY; TRANSITION; CAPTURE; STORAGE; CCS</t>
  </si>
  <si>
    <t>Bioenergy with carbon capture and storage (BECCS) is a negative emissions technology that is a largely untested but prominent feature of ambitious climate change mitigation scenarios. This strategy involves capturing carbon dioxide (CO2) from stationary bioenergy facilities and sequestering it in suitable geological formations, effectively removing CO2 from the atmosphere. Many factors potentially limit BECCS deployment including obstacles to building pipeline networks that move large quantities of liquefied CO2 over long distances. Here, we examine the BECCS opportunity that exists in regions overlapping storage basins. Under current conditions, the equivalent of 22.9 GtCO(2) y(-1) of net primary production (NPP), a measure of biomass growth, overlies highly prospective CO2 storage basins, representing a sustainably harvestable total of approximately 7.6 GtCO(2) y(-1). Most land overlying basins is either forested or linked to food production. If only marginal agricultural lands, those inconsistently under agricultural production, are used to source biomass, the scale of the available resource is approximately 1 GtCO(2) y(-1). If transportation of biomass or CO2 is constrained, and if BECCS is not developed on forests or prime croplands, then BECCS deployments will be limited to a small, but meaningful fraction (similar to 10%) of the levels typical in cost-optimized model trajectories that stabilize warming at 2 degrees C or less above pre-industrial temperatures. Marginal agricultural lands over storage basins can be an entry point for maturing the engineering technologies and financial markets needed for BECCS.</t>
  </si>
  <si>
    <t>[Turner, P. A.; Sanchez, D. L.] Carnegie Inst Sci, Dept Global Ecol, Stanford, CA 94305 USA; [Mach, K. J.; Lobell, D. B.] Stanford Univ, Dept Earth Syst Sci, Stanford, CA 94305 USA; [Lobell, D. B.] Stanford Univ, Ctr Food Secur &amp; Environm, Stanford, CA 94305 USA; [Benson, S. M.; Baik, E.] Stanford Univ, Dept Energy Resources Engn, Stanford, CA 94305 USA; [Field, C. B.] Stanford Univ, Stanford Woods Inst Environm, Stanford, CA 94305 USA</t>
  </si>
  <si>
    <t>Carnegie Institution for Science; Stanford University; Stanford University; Stanford University; Stanford University</t>
  </si>
  <si>
    <t>Turner, PA (corresponding author), Carnegie Inst Sci, Dept Global Ecol, Stanford, CA 94305 USA.</t>
  </si>
  <si>
    <t>pturner@carnegiescience.edu</t>
  </si>
  <si>
    <t>Sanchez, Daniel/HJP-1158-2023; Field, Christopher/AEN-8826-2022</t>
  </si>
  <si>
    <t>Benson, Sally/0000-0002-3733-4296; Sanchez, Daniel/0000-0001-9281-5685; Lobell, David/0000-0002-5969-3476</t>
  </si>
  <si>
    <t>David and Lucile Packard Foundation; Alexander von Humboldt Foundation</t>
  </si>
  <si>
    <t>David and Lucile Packard Foundation(The David &amp; Lucile Packard Foundation); Alexander von Humboldt Foundation(Alexander von Humboldt FoundationUniversity of Maryland Baltimore)</t>
  </si>
  <si>
    <t>P.A.T., K.J.M., D.B.L., S.M.B., E.B., D.L.S., and C.B.F. conceptualized analysis and contributed feedback. P.A.T. analyzed data. P.A.T. drafted manuscript with K.J.M. and C.B.F. with edits from all authors. Funding informationThis work was funded by the David and Lucile Packard Foundation and the Alexander von Humboldt Foundation.</t>
  </si>
  <si>
    <t>0165-0009</t>
  </si>
  <si>
    <t>1573-1480</t>
  </si>
  <si>
    <t>Clim. Change</t>
  </si>
  <si>
    <t>MAY</t>
  </si>
  <si>
    <t>1-2</t>
  </si>
  <si>
    <t>10.1007/s10584-018-2189-z</t>
  </si>
  <si>
    <t>GF2RX</t>
  </si>
  <si>
    <t>hybrid</t>
  </si>
  <si>
    <t>WOS:000431788500001</t>
  </si>
  <si>
    <t>Guttières, R; Nunan, N; Raynaud, X; Lacroix, G; Barot, S; Barré, P; Girardin, C; Guenet, B; Lata, JC; Abbadie, L</t>
  </si>
  <si>
    <t>Guttieres, Raphael; Nunan, Naoise; Raynaud, Xavier; Lacroix, Gerard; Barot, Sebastien; Barre, Pierre; Girardin, Cyril; Guenet, Bertrand; Lata, Jean-Christophe; Abbadie, Luc</t>
  </si>
  <si>
    <t>Temperature and soil management effects on carbon fluxes and priming effect intensity</t>
  </si>
  <si>
    <t>SOIL BIOLOGY &amp; BIOCHEMISTRY</t>
  </si>
  <si>
    <t>Global change; Priming effect; Agricultural practices; Organic matter biodegradibility; Crop vs. forest soils; Decomposition; Nutrient addition</t>
  </si>
  <si>
    <t>ORGANIC-MATTER DECOMPOSITION; USE EFFICIENCY; COMMUNITY STRUCTURE; MICROBIAL BIOMASS; LITTER DECAY; NITROGEN; SENSITIVITY; DYNAMICS; AVAILABILITY; DEPENDENCE</t>
  </si>
  <si>
    <t>Any change in the intensity and sign of CO2 flux between soil and atmosphere is expected to have a significant impact on climate. The net emission of CO2 by soils depends on antagonistic processes: the persistence of dead plant matter and the mineralization of soil organic matter. These two processes are partly interdependent: their interaction is known as the priming effect (PE), i.e. the stimulation of the mineralization of stable soil organic matter by more labile fresh organic matter. Documenting the response of PE to global change is needed for predicting long term dynamics of ecosystems and climate change. We have tested the effects on PE of temperature, nutrient availability, biodegradibility of added organic matter (fresh vs. decomposed), soil cover (agricultural vs. forest soil) and interactions. Our results suggest that the biodegradability of plant debris (wheat straw, fresh or pre-decomposed) is the first determinant of the intensity of PE, far ahead of temperature and nutrients: fresh wheat straw addition induced up to 800% more CO2 emission than pre-decomposed one. The raise of temperature from 15 to 20 degrees C, increased basal soil organic matter mineralization by 38%, but had little effect on PE. Interactions between biodegradability of straw and the other factors showed that the agricultural soil was more responsive to all factors than the forest soil. We have shown in our study that the intensity of PE could be more dependent on soil cover and plant residue management than on other drivers of global change, particularly temperature and nutrients. There is an urgent need to assess the genericity of our results by testing other soil types and plant debris for a better integration of PE in models, and for identifying alternative land carbon management strategies for climate change mitigation.</t>
  </si>
  <si>
    <t>[Guttieres, Raphael; Nunan, Naoise; Raynaud, Xavier; Lacroix, Gerard; Barot, Sebastien; Lata, Jean-Christophe; Abbadie, Luc] Sorbonne Univ, Univ Paris, Inst Ecol &amp; Sci Environm Paris iEES Paris, UPEC,IRD,CNRS,INRA, 7 Quai St Bernard, F-75252 Paris, France; [Guenet, Bertrand] Univ Paris Saclay, Lab Sci Climat &amp; Environm, LSCE IPSL, CEA CNRS UVSQ, F-91191 Gif Sur Yvette, France; [Barre, Pierre; Guenet, Bertrand] PSL Res Univ, CNRS, Lab Geol ENS, 24 Rue Lhomond, F-75231 Paris 05, France; [Girardin, Cyril] Campus AgroParisTech, UMR Ecosys, INRAE, Bat EGER, F-78850 Thiverval Grignon, France; [Lacroix, Gerard] Ecole Normale Super, CEREEP Ecotron IleDeFrance, CNRS, UMS 3194 ENS, 11 Chemin Busseau, F-77140 St Pierre Les Nemours, France; [Nunan, Naoise] Swedish Univ Agr Sci, Dept Soil &amp; Environm, S-75007 Uppsala, Sweden; [Lata, Jean-Christophe] Tomsk Polytech Univ, Inst Nat Resources, Dept Geoecol &amp; Geochem, 30 Lenin St, Tomsk 634050, Russia</t>
  </si>
  <si>
    <t>INRAE; Sorbonne Universite; Universite Paris-Est-Creteil-Val-de-Marne (UPEC); Universite Paris Cite; Institut de Recherche pour le Developpement (IRD); Centre National de la Recherche Scientifique (CNRS); Universite Paris Saclay; CEA; Centre National de la Recherche Scientifique (CNRS); Universite PSL; AgroParisTech; INRAE; Universite Paris Saclay; Centre National de la Recherche Scientifique (CNRS); Swedish University of Agricultural Sciences; Tomsk Polytechnic University</t>
  </si>
  <si>
    <t>Guttières, R; Abbadie, L (corresponding author), Sorbonne Univ, Univ Paris, Inst Ecol &amp; Sci Environm Paris iEES Paris, UPEC,IRD,CNRS,INRA, 7 Quai St Bernard, F-75252 Paris, France.</t>
  </si>
  <si>
    <t>phd.rguttieres@gmail.com; luc.abbadie@sorbonne-universite.fr</t>
  </si>
  <si>
    <t>barot, sébastien/A-8447-2012; Raynaud, Xavier/C-2381-2009; Guenet, Bertrand/ABD-5907-2021; , Naoise/AEY-9817-2022</t>
  </si>
  <si>
    <t>Raynaud, Xavier/0000-0002-9065-2867; Girardin, Cyril/0000-0002-4684-1222; Guenet, Bertrand/0000-0002-4311-8645; Lata, Jean-Christophe/0000-0002-1094-4625;</t>
  </si>
  <si>
    <t>Sustainable Development Research Network of the Region-Ile-de-France [R2DS 2014-03]</t>
  </si>
  <si>
    <t>Sustainable Development Research Network of the Region-Ile-de-France</t>
  </si>
  <si>
    <t>We are grateful to Valerie Pouteau for her contribution to the analyses, to Thomas Lerch for his contribution to the experimental protocol, and to Pauline Pierret for her contribution to figures. RG received financial support from the Sustainable Development Research Network of the Region-Ile-de-France (grant R2DS 2014-03). All authors designed the experimental protocol and contributed substantially to the paper. RG performed the experiment, helped by CG, and RG wrote the first full draft of the paper. XR, NN, BG and RG performed statistical analyses and created figures. Authors declare no competing interests. Correspondence and requests for materials should be addressed to LA.</t>
  </si>
  <si>
    <t>PERGAMON-ELSEVIER SCIENCE LTD</t>
  </si>
  <si>
    <t>THE BOULEVARD, LANGFORD LANE, KIDLINGTON, OXFORD OX5 1GB, ENGLAND</t>
  </si>
  <si>
    <t>0038-0717</t>
  </si>
  <si>
    <t>1879-3428</t>
  </si>
  <si>
    <t>SOIL BIOL BIOCHEM</t>
  </si>
  <si>
    <t>Soil Biol. Biochem.</t>
  </si>
  <si>
    <t>10.1016/j.soilbio.2020.108103</t>
  </si>
  <si>
    <t>PS8MG</t>
  </si>
  <si>
    <t>WOS:000608177400012</t>
  </si>
  <si>
    <t>Siniscalchi, A; Schulz, EP; Diaz, MS; Durand, G</t>
  </si>
  <si>
    <t>Siniscalchi, Amira; Schulz, Erica P.; Diaz, Maria Soledad; Durand, Guillermo</t>
  </si>
  <si>
    <t>Dynamic optimization of water management in aquatic-agricultural systems for net-zero carbon</t>
  </si>
  <si>
    <t>COMPUTERS &amp; CHEMICAL ENGINEERING</t>
  </si>
  <si>
    <t>Hydroagroecological management; Dynamic optimization; Carbon capture; Net-zero carbon balance</t>
  </si>
  <si>
    <t>CLIMATE-CHANGE; IMPACT; SUSTAINABILITY; LAKE; SOIL</t>
  </si>
  <si>
    <t>In this work, we present a novel mathematical model within a dynamic optimization framework to address the management of a salt lake and its basin within a semiarid region, facing extreme weather events. The objective is to propose strategies to mitigate the effects of droughts on lake salinity and agricultural and livestock activities, focusing on achieving the net zero carbon goal at the end of the analyzed time horizon. The model is formulated as an optimal control problem subject to a Differential Algebraic Equations (DAE) system. We present a case study on Chasico Lake, a salt lake in a semiarid endorheic basin, in Argentina. The study comprises a five-year drought period that requires freshwater derivation from a constructed reservoir to keep the salt-lake's salinity within acceptable ranges for reproduction of a valuable fish species. At the same time, sustainable land use and livestock activities must be ensured. Freshwater is used for irrigation of crops, pasture and native species tree as well as for livestock drinking requirements. The control variable is freshwater diverted from the reservoir, and the decision variable is the land area allocated to crops so as to offset livestock emissions. Numerical results demonstrate that net-zero carbon emissions could be achieved while effectively managing drought periods and preserving ecological balance.</t>
  </si>
  <si>
    <t>[Siniscalchi, Amira; Schulz, Erica P.; Diaz, Maria Soledad; Durand, Guillermo] UNS, Planta Piloto Ingn Quim PLAPIQUI, CONICET, Buenos Aires, Angola; Univ Nacl Sur UNS, Dept Chem Engn, Buenos Aires, Argentina</t>
  </si>
  <si>
    <t>Diaz, MS (corresponding author), UNS, Planta Piloto Ingn Quim PLAPIQUI, CONICET, Buenos Aires, Angola.</t>
  </si>
  <si>
    <t>sdiaz@plapiqui.edu.ar</t>
  </si>
  <si>
    <t>CONICET; ANPCyT; Universidad Nacional del Sur [PICT 2019-03444, PICT 2019-03053, PGI 24/M173, PGI 24/M161]</t>
  </si>
  <si>
    <t>CONICET(Consejo Nacional de Investigaciones Cientificas y Tecnicas (CONICET)); ANPCyT(ANPCyT); Universidad Nacional del Sur</t>
  </si>
  <si>
    <t>Authors greatly acknowledge CONICET, ANPCyT, and Universidad Nacional del Sur for supporting their work through grants PICT 2019-03444, PICT 2019-03053, PGI 24/M173 and PGI 24/M161, respectively.</t>
  </si>
  <si>
    <t>0098-1354</t>
  </si>
  <si>
    <t>1873-4375</t>
  </si>
  <si>
    <t>COMPUT CHEM ENG</t>
  </si>
  <si>
    <t>Comput. Chem. Eng.</t>
  </si>
  <si>
    <t>FEB 1</t>
  </si>
  <si>
    <t>10.1016/j.compchemeng.2025.109468</t>
  </si>
  <si>
    <t>NOV 2025</t>
  </si>
  <si>
    <t>Computer Science, Interdisciplinary Applications; Engineering, Chemical</t>
  </si>
  <si>
    <t>Computer Science; Engineering</t>
  </si>
  <si>
    <t>9OQ8H</t>
  </si>
  <si>
    <t>WOS:001611357900001</t>
  </si>
  <si>
    <t>Pan, WQ; Kim, MK; Ning, Z; Yang, HQ</t>
  </si>
  <si>
    <t>Pan, Wenqi; Kim, Man-Keun; Ning, Zhuo; Yang, Hongqiang</t>
  </si>
  <si>
    <t>Carbon leakage in energy/forest sectors and climate policy implications using meta-analysis</t>
  </si>
  <si>
    <t>FOREST POLICY AND ECONOMICS</t>
  </si>
  <si>
    <t>Carbon leakage; Causal loop diagram (CLD); Climate policy; Meta-regression; Energy/forest sectors</t>
  </si>
  <si>
    <t>EMISSIONS; DEFORESTATION; ADJUSTMENTS; TIMBER; EU; EFFICIENCY; TRADE; CO2; CONSEQUENCES; SPILLOVERS</t>
  </si>
  <si>
    <t>Carbon leakage, a shift of carbon emissions from a region with emission constraint to unregulated areas, has been a great concern in energy-related industries and the forest sector. Carbon leakage may weaken the effectiveness of regional climate policies. This study aims to identify the drivers of carbon leakage and provide policy implications to mitigate carbon leakage using meta-regression. A total of 46 studies are collected, which provide 230 estimates of carbon leakage. Results show that (i) the forest sector has larger carbon leakage of 39.6%; (ii) substitution degree increases carbon leakage, but it is not statistically significant; (iii) contrary to popular belief, coalition size is not always negatively related to carbon leakage; (iv) local economic conditions are key drivers of carbon leakage; and (v) carbon leakage is overestimated in the forest sector by 41.42% when ignoring agricultural expansion through the land use change. Results also support the following policy implications: (i) the global agreement, which requires the participation of poorer regions and countries, may effectively reduce carbon leakage; (ii) a mature worldwide carbon trading market with relatively high carbon prices can attract more participants; and (iii) a long-term and integrated land-use planning will be an effective way to reduce carbon leakage caused by agricultural expansion.</t>
  </si>
  <si>
    <t>[Pan, Wenqi; Ning, Zhuo; Yang, Hongqiang] Nanjing Forestry Univ, Coll Econ &amp; Management, Nanjing, Peoples R China; [Kim, Man-Keun] Utah State Univ, Dept Appl Econ, Logan, UT 84322 USA; [Pan, Wenqi; Ning, Zhuo; Yang, Hongqiang] State Forestry Adm, Res Ctr Econ &amp; Trade Forest Prod, Nanjing, Peoples R China; [Yang, Hongqiang] Nanjing Univ, Yangtze River Delta Econ &amp; Social Dev Res Ctr, Nanjing, Peoples R China</t>
  </si>
  <si>
    <t>Nanjing Forestry University; Utah System of Higher Education; Utah State University; Nanjing University</t>
  </si>
  <si>
    <t>Yang, HQ (corresponding author), 159 Longpan Rd, Nanjing, Jiangsu, Peoples R China.</t>
  </si>
  <si>
    <t>mk.kim@usu.edu; ningzhuo@njfu.edu.cn; yhqnfu@gmail.com</t>
  </si>
  <si>
    <t>; Yang, Hongqiang/AAV-2376-2021</t>
  </si>
  <si>
    <t>Yang, Hongqiang/0000-0002-6598-2936; Kim, Man-Keun/0000-0002-0205-9618;</t>
  </si>
  <si>
    <t>333 distinguished Talents Project Foundation of Jiangsu Province in China [BRA2018070]; National Social Science Foundation of China [14AJY014]; China Ministry of Education Project of Humanities and Social Sciences [13YJAZH114]</t>
  </si>
  <si>
    <t>333 distinguished Talents Project Foundation of Jiangsu Province in China; National Social Science Foundation of China(National Office of Philosophy and Social Sciences); China Ministry of Education Project of Humanities and Social Sciences</t>
  </si>
  <si>
    <t>Authors would like to thank Professors Jiaxin Chen and Stibniati Atmadja for their helpful comments on the earlier version of the manuscript. This study was supported by the 333 distinguished Talents Project Foundation of Jiangsu Province in China (Grant No. BRA2018070), the National Social Science Foundation of China (Program No. 14AJY014), the China Ministry of Education Project of Humanities and Social Sciences (Project No. 13YJAZH114).</t>
  </si>
  <si>
    <t>1389-9341</t>
  </si>
  <si>
    <t>1872-7050</t>
  </si>
  <si>
    <t>FOREST POLICY ECON</t>
  </si>
  <si>
    <t>Forest Policy Econ.</t>
  </si>
  <si>
    <t>10.1016/j.forpol.2020.102161</t>
  </si>
  <si>
    <t>Economics; Environmental Studies; Forestry</t>
  </si>
  <si>
    <t>Business &amp; Economics; Environmental Sciences &amp; Ecology; Forestry</t>
  </si>
  <si>
    <t>LO4BY</t>
  </si>
  <si>
    <t>WOS:000533575500010</t>
  </si>
  <si>
    <t>Cui, Y; Khan, SU; Sauer, J; Zhao, M</t>
  </si>
  <si>
    <t>Cui, Yu; Khan, Sufyan Ullah; Sauer, Johannes; Zhao, Minjuan</t>
  </si>
  <si>
    <t>Exploring the spatiotemporal heterogeneity and influencing factors of agricultural carbon footprint and carbon footprint intensity: Embodying carbon sink effect</t>
  </si>
  <si>
    <t>SCIENCE OF THE TOTAL ENVIRONMENT</t>
  </si>
  <si>
    <t>Carbon footprint; Carbon footprint intensity; Spatiotemporal heterogeneity; Influencing factors; Carbon sink</t>
  </si>
  <si>
    <t>YANGTZE-RIVER DELTA; POPULATION-DENSITY; CO2 EMISSIONS; INPUT-OUTPUT; CHINA; URBANIZATION; DYNAMICS; PROVINCE; IMPACT; POLICY</t>
  </si>
  <si>
    <t>Due to the combined effects of carbon emission and carbon sink, agriculture is acknowledged as an essential contributor to achieve the Chinese government's carbon neutrality goal of 2060, and carbon footprint (CF) and carbon footprint intensity are substantial indicators to reveal the carbon emission level. For these reasons, the Theil index technique and extended STIRPAT model were employed to evaluate their spatiotemporal heterogeneity and influencing factors using panel data from 31 provinces for the period 1997-2019. The findings revealed that the CF showed an increasing trend with an annual growth rate of 24.6 %. The carbon footprint intensity (CFI) indicated an evident spatiotemporal heterogeneity and transferred over time, with an average growth rate of 19.82 %. The CFI Theil index and its contribution rate both confirmed that intra-regional difference is the main source of the overall difference, among which, the CFI Theil index displayed the distribution feature of western (11.50 %) &gt; central (11.12 %) &gt; eastern (10.56%) &gt; northeast (6.61 %). The contribution rate of CFI illustrated the spatial pattern of eastern (33.74 %) &gt; central (21.07 %) &gt; western (19.87%) &gt; northeast (5.24 %). Furthermore, the influencing effects of GDP per capita, planting structure, population density and urbanization level on CF and CFI also demonstrate evident spatiotemporal heterogeneity.</t>
  </si>
  <si>
    <t>[Cui, Yu; Zhao, Minjuan] Northwest A&amp;F Univ, Coll Econ &amp; Management, Yangling 712100, Shaanxi, Peoples R China; [Khan, Sufyan Ullah] Univ Stavanger, UiS Business Sch, Dept Econ &amp; Finance, N-4036 Stavanger, Norway; [Cui, Yu; Sauer, Johannes] Tech Univ Munich, Agr Prod &amp; Recourse Econ, Alte Akad 14, D-85354 Freising Weihenstephan, Germany</t>
  </si>
  <si>
    <t>Northwest A&amp;F University - China; Universitetet i Stavanger; Technical University of Munich</t>
  </si>
  <si>
    <t>Zhao, M (corresponding author), Northwest A&amp;F Univ, Coll Econ &amp; Management, Yangling 712100, Shaanxi, Peoples R China.</t>
  </si>
  <si>
    <t>yu.cui@tum.de; sufyan@nwsuaf.edu.cn; jo.sauer@tum.de; minjuan.zhao@nwsuaf.edu.cn</t>
  </si>
  <si>
    <t>Khan, Sufyan/ABB-7581-2020</t>
  </si>
  <si>
    <t>Khan, Sufyan Ullah/0009-0003-2855-5163</t>
  </si>
  <si>
    <t>National Natural Science Foundation of China [72173097, 72141006]; National Soft Science Project of State Forestry and Grassland Administration [2019131039]; Key Project of Six Industrial Research Institutes of Northwest Agricultural and Forestry University [Z221021601]; Soft Science Project of the Rural Revitalization Expert Advisory Committee of the Central Agricultural Office [202211]; Ministry of Agriculture and Rural Areas [202211]; Key Special Funds of Ministry of Agriculture and Ministry of Finance [CARS-07-F-1]; Major Research Project of County Economy in Shaanxi Province [2019XY012]; Research Project on Major Theoretical and Practical Issues of Philosophy and Social Sciences in Shaanxi Province [2021ZD1038, 2021ZD1040]; Scientific Research and Innovation Projects of Northwest Agricultural and Forestry University [JGYJSCXXM202001]; China Scholarship Council [202106300045]</t>
  </si>
  <si>
    <t>National Natural Science Foundation of China(National Natural Science Foundation of China (NSFC)); National Soft Science Project of State Forestry and Grassland Administration; Key Project of Six Industrial Research Institutes of Northwest Agricultural and Forestry University; Soft Science Project of the Rural Revitalization Expert Advisory Committee of the Central Agricultural Office; Ministry of Agriculture and Rural Areas; Key Special Funds of Ministry of Agriculture and Ministry of Finance; Major Research Project of County Economy in Shaanxi Province; Research Project on Major Theoretical and Practical Issues of Philosophy and Social Sciences in Shaanxi Province; Scientific Research and Innovation Projects of Northwest Agricultural and Forestry University; China Scholarship Council(China Scholarship Council)</t>
  </si>
  <si>
    <t>This study is sponsored by the National Natural Science Foundation of China (No. 72173097, No. 72141006); National Soft Science Project of State Forestry and Grassland Administration (No. 2019131039); Key Project of Six Industrial Research Institutes of Northwest Agricultural and Forestry University (No. Z221021601); Soft Science Project of the Rural Revitalization Expert Advisory Committee of the Central AgriculturalOffice and the Ministry of Agriculture and Rural Areas (202211); Key Special Funds of Ministry of Agriculture and Ministry of Finance (No. CARS-07-F-1); Major Research Project of County Economy in Shaanxi Province (No. 2019XY012); Research Project on Major Theoretical and Practical Issues of Philosophy and Social Sciences in Shaanxi Province (No. 2021ZD1038, No. 2021ZD1040); Scientific Research and Innovation Projects of Northwest Agricultural and Forestry University (No. JGYJSCXXM202001) and China Scholarship Council (202106300045). The authors would like to thank the anonymous referees for their helpful suggestions and corrections on the earlier draft of our paper.</t>
  </si>
  <si>
    <t>0048-9697</t>
  </si>
  <si>
    <t>1879-1026</t>
  </si>
  <si>
    <t>SCI TOTAL ENVIRON</t>
  </si>
  <si>
    <t>Sci. Total Environ.</t>
  </si>
  <si>
    <t>NOV 10</t>
  </si>
  <si>
    <t>10.1016/j.scitotenv.2022.157507</t>
  </si>
  <si>
    <t>JUL 2022</t>
  </si>
  <si>
    <t>4N5ZU</t>
  </si>
  <si>
    <t>WOS:000854099100008</t>
  </si>
  <si>
    <t>Li, H; Xu, YA; Gao, WS; Cui, JX; Chen, YQ</t>
  </si>
  <si>
    <t>Li, Hao; Xu, Yinan; Gao, Wangsheng; Cui, Jixiao; Chen, Yuanquan</t>
  </si>
  <si>
    <t>Carbon budget of diversified cropping systems in southwestern China: Revealing key crop categories and influencing factors under different classifications</t>
  </si>
  <si>
    <t>ENVIRONMENTAL RESEARCH</t>
  </si>
  <si>
    <t>Cropping systems; Carbon budget; Carbon footprint; Greenhouse gas reduction; Yunnan province</t>
  </si>
  <si>
    <t>GREENHOUSE-GAS EMISSIONS; FOOTPRINT; AGRICULTURE; PERSPECTIVE; BIOCHAR; WHEAT</t>
  </si>
  <si>
    <t>Cropping systems are considered the largest source of agricultural GHG emissions. Identifying key categories and factors affecting cropping systems is essential for reducing these emissions. Most studies have focused on the carbon budget of cropping systems from the perspective of a single crop or crop category. Comprehensive studies quantifying the carbon budget of diversified cropping systems, including farmland and garden crops, are still limited. This study aims to fill this gap by quantifying the carbon budget of diversified cropping systems, clarifying their carbon attributes, and identifying key crop categories and influencing factors within different classifications of the system. This study analyzed the carbon budget of a diversified cropping system consisting of 19 crops in Yunnan Province, southwestern China, using a crop-based net greenhouse gas balance methodology based on the cradle-to-farm life cycle idea. Crops were categorized into three levels of categories to assess the potential impact of categorization within the cropping system on its carbon balance. Results showed that Yunnan's diversified cropping system is a significant carbon sink, with net sequestration of 33.1 Mt CO2 eq, total emissions of 37.4 Mt CO2 eq, and total sequestration of 70.5 Mt CO2 eq. Cereals, vegetables, and hobby crops were the main contributors to carbon emissions, accounting for 41.61%, 21.87%, and 15.37%, respectively. Cereal crops also made the largest contribution to carbon sequestration at 53.18%. Bananas had the highest emissions per unit area (11.45 t CO2 eq ha-1), while walnuts had the highest sequestration (20.64 t CO2 eq ha-1). In addition, this study highlights effective strategies to reduce greenhouse gas emissions, such as reducing nitrogen fertilizer use, minimizing reactive nitrogen losses, and controlling methane emissions from rice fields. By elucidating the impact of carbon dynamics and crop categories, this study provides insights for sustainable agricultural practices and policies.</t>
  </si>
  <si>
    <t>[Li, Hao; Xu, Yinan; Gao, Wangsheng; Chen, Yuanquan] China Agr Univ, Coll Agron &amp; Biotechnol, Beijing 100193, Peoples R China; [Cui, Jixiao] Chinese Acad Agr Sci, Inst Environm &amp; Sustainable Dev Agr, Beijing 100081, Peoples R China; [Xu, Yinan] Jiangsu Acad Agr Sci, Inst Agr Resources &amp; Environm, Nanjing 210014, Peoples R China</t>
  </si>
  <si>
    <t>China Agricultural University; Chinese Academy of Agricultural Sciences; Institute of Environment &amp; Sustainable Development in Agriculture, CAAS; Jiangsu Academy of Agricultural Sciences</t>
  </si>
  <si>
    <t>Chen, YQ (corresponding author), China Agr Univ, Coll Agron &amp; Biotechnol, Beijing 100193, Peoples R China.;Cui, JX (corresponding author), Chinese Acad Agr Sci, Inst Environm &amp; Sustainable Dev Agr, Beijing 100081, Peoples R China.</t>
  </si>
  <si>
    <t>wsdlh@cau.edu.cn; yinan116@163.com; gaows@cau.edu.cn; cuijixiao@caas.cn; chenyq@cau.edu.cn</t>
  </si>
  <si>
    <t>Cui, Jixiao/HTR-3009-2023; Chen, Yuanquan/AAU-9492-2020</t>
  </si>
  <si>
    <t>Chen, Yuanquan/0000-0001-6947-1319</t>
  </si>
  <si>
    <t>Major Science and Technology Program in Yunnan Province [202202AE090029]</t>
  </si>
  <si>
    <t>Major Science and Technology Program in Yunnan Province</t>
  </si>
  <si>
    <t>This work was financially supported by the Major Science and Technology Program in Yunnan Province (Grand number: 202202AE090029) .</t>
  </si>
  <si>
    <t>ACADEMIC PRESS INC ELSEVIER SCIENCE</t>
  </si>
  <si>
    <t>SAN DIEGO</t>
  </si>
  <si>
    <t>525 B ST, STE 1900, SAN DIEGO, CA 92101-4495 USA</t>
  </si>
  <si>
    <t>0013-9351</t>
  </si>
  <si>
    <t>1096-0953</t>
  </si>
  <si>
    <t>ENVIRON RES</t>
  </si>
  <si>
    <t>Environ. Res.</t>
  </si>
  <si>
    <t>AUG 15</t>
  </si>
  <si>
    <t>10.1016/j.envres.2024.119189</t>
  </si>
  <si>
    <t>Environmental Sciences; Public, Environmental &amp; Occupational Health</t>
  </si>
  <si>
    <t>Environmental Sciences &amp; Ecology; Public, Environmental &amp; Occupational Health</t>
  </si>
  <si>
    <t>TY0Z4</t>
  </si>
  <si>
    <t>WOS:001244715300001</t>
  </si>
  <si>
    <t>Zhang, H; Zhao, F; Han, KX</t>
  </si>
  <si>
    <t>Zhang, Hua; Zhao, Fang; Han, Kexuan</t>
  </si>
  <si>
    <t>Optimization analysis of grain self-production and import structure based on carbon footprint</t>
  </si>
  <si>
    <t>CHINA AGRICULTURAL ECONOMIC REVIEW</t>
  </si>
  <si>
    <t>Agricultural trade; Carbon footprint; Life cycle assessment</t>
  </si>
  <si>
    <t>GREENHOUSE-GAS EMISSIONS; MILK-PRODUCTION; FARM SURVEY; CONSUMPTION; CHINA</t>
  </si>
  <si>
    <t>Purpose The purpose of this paper is to reduce the carbon footprint of food by adjusting the international trade and planting structure and to provide possible ideas for the improvement of the world's food green production and green trade. Design/methodology/approach Using the literature analysis method to collect carbon footprint data calculated based on the life cycle assessment (LCA) method, and establishing an optimization model and an ARIMA prediction model for empirical analysis, this paper explores the possibility to reduce carbon emissions by adjusting import structure and self-production structure. Findings The results show that only through the adjustment of the import structure, carbon emissions can be reduced by 3.29 million tons at the source of imports. When domestic self-production is included, a total of 4.51 million tons of carbon emissions can be reduced, this provides ideas for low-carbon emission reduction in agriculture and animal husbandry. Originality/value This article is the first to use the carbon footprint data obtained by other scholars using LCA to optimize and analyze the grain trade structure and planting structure from a low-carbon perspective, and obtain specific emission reductions.</t>
  </si>
  <si>
    <t>[Zhang, Hua; Zhao, Fang; Han, Kexuan] China Jiliang Univ, Coll Econ &amp; Management, Hangzhou, Peoples R China</t>
  </si>
  <si>
    <t>China Jiliang University</t>
  </si>
  <si>
    <t>Zhao, F (corresponding author), China Jiliang Univ, Coll Econ &amp; Management, Hangzhou, Peoples R China.</t>
  </si>
  <si>
    <t>zf18846152674@163.com</t>
  </si>
  <si>
    <t>Zhang, Hua/GQA-4367-2022</t>
  </si>
  <si>
    <t>, Hua/0000-0001-9444-8217</t>
  </si>
  <si>
    <t>NSSF (National Social Science Foundation) project [18ZDA070]; NNSFC (National Natural Science Foundation of China) Project [71373249]; fundamental research funds for the provincial universities of Zhejiang [2020YW36]; key project of soft science research in Zhejiang province [2020C25010]; Zhejiang provincial key research base of management science and engineering</t>
  </si>
  <si>
    <t>NSSF (National Social Science Foundation) project; NNSFC (National Natural Science Foundation of China) Project; fundamental research funds for the provincial universities of Zhejiang; key project of soft science research in Zhejiang province; Zhejiang provincial key research base of management science and engineering</t>
  </si>
  <si>
    <t>This work is supported by NSSF (National Social Science Foundation) project (Project No. 18ZDA070) and NNSFC (National Natural Science Foundation of China) Project (Project No. 71373249). Meanwhile, it is also supported by the fundamental research funds for the provincial universities of Zhejiang (Project No. 2020YW36), key project of soft science research in Zhejiang province (Project No. 2020C25010) and Zhejiang provincial key research base of management science and engineering.</t>
  </si>
  <si>
    <t>EMERALD GROUP PUBLISHING LTD</t>
  </si>
  <si>
    <t>Leeds</t>
  </si>
  <si>
    <t>Floor 5, Northspring 21-23 Wellington Street, Leeds, W YORKSHIRE, ENGLAND</t>
  </si>
  <si>
    <t>1756-137X</t>
  </si>
  <si>
    <t>1756-1388</t>
  </si>
  <si>
    <t>CHINA AGR ECON REV</t>
  </si>
  <si>
    <t>China Agric. Econ. Rev.</t>
  </si>
  <si>
    <t>OCT 11</t>
  </si>
  <si>
    <t>SI</t>
  </si>
  <si>
    <t>10.1108/CAER-02-2022-0036</t>
  </si>
  <si>
    <t>AUG 2022</t>
  </si>
  <si>
    <t>Agricultural Economics &amp; Policy; Economics</t>
  </si>
  <si>
    <t>Agriculture; Business &amp; Economics</t>
  </si>
  <si>
    <t>5D7NL</t>
  </si>
  <si>
    <t>WOS:000837285200001</t>
  </si>
  <si>
    <t>Manning, DAC; Siqueira, TR; Rajaeifar, MA; Heidrich, O</t>
  </si>
  <si>
    <t>Manning, David A. C.; Siqueira, Thiago Ribeiro; Rajaeifar, Mohammad Ali; Heidrich, Oliver</t>
  </si>
  <si>
    <t>The true carbon costs of supplying potassium fertilizer to Brazilian agriculture</t>
  </si>
  <si>
    <t>Cradle to hub; GHG emissions; Potassium chloride; Potassium fertilizer; Supply chains</t>
  </si>
  <si>
    <t>LIFE-CYCLE ASSESSMENT</t>
  </si>
  <si>
    <t>Brazil is the world's 5th largest agricultural producer, with a vital role in global food supplies. It is the world's largest importer of potassium fertilizers. Evaluation of the carbon footprint of food production needs to include the carbon footprint of fertilizer inputs. We report, for the first time, Scope 3 emissions relating to global and local transport and distribution networks for KCl fertilizer delivered to Brazil. The average carbon footprint from 8 global manufacturers in 7 countries to 5,563 distribution hubs is 530.5 kg of CO2-eq per tonne of KCl. This is almost double the emissions value widely used for KCl for Brazilian agriculture (273.13 kg CO2-eq t-1). We emphasise the need for a universal mandate to ensure that all stakeholders in the supply chain comprehensively account for Scope 3 emissions relating to KCl transport from where it is produced to where it is used. The revision of the carbon footprint for K fertilizer has major implications for global producers, local distributors, supermarkets, and consumers.</t>
  </si>
  <si>
    <t>[Manning, David A. C.] Newcastle Univ, Sch Nat &amp; Environm Sci, Newcastle Upon Tyne NE1 7RU, England; [Siqueira, Thiago Ribeiro] Univ Estadual Montes Claros, Montes Claros, MG, Brazil; [Rajaeifar, Mohammad Ali; Heidrich, Oliver] Newcastle Univ, Tyndall Ctr Climate Change, Sch Engn, Newcastle Upon Tyne NE1 7RU, England</t>
  </si>
  <si>
    <t>Newcastle University - UK; Universidade Estadual de Montes Claros; Newcastle University - UK</t>
  </si>
  <si>
    <t>Heidrich, O (corresponding author), Newcastle Univ, Newcastle Upon Tyne NE1 7RU, England.</t>
  </si>
  <si>
    <t>Oliver.heidrich@ncl.ac.uk</t>
  </si>
  <si>
    <t>UK Defence Innovation Fund Ideas Scheme [61182036]</t>
  </si>
  <si>
    <t>UK Defence Innovation Fund Ideas Scheme</t>
  </si>
  <si>
    <t>We want to thank all the potassium mining companies and the Brazilian ports that provide us with the data. DACM and OH were co-funded by the UK Defence Innovation Fund Ideas Scheme (61182036) and want to thank the RAF Leeming ViTAL Living Lab which made this study possible. We thank the Brazilian colleagues that provided raw data, maps and that conducted sensitivity checks of the data and the paper. We like to express our gratitude to the three reviewers, whose insightful comments and constructive suggestions have been invaluable in improving the quality and clarity of the paper.</t>
  </si>
  <si>
    <t>10.1016/j.resconrec.2025.108694</t>
  </si>
  <si>
    <t>K2858</t>
  </si>
  <si>
    <t>WOS:001628401000002</t>
  </si>
  <si>
    <t>Yao, WJ</t>
  </si>
  <si>
    <t>Yao, Wenjie</t>
  </si>
  <si>
    <t>Does Scaling Up Pig Farming Promote Carbon Neutrality Among Pig Farmers?</t>
  </si>
  <si>
    <t>APPLIED BIOCHEMISTRY AND BIOTECHNOLOGY</t>
  </si>
  <si>
    <t>Pig breeding scale; Pig farmers; Carbon neutralization; Composting project; Biogas engineering</t>
  </si>
  <si>
    <t>Pig farming is a major source of carbon emissions in China's livestock industry, and the promotion and application of carbon neutral technologies dedicated to carbon reduction and sequestration is a key measure to promote the realization of carbon neutrality in pig farming industry. In the absence of a system for carbon emission reduction in agriculture, it is important to explore whether large-scale pig farming can spontaneously promote the application of carbon neutral technologies by pig farmers. Combined with the technical background of carbon neutrality in pig farming industry and using the field survey data of 468 pig farmers in Shandong Province, this paper empirically analyzed the effect of large-scale pig farming on the carbon neutral behavior of pig farmers. The findings are threefold. Firstly, because of the effect of economies of scale in the application of carbon neutral technologies, large-scale pig farming can promote the carbon neutral behavior of pig farmers. However, the effect of economies of scale in the application of carbon neutral technologies has a boundary, and the annual output of pigs should be maintained at 3000 to 4999. Secondly, among the effects of pig breeding scale on the application and its degree of composting project, state of planting and breeding cycle has no regulating effect. Thirdly, among the effects of pig breeding scale on the application and its degree of biogas engineering, both state of planting and breeding cycle and subsidy for construction of biogas digester have negative regulating effects. In this paper, the pig farming industry is taken as a typical example to reveal the endogenous incentive mechanism of promoting agricultural carbon emission reduction, which provides theoretical reference and experience enlightenment for the formulation of effective policies to promote agricultural carbon neutrality, which are different from industrial industries.</t>
  </si>
  <si>
    <t>[Yao, Wenjie] Zhejiang Univ Water Resources &amp; Elect Power, Coll Econ &amp; Management, Hangzhou 310018, Peoples R China</t>
  </si>
  <si>
    <t>Zhejiang University of Water Resources and Electric Power</t>
  </si>
  <si>
    <t>Yao, WJ (corresponding author), Zhejiang Univ Water Resources &amp; Elect Power, Coll Econ &amp; Management, Hangzhou 310018, Peoples R China.</t>
  </si>
  <si>
    <t>rantom_821024@163.com</t>
  </si>
  <si>
    <t>Yao, Wenjie/IVV-1302-2023</t>
  </si>
  <si>
    <t>Yao, Wenjie/0000-0002-5218-3625</t>
  </si>
  <si>
    <t>0273-2289</t>
  </si>
  <si>
    <t>1559-0291</t>
  </si>
  <si>
    <t>APPL BIOCHEM BIOTECH</t>
  </si>
  <si>
    <t>Appl. Biochem. Biotechnol.</t>
  </si>
  <si>
    <t>DEC</t>
  </si>
  <si>
    <t>10.1007/s12010-024-05029-8</t>
  </si>
  <si>
    <t>AUG 2024</t>
  </si>
  <si>
    <t>Biochemistry &amp; Molecular Biology; Biotechnology &amp; Applied Microbiology</t>
  </si>
  <si>
    <t>R1N0E</t>
  </si>
  <si>
    <t>WOS:001282862800003</t>
  </si>
  <si>
    <t>Zhang, YX; Li, X; Xiao, M; Feng, ZY; Yu, YX; Yao, HY</t>
  </si>
  <si>
    <t>Zhang, Yanxia; Li, Xing; Xiao, Mao; Feng, Ziyi; Yu, Yongxiang; Yao, Huaiying</t>
  </si>
  <si>
    <t>Effects of microplastics on soil carbon dioxide emissions and the microbial functional genes involved in organic carbon decomposition in agricultural soil</t>
  </si>
  <si>
    <t>Microplastics; Organic carbon decomposition; Microbial functional gene; Microbial metabolic quotient; Arable soil</t>
  </si>
  <si>
    <t>The accumulation of microplastics (MPs) in agricultural fields can not only disguise soil organic carbon (SOC) storage but also affect the production of carbon dioxide (CO2) by microbial decomposition. However, little is known about the impact of this emerging pollutant on soil CO2 emissions and the functional genes related to SOC degradation. In the present study, a short-term (30-day) microcosm experiment was performed to investigate the effects of virgin and aged low-density polyethylene (LDPE) MPs on soil CO2 emissions. We also measured functional gene abundances related to starch (sga), hemicellulose (abfA, manB and xylA), cellulose (cex) and lignin (lig and mnp) degradation through a high-throughput quantitative-PCR-based chip. Compared with the soils without MPs, low doses (0.01% and 0.1%) of both virgin and aged MPs had negligible effects on SOC decomposition, whereas a high dose (1.0%) of these two MPs significantly (p &lt; 0.05) accelerated the production of CO2 in soils by 15-17%, showing a dose-dependent effect. The presence of MPs did not significantly affect soil dissolved organic carbon or microbial biomass carbon. A higher metabolic quotient at 1.0% MP concentration indicated that the microbes were stressed and needed more substrates and energy during their metabolic process, which could likely explain the increase in CO2 emission induced by this dose of MPs. Exposure to virgin MPs significantly reduced the functional genes related to hemicellulose (abfA and manB) degradation, whereas increasing the aged MPs concentrations significantly decreased the abundances of functional genes encoding starch (sga), hemicellulose (abfA, manB and xylA), and cellulose (cex) hydrolysis. Overall, we conclude that the low dose (&lt;0.1%) of MPs in the soils has a negligible effect on the production of CO2, but this factor should be considered in evaluating the global C budget in future research as this contaminant reaches a certain threshold (1.0%). (C) 2021 Elsevier B.V. All rights reserved.</t>
  </si>
  <si>
    <t>[Zhang, Yanxia; Li, Xing; Xiao, Mao; Feng, Ziyi; Yu, Yongxiang; Yao, Huaiying] Wuhan Inst Technol, Sch Environm Ecol &amp; Biol Engn, Res Ctr Environm Ecol &amp; Engn, 206 Guanggu 1st Rd, Wuhan 430205, Peoples R China; [Yu, Yongxiang; Yao, Huaiying] Chinese Acad Sci, Inst Urban Environm, Key Lab Urban Environm &amp; Hlth, 1799 Jimei Rd, Xiamen 361021, Peoples R China; [Yu, Yongxiang; Yao, Huaiying] Chinese Acad Sci, Zhejiang Key Lab Urban Environm Proc &amp; Pollut Con, Ningbo Urban Environm Observat &amp; Res Stn, 88 Zhongke Rd, Ningbo 315800, Peoples R China</t>
  </si>
  <si>
    <t>Wuhan Institute of Technology; Chinese Academy of Sciences; Institute of Urban Environment, CAS; Chinese Academy of Sciences</t>
  </si>
  <si>
    <t>Yu, YX; Yao, HY (corresponding author), Chinese Acad Sci, Inst Urban Environm, Key Lab Urban Environm &amp; Hlth, 1799 Jimei Rd, Xiamen 361021, Peoples R China.</t>
  </si>
  <si>
    <t>yxyu@iue.ac.cn; hyyao@iue.ac.cn</t>
  </si>
  <si>
    <t>Yu, Yongxiang/S-6779-2017; xing, li/HHN-4346-2022; Yao, Huaiying/T-1333-2018</t>
  </si>
  <si>
    <t>Yu, Yongxiang/0000-0002-4282-947X; Yao, Huaiying/0000-0002-1932-8765</t>
  </si>
  <si>
    <t>National Natural Science Foundation of China [41807040, 42021005, 41525002]; National Key Research and Development Program of China [2020YFC1806900]; Graduate Innovative Fund ofWuhan Institute of Technology [CX2020351]</t>
  </si>
  <si>
    <t>National Natural Science Foundation of China(National Natural Science Foundation of China (NSFC)); National Key Research and Development Program of China(National Key Research &amp; Development Program of China); Graduate Innovative Fund ofWuhan Institute of Technology</t>
  </si>
  <si>
    <t>We thank our editors and anonymous reviewers for their valuable comments and suggestions on this manuscript. This work was funded by the National Natural Science Foundation of China (41807040, 42021005, 41525002), the National Key Research and Development Program of China (2020YFC1806900), and the Graduate Innovative Fund ofWuhan Institute of Technology (CX2020351).</t>
  </si>
  <si>
    <t>10.1016/j.scitotenv.2021.150714</t>
  </si>
  <si>
    <t>OCT 2021</t>
  </si>
  <si>
    <t>WH4ND</t>
  </si>
  <si>
    <t>WOS:000707655700016</t>
  </si>
  <si>
    <t>Sprenkle-Hyppolite, S; Griscom, B; Griffey, V; Munshi, E; Chapman, M</t>
  </si>
  <si>
    <t>Sprenkle-Hyppolite, Starry; Griscom, Bronson; Griffey, Vivian; Munshi, Erika; Chapman, Melissa</t>
  </si>
  <si>
    <t>Maximizing tree carbon in croplands and grazing lands while sustaining yields</t>
  </si>
  <si>
    <t>CARBON BALANCE AND MANAGEMENT</t>
  </si>
  <si>
    <t>Tree cover; Agroforestry; Silvopasture; Natural climate solutions; NCS; Carbon dioxide removal; Global mitigation potential; Cropland; Grazing land</t>
  </si>
  <si>
    <t>SOIL ORGANIC-CARBON; AGROFORESTRY; SEQUESTRATION; SILVOPASTURE; PERFORMANCE; PASTURE; FORESTS; SYSTEM; IMPACT; ALBEDO</t>
  </si>
  <si>
    <t>BackgroundIntegrating trees into agricultural landscapes can provide climate mitigation and improves soil fertility, biodiversity habitat, water quality, water flow, and human health, but these benefits must be achieved without reducing agriculture yields. Prior estimates of carbon dioxide (CO2) removal potential from increasing tree cover in agriculture assumed a moderate level of woody biomass can be integrated without reducing agricultural production. Instead, we used a Delphi expert elicitation to estimate maximum tree covers for 53 regional cropping and grazing system categories while safeguarding agricultural yields. Comparing these values to baselines and applying spatially explicit tree carbon accumulation rates, we develop global maps of the additional CO2 removal potential of Tree Cover in Agriculture. We present here the first global spatially explicit datasets calibrated to regional grazing and croplands, estimating opportunities to increase tree cover without reducing yields, therefore avoiding a major cost barrier to restoration: the opportunity cost of CO2 removal at the expense of agriculture yields.ResultsThe global estimated maximum technical CO2 removal potential is split between croplands (1.86 PgCO2 yr- 1) and grazing lands (1.45 PgCO2 yr- 1), with large variances. Tropical/subtropical biomes account for 54% of cropland (2.82 MgCO2 ha- 1 yr- 1, SD = 0.45) and 73% of grazing land potential (1.54 MgCO2 ha- 1 yr- 1, SD = 0.47). Potentials seem to be driven by two characteristics: the opportunity for increase in tree cover and bioclimatic factors affecting CO2 removal rates.ConclusionsWe find that increasing tree cover in 2.6 billion hectares of agricultural landscapes may remove up to 3.3 billion tons of CO2 per year - more than the global annual emissions from cars. These Natural Climate Solutions could achieve the Bonn Challenge and add 793 million trees to agricultural landscapes. This is significant for global climate mitigation efforts because it represents a large, relatively inexpensive, additional CO2 removal opportunity that works within agricultural landscapes and has low economic and social barriers to rapid global scaling. There is an urgent need for policy and incentive systems to encourage the adoption of these practices.</t>
  </si>
  <si>
    <t>[Sprenkle-Hyppolite, Starry; Griscom, Bronson; Griffey, Vivian; Munshi, Erika] Conservat Int, Arlington, VA 22202 USA; [Chapman, Melissa] Univ Calif Santa Barbara, Santa Barbara, CA USA</t>
  </si>
  <si>
    <t>Conservation International; University of California System; University of California Santa Barbara</t>
  </si>
  <si>
    <t>Griffey, V (corresponding author), Conservat Int, Arlington, VA 22202 USA.</t>
  </si>
  <si>
    <t>vgriffey@conservation.org</t>
  </si>
  <si>
    <t>Chapman, Melissa/AAA-8332-2021</t>
  </si>
  <si>
    <t>Oginga, Quinter/0000-0002-0815-6021</t>
  </si>
  <si>
    <t>Climate and Land Use Alliance</t>
  </si>
  <si>
    <t>This research would not have been possible without the important contribution of time from the consulted experts, listed in Supplementary Materials 4, or the research assistance of Lisa McCullough and Quinter Oginga. We would also like to thank multiple anonymous reviewers for their beneficial comments.</t>
  </si>
  <si>
    <t>BMC</t>
  </si>
  <si>
    <t>CAMPUS, 4 CRINAN ST, LONDON N1 9XW, ENGLAND</t>
  </si>
  <si>
    <t>1750-0680</t>
  </si>
  <si>
    <t>CARBON BAL MANAGE</t>
  </si>
  <si>
    <t>Carbon Balanc. Manag.</t>
  </si>
  <si>
    <t>JUL 31</t>
  </si>
  <si>
    <t>10.1186/s13021-024-00268-y</t>
  </si>
  <si>
    <t>A3I8C</t>
  </si>
  <si>
    <t>WOS:001281508800001</t>
  </si>
  <si>
    <t>Kuwornu, JKM; Apiors, EK; Kwadzo, GTM</t>
  </si>
  <si>
    <t>Kuwornu, John K. M.; Apiors, Emmanuel K.; Kwadzo, George T-M</t>
  </si>
  <si>
    <t>Access and Intensity of Mechanization: Empirical Evidence of Rice Farmers in Southern Ghana</t>
  </si>
  <si>
    <t>BRAZILIAN ARCHIVES OF BIOLOGY AND TECHNOLOGY</t>
  </si>
  <si>
    <t>mechanization access; mechanization intensity; rice farmers; southern Ghana; double hurdle model</t>
  </si>
  <si>
    <t>DEMAND; MODELS</t>
  </si>
  <si>
    <t>The medium term development plan of Ghana proposed modernization of agriculture to lead the way in transforming the economy. Providing irrigation infrastructure and enhancing farmer access to farm machinery were major interventions proposed. In line with this, the government has been investing in irrigation infrastructure as well as importing farm machinery under various programmes in recent years. This study analyzed access and intensity of mechanization by rice farmers in southern Ghana. The Shai-Osudoku and Ketu North Districts were purposively selected and a total of 360 farmers were randomly sampled from 16 rice growing communities. In general, the results of the descriptive statistics revealed that about 74 % of farmers were still cultivating rice with considerably low level of mechanization. The double hurdle model was employed to estimate the determinants of access to mechanization and the intensity of mechanization. The empirical results of tier one of the double huddle model revealed that size of land, access to credit, availability of farm machinery, expenditure on labour, agrochemical expenditure, the square of age, and gender positively influenced access to mechanization. Seed expenditure, age and district locations negatively influenced access to mechanization. The empirical results of the tier two of the double hurdle model revealed that distance from farm to nearest mechanization centre, rice income, non-farm income and experience were significant variables that positively influenced intensity of mechanization. Land ownership and household size negatively influenced intensity of mechanization. These results have implications for capacity building and government support for rice farmers in southern Ghana.</t>
  </si>
  <si>
    <t>[Kuwornu, John K. M.] Asian Inst Technol, Dept Food Agr &amp; Bioresources, Khlong Luang Dist, Pathum Thani, Thailand; [Apiors, Emmanuel K.] Univ Ghana, Dept Agr Econ &amp; Agribusiness, Legon, Accra, Ghana; [Kwadzo, George T-M] Minist Food &amp; Agr, Accra, Ghana</t>
  </si>
  <si>
    <t>Asian Institute of Technology; University of Ghana</t>
  </si>
  <si>
    <t>Kuwornu, JKM (corresponding author), Asian Inst Technol, Dept Food Agr &amp; Bioresources, Khlong Luang Dist, Pathum Thani, Thailand.</t>
  </si>
  <si>
    <t>jkuwornu@gmail.com</t>
  </si>
  <si>
    <t>Kuwornu, John K. M./AAX-7100-2021; Apiors, Emmanuel/AAU-8987-2021</t>
  </si>
  <si>
    <t>Kuwornu, John K M/0000-0002-2068-8119; Apiors, Emmanuel/0000-0003-2095-6862</t>
  </si>
  <si>
    <t>INST TECNOLOGIA PARANA</t>
  </si>
  <si>
    <t>CURITIBA-PARANA</t>
  </si>
  <si>
    <t>RUA PROF ALGACYR MUNHOZ MADER 3775-CIC, 81350-010 CURITIBA-PARANA, BRAZIL</t>
  </si>
  <si>
    <t>1516-8913</t>
  </si>
  <si>
    <t>1678-4324</t>
  </si>
  <si>
    <t>BRAZ ARCH BIOL TECHN</t>
  </si>
  <si>
    <t>Braz. Arch. Biol. Technol.</t>
  </si>
  <si>
    <t>JAN-DEC</t>
  </si>
  <si>
    <t>e17160396</t>
  </si>
  <si>
    <t>10.1590/1678-4324-2017160396</t>
  </si>
  <si>
    <t>Biology</t>
  </si>
  <si>
    <t>Life Sciences &amp; Biomedicine - Other Topics</t>
  </si>
  <si>
    <t>EZ1NJ</t>
  </si>
  <si>
    <t>WOS:000404477400001</t>
  </si>
  <si>
    <t>Olsen, BW; Kragh, T; So, JS; Polauke, E; Sand-Jensen, K</t>
  </si>
  <si>
    <t>Olsen, Benedichte Wiemann; Kragh, Theis; So, Jonas Stage; Polauke, Emma; Sand-Jensen, Kaj</t>
  </si>
  <si>
    <t>Environmental drivers of seasonal and hourly fluxes of methane and carbon dioxide across a lowland stream network with mixed catchment</t>
  </si>
  <si>
    <t>BIOGEOCHEMISTRY</t>
  </si>
  <si>
    <t>Methane; Carbon dioxide; Diffusive flux; Ebullitive flux; Stream</t>
  </si>
  <si>
    <t>TEMPERATE STREAMS; CO2 EMISSIONS; WATER; RIVER; EVASION; PHOTOSYNTHESIS; CONSEQUENCES; MACROPHYTES; DYNAMICS; VELOCITY</t>
  </si>
  <si>
    <t>Streams serve as open windows for carbon emissions to the atmosphere due to the frequent supersaturation of carbon dioxide (CO2) and methane (CH4) that originates from large carbon input during runoff and associated in-stream processes. Due to the high spatial and temporal variability of the underlying environmental drivers (e.g., concentrations of dissolved CO2 and CH4, turbulence, and temperature), it has remained difficult to address the importance and upscale the emissions to annual whole-system and regional values. In this study, we measured concentrations and calculated emissions of CO2 and CH4 at diel and seasonal scales at 15 stations in a 1.4 km2 stream network that drains a mixed lowland catchment consisting of agriculture (210 km2), forest (56 km2), and lakes, ponds, and wetlands (22 km2) in the upper River Odense, Denmark to evaluate environmental drivers behind the spatiotemporal variability. We used automatically venting floating chambers to calculate hourly diffusive fluxes of CO2 and CH4 and CH4 ebullition. We found: 1) highly supersaturated CO2 and CH4 concentrations (median: 175 and 0.33 mu mol L-1, respectively) and high diffusive fluxes of CO2 and CH4 (median: 3,608 and 19 mu mol m-2 h-1, respectively); 2) lower daytime than nighttime diffusive emissions of CO2 in spring and summer, but no diel variability of CH4; 3) higher concentrations and emissions of CH4 at higher temperatures; and 4) higher emissions of CH4 at stations located in sub-catchments with higher agricultural coverage. Ebullition of CH4 peaked at two stations with soft organic sediment and low summer flow, and their ebullition alone constituted 30% of total annual CH4 emissions from the stream network. Mean annual CO2 emissions from the hydrological network (37.15 mol CO2 m-2 y-1) exceeded CH4 emissions 100-fold (0.43 mol CH4 m-2 y-1), and their combined warming potential was 1.83 kg CO2e m-2 y-1. Overall, agricultural sub-catchments had higher CH4 emissions from streams, while lakes and ponds likely reduced downstream CH4 and CO2 emissions. Our findings demonstrate that CO2 and CH4 emissions data at high spatial and temporal resolution are essential to frame the heterogeneous stream conditions, understand gas emissions regulation, and upscale to annual values for hydrological networks and larger regions.</t>
  </si>
  <si>
    <t>[Olsen, Benedichte Wiemann; Kragh, Theis; So, Jonas Stage; Polauke, Emma] Univ Southern Denmark, Campusvej 55, DK-5230 Odense M, Denmark; [Sand-Jensen, Kaj] Univ Copenhagen, Biol Inst, Univ Pk 4,3 Floor, DK-2100 Copenhagen, Denmark</t>
  </si>
  <si>
    <t>University of Southern Denmark; University of Copenhagen</t>
  </si>
  <si>
    <t>Olsen, BW (corresponding author), Univ Southern Denmark, Campusvej 55, DK-5230 Odense M, Denmark.</t>
  </si>
  <si>
    <t>benedichtewo@biology.sdu.dk</t>
  </si>
  <si>
    <t>; Sø, Jonas Stage/HPD-5343-2023; Polauke, Emma/KHW-6541-2024</t>
  </si>
  <si>
    <t>Olsen, Benedichte Wiemann/0009-0003-9857-4706; Kragh, Theis/0000-0002-9760-2571; Sø, Jonas Stage/0000-0002-3222-3706; Polauke, Emma Ditte Røhmann/0009-0006-6486-2621;</t>
  </si>
  <si>
    <t>Danmarks Frie Forskningsfond [01217-00112B]; Independent Research Fund, Denmark</t>
  </si>
  <si>
    <t>Danmarks Frie Forskningsfond; Independent Research Fund, Denmark(Det Frie Forskningsrad (DFF))</t>
  </si>
  <si>
    <t>We thank the local landowners and The Danish Nature Agency for letting us utilize their land registers for our study sites, and we also thank David Stuligross for proof-reading the manuscript. KSJ was supported by grants from the Independent Research Fund, Denmark (01217-00112B). We are indebted to constructive comments from reviewers and editor.</t>
  </si>
  <si>
    <t>0168-2563</t>
  </si>
  <si>
    <t>1573-515X</t>
  </si>
  <si>
    <t>Biogeochemistry</t>
  </si>
  <si>
    <t>JAN 11</t>
  </si>
  <si>
    <t>10.1007/s10533-024-01205-4</t>
  </si>
  <si>
    <t>Environmental Sciences; Geosciences, Multidisciplinary</t>
  </si>
  <si>
    <t>Environmental Sciences &amp; Ecology; Geology</t>
  </si>
  <si>
    <t>R9K7S</t>
  </si>
  <si>
    <t>Green Published, hybrid</t>
  </si>
  <si>
    <t>WOS:001394551600001</t>
  </si>
  <si>
    <t>Luo, XQ; Guo, YT; Wang, R; Wang, NJ; Li, C; Chu, XS; Feng, H; Chen, HX</t>
  </si>
  <si>
    <t>Luo, Xiaoqi; Guo, Yiting; Wang, Rui; Wang, Naijiang; Li, Cheng; Chu, Xiaosheng; Feng, Hao; Chen, Haixin</t>
  </si>
  <si>
    <t>Carbon footprint of a winter wheat-summer maize cropping system under straw and plastic film mulching in the Loess Plateau of China</t>
  </si>
  <si>
    <t>Mulching; Crop yield; Greenhouse gas emission; Carbon footprint; Winter wheat-summer maize</t>
  </si>
  <si>
    <t>GREENHOUSE-GAS EMISSIONS; NITROUS-OXIDE EMISSIONS; DRIP IRRIGATION; AGRICULTURAL PRODUCTION; MANAGEMENT STRATEGY; TILLAGE PRACTICES; ECONOMIC BENEFIT; N2O EMISSIONS; WATER-USE; SOIL</t>
  </si>
  <si>
    <t>The objective of this study was to calculate the carbon footprint (CF) of straw and plastic film mulching practices in order to identify the optimum field management for low-carbon agriculture. A four-year field experiment was conducted to determine the effects of different mulching measurements on greenhouse gas (GHG) emissions, grain yield, and CF of a winter wheat-summer maize cropping system in the Loess Plateau of China. Mulching treatments were no mulching (NM), straw mulching (SM), half plastic film mulching (HPM); full plastic film mulching (FPM), and ridge-furrow planting with film mulching over ridges (RPM). Plastic film mulching decreased N2O emissions compared with NM. However, SM significantly increased direct N2O emissions by 59.2% and indirect N2O emissions by 16.2%. Average annual total GHG emissions calculated by life cycle assessment were 5199-7631 kg CO2-eq ha(-1) y(r-1). Nitrogen (N) fertilizer was the largest contributor to total GHG emissions, accounting for &gt;41%. For plastic film mulching treatments, the second greatest contributor was plastic film, accounting for 21.1-35.7% of total GHG emissions. In contrast, the second greatest contributor was direct and indirect N2O and CH4 emissions under NM(17.2%) and SM (21.6%). Emissions from diesel consumption was the third largest component of total GHG emissions. All mulching treatments showed significantly greater annual grain yield than the NM treatment. The CF of summer maize yield was higher than that of winter wheat. SM showed the lowest CF (0.38 kg CO2-eq kg(-1)), and plastic film mulching increased CFs compared with NM. These results suggest that SM should be the priority mulching practice used to increase yield and to reduce the CF of winter wheat-summer maize production in the Loess Plateau, China. Optimizing N fertilizer application rates should be one of the key production strategies employed to mitigate agricultural GHG emissions. (C) 2021 Elsevier B.V. All rights reserved.</t>
  </si>
  <si>
    <t>[Luo, Xiaoqi; Guo, Yiting; Wang, Rui; Wang, Naijiang; Li, Cheng; Chu, Xiaosheng; Chen, Haixin] Northwest A&amp;F Univ, Coll Water Resources &amp; Architectural Engn, Yangling 712100, Shaanxi, Peoples R China; [Luo, Xiaoqi; Guo, Yiting; Wang, Rui; Wang, Naijiang; Li, Cheng; Chu, Xiaosheng] Northwest A&amp;F Univ, Inst Water Saving Arid Areas China, Yangling 712100, Shaanxi, Peoples R China; [Feng, Hao] Northwest A&amp;F Univ, Inst Soil &amp; Water Conservat, Yangling 712100, Shaanxi, Peoples R China</t>
  </si>
  <si>
    <t>Northwest A&amp;F University - China; Northwest A&amp;F University - China; Chinese Academy of Sciences; Institute of Soil &amp; Water Conservation (ISWC), CAS; Northwest A&amp;F University - China</t>
  </si>
  <si>
    <t>Chen, HX (corresponding author), Northwest A&amp;F Univ, Coll Water Resources &amp; Architectural Engn, Yangling 712100, Shaanxi, Peoples R China.;Feng, H (corresponding author), Northwest A&amp;F Univ, Inst Soil &amp; Water Conservat, Yangling 712100, Shaanxi, Peoples R China.</t>
  </si>
  <si>
    <t>nercwsi@vip.sina.com; chenhaixin@nwsuaf.edu.cn</t>
  </si>
  <si>
    <t>Yang, Qian/0009-0003-0914-3198</t>
  </si>
  <si>
    <t>National Natural Science Foundation of China [41807328, 51879224]; National 863 Research Program [2013AA102904]; 111 Project [B12007]; China Postdoctoral Science Foundation [2018M643752]</t>
  </si>
  <si>
    <t>National Natural Science Foundation of China(National Natural Science Foundation of China (NSFC)); National 863 Research Program(National High Technology Research and Development Program of China); 111 Project(Ministry of Education, China - 111 Project); China Postdoctoral Science Foundation(China Postdoctoral Science Foundation)</t>
  </si>
  <si>
    <t>This work was jointly supported by the National Natural Science Foundation of China (41807328, 51879224), the National 863 Research Program (2013AA102904), the 111 Project (B12007), and the China Postdoctoral Science Foundation (2018M643752).</t>
  </si>
  <si>
    <t>10.1016/j.scitotenv.2021.148590</t>
  </si>
  <si>
    <t>JUL 2021</t>
  </si>
  <si>
    <t>UK0NT</t>
  </si>
  <si>
    <t>WOS:000691672900009</t>
  </si>
  <si>
    <t>Gu, RL; Duo, L; Guo, XF; Zou, ZL; Zhao, DX</t>
  </si>
  <si>
    <t>Gu, Ruili; Duo, Linghua; Guo, Xiaofei; Zou, Zili; Zhao, Dongxue</t>
  </si>
  <si>
    <t>Spatiotemporal heterogeneity between agricultural carbon emission efficiency and food security in Henan, China</t>
  </si>
  <si>
    <t>ENVIRONMENTAL SCIENCE AND POLLUTION RESEARCH</t>
  </si>
  <si>
    <t>Agricultural carbon emission efficiency (ACEE); Food security; Coupling coordination degree; Relative development degree; GTWR; Hennan province</t>
  </si>
  <si>
    <t>CROP PRODUCTION; CO2 EMISSIONS; SECTOR; CHALLENGES; CONTEXT; DRIVES</t>
  </si>
  <si>
    <t>It is significant to investigate the coupling and coordination between agricultural carbon emission efficiency (ACEE) and food security and to achieve peak carbon dioxide emissions and carbon neutrality in agriculture as early as possible while ensuring national food security. The Super-SBM (slack-based model) and the comprehensive index method were used to measure the ACEE and food security level in Henan province from 2010 to 2020. The coupling coordination degree (CCD) and the relative state of ACEE and food security were analyzed using the coupling coordination degree model (CCDM) and the relative development degree model (RDDM). In addition, the interaction between ACEE and food security and the spatial-temporal heterogeneity were analyzed by combining with the geographically and temporally weighted regression (GTWR) model. The results showed that: Firstly, the overall level of ACEE was high, and the spatial heterogeneity of ACEE was significant. The spatial pattern of food security is relatively stable, with high levels in the south and low levels in the north. Secondly, The CCD between ACEE and food security in Henan province generally shows a decreasing trend. In the spatial dimension, the CCD between ACEE and food security in Henan province exhibits a spatial divergence characteristic of low in the center and high in the north and south, with significant regional variations. Finally, there is spatial and temporal heterogeneity between ACEE and food security. The regression coefficients differ significantly among different cities, the regression coefficients do not show a consistent positive or negative correlation, and the regression coefficients are distributed both positively and negatively. This study serves as a guide for achieving the goal of double carbon in agriculture and ensuring food security.</t>
  </si>
  <si>
    <t>[Gu, Ruili; Duo, Linghua; Guo, Xiaofei] East China Univ Technol, Key Lab Mine Environm Monitoring &amp; Improving Poyan, Minist Nat Resources, Nanchang 330013, Peoples R China; [Gu, Ruili; Duo, Linghua; Guo, Xiaofei; Zou, Zili] East China Univ Technol, Resource &amp; Environm Strategy Res Ctr Jiangxi Soft, Nanchang 330013, Peoples R China; [Gu, Ruili; Duo, Linghua; Guo, Xiaofei] East China Univ Technol, Fac Geomatics, Nanchang 330013, Peoples R China; [Zhao, Dongxue] Univ Queensland, Ctr Crop Sci, Queensland Alliance Agr &amp; Food Innovat QAAFI, Gatton Campus, Gatton, Qld 4343, Australia</t>
  </si>
  <si>
    <t>Ministry of Natural Resources of the People's Republic of China; East China University of Technology; East China University of Technology; East China University of Technology; University of Queensland</t>
  </si>
  <si>
    <t>Duo, L (corresponding author), East China Univ Technol, Key Lab Mine Environm Monitoring &amp; Improving Poyan, Minist Nat Resources, Nanchang 330013, Peoples R China.;Duo, L (corresponding author), East China Univ Technol, Resource &amp; Environm Strategy Res Ctr Jiangxi Soft, Nanchang 330013, Peoples R China.;Duo, L (corresponding author), East China Univ Technol, Fac Geomatics, Nanchang 330013, Peoples R China.</t>
  </si>
  <si>
    <t>dlh_123@ecut.edu.cn</t>
  </si>
  <si>
    <t>guo, xiaofei/GRJ-7324-2022; Zhao, Dongxue/ABG-7761-2021</t>
  </si>
  <si>
    <t>Science and Technology Research Project of Jiangxi Provincial Department of Education [GJJ200770] Funding Source: Medline; Research Center of Geological Resource Economics and Management [20GL02] Funding Source: Medline; Jiangxi Provincial Social Science Foundation the 14th Five-Year Plan (2021) regional projects [21DQ44] Funding Source: Medline; Doctoral Research Initiation fund of East China University of Technology [DHBK2019184] Funding Source: Medline; Key Laboratory for Digital Land and Resources of Jiangxi Province, East China University of Technology [DLLJ202207] Funding Source: Medline</t>
  </si>
  <si>
    <t>Science and Technology Research Project of Jiangxi Provincial Department of Education; Research Center of Geological Resource Economics and Management; Jiangxi Provincial Social Science Foundation the 14th Five-Year Plan (2021) regional projects; Doctoral Research Initiation fund of East China University of Technology; Key Laboratory for Digital Land and Resources of Jiangxi Province, East China University of Technology</t>
  </si>
  <si>
    <t>SPRINGER HEIDELBERG</t>
  </si>
  <si>
    <t>HEIDELBERG</t>
  </si>
  <si>
    <t>TIERGARTENSTRASSE 17, D-69121 HEIDELBERG, GERMANY</t>
  </si>
  <si>
    <t>0944-1344</t>
  </si>
  <si>
    <t>1614-7499</t>
  </si>
  <si>
    <t>ENVIRON SCI POLLUT R</t>
  </si>
  <si>
    <t>Environ. Sci. Pollut. Res.</t>
  </si>
  <si>
    <t>10.1007/s11356-023-25821-z</t>
  </si>
  <si>
    <t>FEB 2023</t>
  </si>
  <si>
    <t>Q0NZ6</t>
  </si>
  <si>
    <t>WOS:000933315000005</t>
  </si>
  <si>
    <t>Hong, YY; Cao, YQ; Qiu, X; Chen, JX</t>
  </si>
  <si>
    <t>Hong, Y. Y.; Cao, Y. Q.; Qiu, X.; Chen, J. X.</t>
  </si>
  <si>
    <t>Recalculation of Agricultural Carbon Emissions of Chongqing in China under the Background of Rural Revitalization: Characteristic Analysis, Formation Mechanism, and Economic Correlation</t>
  </si>
  <si>
    <t>JOURNAL OF AGRICULTURAL SCIENCE AND TECHNOLOGY</t>
  </si>
  <si>
    <t>ACE formation mechanism; Decoupling index; High-quality development of agriculture</t>
  </si>
  <si>
    <t>EFFICIENCY; ENERGY; EU</t>
  </si>
  <si>
    <t>Scientific measurement of Agricultural Carbon Emissions (ACE) and its formation mechanism is of great significance for the effective formulation of high -quality agricultural development strategies. Therefore, the objectives were to study the characteristics of ACE, its formation mechanism, and its economic relevance in Chongqing by adopting the IPCC and 1997-2019 data, and with LMDI index and Decoupling index. The empirical analysis shows that the total ACE presents an M -shaped trend of rising -steady fluctuation -falling. Energy structure, energy intensity, and population size have a negative driving effect on ACE, but economic activity is the main factor. The decoupling elasticity characteristics of ACE and economic growth are mainly weak decoupling and strong decoupling, of which the relationship is significantly coordinate. Therefore, to consolidate and enhance the goal of ACE reduction, it is necessary to strengthen the research and development of agricultural low -carbon production technology and promotion. We will continue to deepen supply-side structural reform in agriculture. We will improve the ecological environment in agriculture and rural areas.</t>
  </si>
  <si>
    <t>[Hong, Y. Y.] Fuling Dist Adm Inst Chongqing, Dept Econ, Chongqing, Peoples R China; [Cao, Y. Q.] Chongqing Univ, Sch Publ Policy &amp; Adm, Chongqing, Peoples R China; [Qiu, X.] State Adm Taxat Fuling Dist Tax Bur Chongqing, Lychee Tax Off, Chongqing, Peoples R China; [Chen, J. X.] Guangdong Pharmaceut Univ, Sch Med Business, Guangzhou, Peoples R China</t>
  </si>
  <si>
    <t>Chongqing University; Guangdong Pharmaceutical University</t>
  </si>
  <si>
    <t>Cao, YQ (corresponding author), Chongqing Univ, Sch Publ Policy &amp; Adm, Chongqing, Peoples R China.</t>
  </si>
  <si>
    <t>cyqcqdx@163.com</t>
  </si>
  <si>
    <t>Philosophical and Social Planning Key Project, Guizhou Province, China [21GZZD47]</t>
  </si>
  <si>
    <t>Philosophical and Social Planning Key Project, Guizhou Province, China</t>
  </si>
  <si>
    <t>This research work was supported by the Philosophical and Social Planning Key Project, Guizhou Province, China (Grant No: 21GZZD47) .</t>
  </si>
  <si>
    <t>TARBIAT MODARES UNIV</t>
  </si>
  <si>
    <t>TEHRAN</t>
  </si>
  <si>
    <t>JALAL-ALE-AHMAD AVE, PO BOX 14115-336, TEHRAN, 00000, IRAN</t>
  </si>
  <si>
    <t>1680-7073</t>
  </si>
  <si>
    <t>2345-3737</t>
  </si>
  <si>
    <t>J AGR SCI TECH-IRAN</t>
  </si>
  <si>
    <t>J. Agric. Sci. Technol.</t>
  </si>
  <si>
    <t>RQ1X0</t>
  </si>
  <si>
    <t>WOS:001229044800015</t>
  </si>
  <si>
    <t>Wang, JZ; Long, F</t>
  </si>
  <si>
    <t>Wang, Jinzhi; Long, Fang</t>
  </si>
  <si>
    <t>How do agricultural socialization services drive green transition of farmers' grain production under dual-carbon targets: an analysis of moderating effects based on factor allocation</t>
  </si>
  <si>
    <t>agricultural socialization services; green production transition; resource allocation; organic agriculture; finite mixture models</t>
  </si>
  <si>
    <t>The green production transition represents a significant strategy for promoting organic agriculture and achieving the goal of sustainable development of grain systems. It is an important tool for resource utilization of agricultural waste and reduction of nitrogen and phosphorus emissions. Based on the survey data of grain farmers in Jiangsu Province in 2022, this paper empirically analyzes the impact and mechanism of Agricultural Socialization Services on the green transition of farmers' grain production based on the use of the finite mixture model (FMM) to measure the degree of green transition of farmers' grain production. The study shows that the participation of Agricultural Socialization Services is conducive to the green transition of farmers' grain production, and the more participation of socialization services, the deeper the degree of green transition of farmers' grain production. The mechanism test shows that socialization services promote the green transition of farmers' grain production mainly by regulating Plot Size and Labor Transfer. The extension analysis shows that compared with ordinary farmers, Agricultural Socialization Services play a more obvious role in promoting the Green Transition of Grain Production of new type of agricultural operating entit. This study addresses a theoretical gap in the field of green production under service outsourcing. Therefore, this study is of great significance for the promotion of green development in agriculture and the realisation of the goal of carbon peak and neutrality.</t>
  </si>
  <si>
    <t>[Wang, Jinzhi; Long, Fang] Hunan Agr Univ, Coll Econ, Changsha, Hunan, Peoples R China</t>
  </si>
  <si>
    <t>Hunan Agricultural University</t>
  </si>
  <si>
    <t>Long, F (corresponding author), Hunan Agr Univ, Coll Econ, Changsha, Hunan, Peoples R China.</t>
  </si>
  <si>
    <t>17871928200@163.com</t>
  </si>
  <si>
    <t>Philosophy and Social Science Foundation of Hunan Province [21YBA078]</t>
  </si>
  <si>
    <t>Philosophy and Social Science Foundation of Hunan Province</t>
  </si>
  <si>
    <t>The author(s) declare that financial support was received for the research, authorship, and/or publication of this article. This projected was supported by Philosophy and Social Science Foundation of Hunan Province (Grant NO. 21YBA078).</t>
  </si>
  <si>
    <t>MAR 11</t>
  </si>
  <si>
    <t>10.3389/fenvs.2025.1511548</t>
  </si>
  <si>
    <t>0MJ5Z</t>
  </si>
  <si>
    <t>WOS:001450811400001</t>
  </si>
  <si>
    <t>Zhao, YS; Li, Y; Li, YT; Kumar, A; Ying, Q; Kleeman, MJ</t>
  </si>
  <si>
    <t>Zhao, Yusheng; Li, Yin; Li, Yiting; Kumar, Anikender; Ying, Qi; Kleeman, Michael J.</t>
  </si>
  <si>
    <t>Reducing southern California ozone concentrations in the year 2050 under a low carbon energy scenario</t>
  </si>
  <si>
    <t>ATMOSPHERIC ENVIRONMENT</t>
  </si>
  <si>
    <t>Ozone apportionment; CTM; NOx control; Ozone chemical regime; BenMap</t>
  </si>
  <si>
    <t>AIR-QUALITY; MODEL; POLLUTION; PM2.5</t>
  </si>
  <si>
    <t>Recent studies predict that ozone (O3) concentrations within major California cities in the year 2050 will continue to violate the 8-h O3 standard despite the adoption of low -carbon energy. This O3 penalty largely stems from persistent NOx-rich chemistry within urban cores that causes O3 concentrations to increase when traditional combustion sources are replaced by renewable energy sources. Here we employ a Chemical Transport Model (CTM) equipped with a novel O3 source apportionment technique to better understand O3 formation and to design supplemental control measures to complement Greenhouse Gases (GHG) reduction strategies in California. Two base scenarios were analyzed: (i) a 2050 business -as -usual (BAU) scenario with O3 violations on 43% of simulated days, and (ii) a 2050 Greenhouse Gases reduction (GHGAi) scenario with O3 violations on 32% of simulated days. The source apportionment results of the GHGAi scenario identified offroad equipment &amp; rail, marine vessels &amp; aircraft, and industrial &amp; agricultural emissions as the major NOx sources that contributed to the O3 violations, while boundary conditions &amp; initial conditions (BCIC) and biogenic emissions were identified as the major volatile organic compounds (VOCs) sources. Despite a HCHO/NO2 ratio (FNR) suggesting that the SoCAB is in a VOC-limited chemical regime, the major VOC sources that contribute to O3 formation are not controllable. Therefore, complementary O3 control strategies are proposed that focus on NOx emissions within the GHGAi scenario. Three cumulative Supplemental Control Steps were evaluated. Control Step I reduced emissions from off -road equipment &amp; rail, and marine vessels &amp; aircraft (65% NOx emissions reduction relative to GHGAi). Control Step II expanded the measures in Control Step I by reducing emissions from industrial and agricultural sources (cumulative 73.6% NOx emissions reduction relative to GHGAi), while Control Step III extended the amount of control applied to all sources covered in Control Steps I and II (cumulative 85.4% NOx emissions reduction relative to GHGAi). All three Control Steps lowered O3 concentrations significantly in the SoCAB, with residual O3 violations mainly predicted in non -populated wilderness areas. The significant reductions in O3 produced by the Supplemental Control Steps decreased the predicted incidence of hay fever/ rhinitis, asthma, and all -cause mortality by an order of magnitude compared to the transformation from the BAU to GHGAi scenario. The predicted public health savings associated with the Supplemental Control Steps are valued at $19.70-30.36B/yr.</t>
  </si>
  <si>
    <t>[Zhao, Yusheng; Li, Yiting] Univ Calif Davis, Dept Land Air &amp; Water Resource, Davis, CA 95616 USA; [Li, Yin; Kumar, Anikender; Kleeman, Michael J.] Univ Calif Davis, Dept Civil &amp; Environm Engn, Davis, CA 95616 USA; [Li, Yin] Tsinghua Univ, Dept Earth Syst Sci, Beijing, Peoples R China; [Kumar, Anikender] Indian Meteorol Dept, New Delhi, India; [Ying, Qi] Texas A&amp;M Univ, Zachry Dept Civil Engn, College Stn, TX 77843 USA</t>
  </si>
  <si>
    <t>University of California System; University of California Davis; University of California System; University of California Davis; Tsinghua University; Ministry of Earth Sciences (MoES) - India; India Meteorological Department (IMD); Texas A&amp;M University System; Texas A&amp;M University College Station</t>
  </si>
  <si>
    <t>Kleeman, MJ (corresponding author), Univ Calif Davis, Dept Civil &amp; Environm Engn, Davis, CA 95616 USA.</t>
  </si>
  <si>
    <t>mjkleeman@ucdavis.edu</t>
  </si>
  <si>
    <t>; Zhao, Yusheng/NDR-9125-2025; Ying, Qi/D-1985-2012</t>
  </si>
  <si>
    <t>Li, Yiting/0000-0002-5356-8930; Ying, Qi/0000-0002-4560-433X; Li, Yin/0000-0003-1566-9404; Zhao, Yusheng/0000-0002-4575-9438</t>
  </si>
  <si>
    <t>United States Environmental Protection Agency</t>
  </si>
  <si>
    <t>United States Environmental Protection Agency(United States Environmental Protection Agency)</t>
  </si>
  <si>
    <t>This study was partially funded by the California Air Resources Board under Contract No. 15AQP010 and the United States Environmental Protection Agency under Grant No. R83587901. The statements and conclusions in this report are those of the contractor and not necessarily those of the California Air Resources Board. The mention of commercial products, their source, or their use in connection with material reported herein is not to be construed as actual or implied endorsement of such products. Although the research described in the article has been funded by the United States Environmental Protection Agency it has not been subject to the Agency's required peer and policy review and therefore does not necessarily reflect the reviews of the Agency and no official endorsement should be inferred.r article has been funded by the United States Environmental Protection Agency it has not been subject to the Agency's required peer and policy review and therefore does not necessarily reflect the reviews of the Agency and no official endorsement should be inferred.</t>
  </si>
  <si>
    <t>1352-2310</t>
  </si>
  <si>
    <t>1873-2844</t>
  </si>
  <si>
    <t>ATMOS ENVIRON</t>
  </si>
  <si>
    <t>Atmos. Environ.</t>
  </si>
  <si>
    <t>MAR 1</t>
  </si>
  <si>
    <t>10.1016/j.atmosenv.2023.120315</t>
  </si>
  <si>
    <t>JAN 2024</t>
  </si>
  <si>
    <t>GQ5M8</t>
  </si>
  <si>
    <t>WOS:001154148800001</t>
  </si>
  <si>
    <t>Trzaska, K; Gil, F; Çalis, D; Dmytryk, A; Skrzypczak, D; Chojnacka, K</t>
  </si>
  <si>
    <t>Trzaska, Krzysztof; Gil, Filip; Calis, Derya; Dmytryk, Agnieszka; Skrzypczak, Dawid; Chojnacka, Katarzyna</t>
  </si>
  <si>
    <t>Carbon-Rich Waste-Derived Fertilizers: Impacts on Soil Carbon Dynamics and Plant Growth</t>
  </si>
  <si>
    <t>WASTE AND BIOMASS VALORIZATION</t>
  </si>
  <si>
    <t>Anaerobic digestate; Chicken manure; Sewage sludge; Oilcakes; Biosorption; Micronutrient enrichment; Soil fertility</t>
  </si>
  <si>
    <t>POULTRY-LITTER; MANURE TREATMENT; GAS EMISSIONS; METHANE; BIOGAS; SCALE; WATER; BIOSORPTION; DIGESTION; RAPESEED</t>
  </si>
  <si>
    <t>This study presents a comprehensive approach to producing high-carbon fertilizers from carbon-rich waste streams, including anaerobic digestate, sewage sludge, chicken manure, and oilcake. The proposed formulations were developed using chemical hydrolysis, immersion biosorption, and a novel spraying method to enrich organic-mineral fertilizers with essential micronutrients tailored for cucumber cultivation. Analytical results confirmed significant improvements in soil fertility, plant biomass, and microbial activity compared to both untreated waste and reference fertilizers. Formulations F1 and F2 enhanced nutrient availability by up to 30%, while F3 and F4 enabled safe nutrient recycling from sewage sludge and manure. Oilcake-based fertilizers functionalized through biosorption exhibited precise micronutrient delivery and high binding efficiency, with the spraying method outperforming immersion. All fertilizers complied with EU Regulation 2019/1009 in terms of nutrient content and toxic element thresholds, and microbial safety was also confirmed. The study demonstrates the compatibility of selected feedstocks with Component Material Categories (CMCs) under EU legislation, supporting the use of recycled inputs in sustainable fertilizer development. The integration of waste-based inputs addresses environmental, economic, and regulatory challenges in agriculture, contributing to circular economy goals, reduced greenhouse gas emissions, and improved resource efficiency. The findings align with the EU's Common Agricultural Policy and highlight the potential for large-scale deployment of standardized, cost-effective fertilizers derived from organic waste. This paper introduces an original approach to fertilizer production through the integration of diverse carbon-rich waste streams-anaerobic digestate, sewage sludge, chicken manure, and oilcake-using biosorption-based techniques that comply with both national and EU regulatory frameworks. The study advances current knowledge by demonstrating how combined waste-derived formulations can improve soil fertility, enhance micronutrient availability, and reduce greenhouse gas emissions, thus supporting the objectives of the Circular Economy Package. Particular emphasis is placed on identifying key technological and regulatory barriers to the adoption of waste-based fertilizers. Furthermore, the paper outlines targeted research directions to refine production methods and enable scalable, cost-effective implementation in line with the Common Agricultural Policy of the European Union.</t>
  </si>
  <si>
    <t>[Trzaska, Krzysztof; Gil, Filip; Calis, Derya; Skrzypczak, Dawid; Chojnacka, Katarzyna] Wroclaw Univ Sci &amp; Technol, Dept Adv Mat Technol, PL-50370 Wroclaw, Poland; [Dmytryk, Agnieszka] Ekoplon Sp Z o o, Res &amp; Dev Ctr Potok, PL-28225 Grabki Duze, Poland</t>
  </si>
  <si>
    <t>Wroclaw University of Science &amp; Technology</t>
  </si>
  <si>
    <t>Trzaska, K (corresponding author), Wroclaw Univ Sci &amp; Technol, Dept Adv Mat Technol, PL-50370 Wroclaw, Poland.</t>
  </si>
  <si>
    <t>krzysztof.trzaska@pwr.edu.pl</t>
  </si>
  <si>
    <t>Calis, Derya/LMQ-2942-2024; Chojnacka, Katarzyna/HJA-3004-2022</t>
  </si>
  <si>
    <t>Horizon 2020 Research &amp; Innovation Program of the European Union [696356]; Executive Agency for Higher Education, Research, Development, and Innovation Funding, UEFISCDI (Romania); National Center for Research and Development, NCBR (Poland); AEI (Spain); Ministry of Agriculture and Forestry, MMM (Finland); National Centre for Research and Development, Poland [TANGO-V-C/0019/2021]</t>
  </si>
  <si>
    <t>Horizon 2020 Research &amp; Innovation Program of the European Union; Executive Agency for Higher Education, Research, Development, and Innovation Funding, UEFISCDI (Romania)(Consiliul National al Cercetarii Stiintifice (CNCS)Unitatea Executiva pentru Finantarea Invatamantului Superior, a Cercetarii, Dezvoltarii si Inovarii (UEFISCDI)); National Center for Research and Development, NCBR (Poland)(National Centre for Research &amp; Development, Poland); AEI (Spain)(Spanish Government); Ministry of Agriculture and Forestry, MMM (Finland); National Centre for Research and Development, Poland(National Centre for Research &amp; Development, Poland)</t>
  </si>
  <si>
    <t>This work was financed by the Horizon 2020 Research &amp; Innovation Program of the European Union under grant agreement No. 696356, the Executive Agency for Higher Education, Research, Development, and Innovation Funding, UEFISCDI (Romania), the National Center for Research and Development, NCBR (Poland), AEI (Spain), and the Ministry of Agriculture and Forestry, MMM (Finland), and by the National Centre for Research and Development, Poland, under project no. TANGO-V-C/0019/2021 entitled: Innovative micronutrient fertilizers obtained due to biosorption for organic farming.</t>
  </si>
  <si>
    <t>1877-2641</t>
  </si>
  <si>
    <t>1877-265X</t>
  </si>
  <si>
    <t>WASTE BIOMASS VALORI</t>
  </si>
  <si>
    <t>Waste Biomass Valorization</t>
  </si>
  <si>
    <t>2025 SEP 19</t>
  </si>
  <si>
    <t>10.1007/s12649-025-03304-1</t>
  </si>
  <si>
    <t>SEP 2025</t>
  </si>
  <si>
    <t>7MQ3E</t>
  </si>
  <si>
    <t>WOS:001574632100001</t>
  </si>
  <si>
    <t>Haller, A</t>
  </si>
  <si>
    <t>Haller, Alina</t>
  </si>
  <si>
    <t>Influence of Agricultural Chains on the Carbon Footprint in the Context of European Green Pact and Crises</t>
  </si>
  <si>
    <t>AGRICULTURE-BASEL</t>
  </si>
  <si>
    <t>carbon footprint; agricultural chains; economic growth; organic farming; economic crises</t>
  </si>
  <si>
    <t>ENVIRONMENTAL IMPACTS; FOOD-CONSUMPTION; METAANALYSIS; INTEGRATION; EMISSIONS</t>
  </si>
  <si>
    <t>Agriculture and related activities generate a significant amount of greenhouse gas emissions with environmental and biodiversity implications. Based on the European objectives proposed by the Green Pact, this paper assesses the carbon footprint of agricultural chains for European OECD member countries. The period analysed is 2000-2019, and the method applied is panel data, specific to OLS models. We opted for three research directions: one is general, one is geographical and one is in temporary dynamics. The general analysis shows that in the European region, the organically cultivated area and economic growth reduce the carbon footprint, while fertilisers, aquaculture production, investments in road infrastructure and agricultural area determine its increase. The geographical analysis outlines the existence of two clusters, one consisting of Member States where agricultural chains reduce their carbon footprint and one consisting of a larger number of Member States, including the major European agricultural powers, where agricultural chains increase the carbon footprint. The temporary analysis reveals that the EU has changed its paradigm since 2008-2009. Economic growth has been slowly decoupling from the carbon footprint since 2016, and the rest of the factors analysed have become more environmental since the late 2010s. The EU has positioned itself towards achieving the objectives set by the Green Pact at a slow pace, justified by the heterogeneity of members' national characteristics, in addition to its purpose not to harm the food security of the population. In order to achieve the objectives proposed by the Green Pact, it is necessary to focus on more extensive organic farming and traditional production methods, more extensive efforts to reduce nitrogen surplus in fertilizer content, to support short agri-food chains and to identify new production techniques, including the use of nanotechnology and high-performance technologies. Local agricultural chains are crystallizing into a possible solution to the insecurity generated by energy and food crises, political conflicts, pandemics, under the observation that organic products should be excluded from the category of luxury commodity.</t>
  </si>
  <si>
    <t>[Haller, Alina] Romanian Acad, Branch Iasi ICES, Iasi 700481, Romania</t>
  </si>
  <si>
    <t>Romanian Academy</t>
  </si>
  <si>
    <t>Haller, A (corresponding author), Romanian Acad, Branch Iasi ICES, Iasi 700481, Romania.</t>
  </si>
  <si>
    <t>alina.haller@acadiasi.ro</t>
  </si>
  <si>
    <t>Haller, Alina/P-2459-2019</t>
  </si>
  <si>
    <t>Haller, Alina-Petronela/0000-0002-2069-9889</t>
  </si>
  <si>
    <t>2077-0472</t>
  </si>
  <si>
    <t>Agriculture-Basel</t>
  </si>
  <si>
    <t>10.3390/agriculture12060751</t>
  </si>
  <si>
    <t>Agronomy</t>
  </si>
  <si>
    <t>2N6BL</t>
  </si>
  <si>
    <t>WOS:000818461700001</t>
  </si>
  <si>
    <t>Fumagalli, M</t>
  </si>
  <si>
    <t>Fumagalli, Mattia</t>
  </si>
  <si>
    <t>Alternative nitrogen management practices to reduce carbon footprint of maize production</t>
  </si>
  <si>
    <t>ITALIAN JOURNAL OF AGROMETEOROLOGY-RIVISTA ITALIANA DI AGROMETEOROLOGIA</t>
  </si>
  <si>
    <t>carbon footprint; crop rotation; fertilisation; greenhouse gas emission; nitrogen; maize crop</t>
  </si>
  <si>
    <t>GREENHOUSE-GAS MITIGATION; CROPPING SYSTEMS; N2O EMISSIONS; PO VALLEY; TILLAGE; MODEL; NORTHERN; ENERGY; WHEAT; FERTILIZATION</t>
  </si>
  <si>
    <t>Intensive maize production in Lombardy region (northern Italy) is widespread and requires big amounts of input, especially nitrogen (N), thus leading to potential environmental risks. Starting from farm survey data the current work aims to evaluate how alternative N management options for reducing losses can be effective in climate change mitigation. Under current management (ACT) of typical continuous maize cropping systems across the region, the greenhouse gases (GHG) emissions from the production of inorganic fertilisers and from direct and indirect N2O released after N application accounted for, on average, 67% of the total GHG emissions. The adoption of the best N management plans (FERT scenario), reduced GHG emissions and C-footprint (expressed per unit of agricultural product) by 27 and 26%, respectively. Furthermore, the double cropping system (two crops harvested in 12 months - ROT scenario) strongly increased GHG emissions in comparison with the only cultivation of a summer crop. However, the high productivity of this system, led to a C-footprint lower than the ACT one and still higher than the FERT one. The current work highlights the opportunities for carbon mitigation offered by changes on field N management, without significantly impact the yield.</t>
  </si>
  <si>
    <t>Univ Milan, Dept Agr &amp; Environm Sci, Prod, Landscape,Agroenergy, I-20133 Milan, Italy</t>
  </si>
  <si>
    <t>University of Milan</t>
  </si>
  <si>
    <t>Fumagalli, M (corresponding author), Univ Milan, Dept Agr &amp; Environm Sci, Prod, Landscape,Agroenergy, Via Celoria 2, I-20133 Milan, Italy.</t>
  </si>
  <si>
    <t>mattia.fumagalli@unimi.it</t>
  </si>
  <si>
    <t>Fumagalli, Michele/K-9510-2015</t>
  </si>
  <si>
    <t>FIRENZE UNIV PRESS</t>
  </si>
  <si>
    <t>FIRENZE</t>
  </si>
  <si>
    <t>JOURNALS DIVISION, BORGO ALBIZI, 28, FIRENZE, 50122, ITALY</t>
  </si>
  <si>
    <t>2038-5625</t>
  </si>
  <si>
    <t>ITAL J AGROMETEOROL</t>
  </si>
  <si>
    <t>Ital. J. Agrometeorol.-Riv. Ital. Agrometeorol.</t>
  </si>
  <si>
    <t>Agronomy; Environmental Sciences; Meteorology &amp; Atmospheric Sciences</t>
  </si>
  <si>
    <t>Agriculture; Environmental Sciences &amp; Ecology; Meteorology &amp; Atmospheric Sciences</t>
  </si>
  <si>
    <t>CO0CY</t>
  </si>
  <si>
    <t>WOS:000358818900002</t>
  </si>
  <si>
    <t>Kauffman, N; Dumortier, J; Hayes, DJ; Brown, RC; Laird, DA</t>
  </si>
  <si>
    <t>Kauffman, Nathan; Dumortier, Jerome; Hayes, Dermot J.; Brown, Robert C.; Laird, David A.</t>
  </si>
  <si>
    <t>Producing energy while sequestering carbon? The relationship between biochar and agricultural productivity</t>
  </si>
  <si>
    <t>BIOMASS &amp; BIOENERGY</t>
  </si>
  <si>
    <t>Biochar; Life cycle analysis; Biofuel; Yield improvement; Land-use change</t>
  </si>
  <si>
    <t>BIOMASS FAST PYROLYSIS; LIFE-CYCLE ASSESSMENT; LAND-USE; N2O EMISSIONS; CORN STOVER; SOIL; INCREASES; BIOFUELS; YIELD; GASIFICATION</t>
  </si>
  <si>
    <t>A partial solution to problems associated with anthropogenic greenhouse gas (GHG) emissions could be the development and deployment of carbon-negative technologies, i.e., producing energy while reducing atmospheric carbon dioxide levels. Biofuels have been considered a possibility but have faced limitations due to competition with food production and GHG emissions through indirect land-use change (ILUC). In this article, we show how emissions from ILUC can potentially be reduced by producing food and bioenergy from biochar amended soils. The possibility of yield improvements from biochar would reduce the land requirement for crop production and thus, lead to a reduction in emissions from ILUC. In our application, biochar and bio-oil are produced via fast pyrolysis of corn stover. ho-oil is subsequently upgraded into a fuel suitable for use in internal combustion engines. Applying the U.S. regulatory method used to determine biofuel life cycle emissions, our results show that a biochar-induced yield improvement in the U.S. Midwest ranging from 1% to 8% above trend can lead to an ILUC credit between 1.65 and 14.79 t CO2- equivalent ha(-1) year(-1) when future emissions are assessed over the next 30 years. The model is generalizable to other feedstocks and locations and illustrates the relationship between biochar and crop production. (C) 2014 Elsevier Ltd. All rights reserved.</t>
  </si>
  <si>
    <t>[Kauffman, Nathan] Fed Reserve Bank Kansas City, Omaha, NE 68102 USA; [Dumortier, Jerome] Indiana Univ Purdue Univ, Sch Publ &amp; Environm Affairs, Indianapolis, IN 46202 USA; [Hayes, Dermot J.] Iowa State Univ, Dept Econ, Ames, IA 50011 USA; [Brown, Robert C.] Iowa State Univ, Dept Mech Engn, Ames, IA 50011 USA; [Laird, David A.] Iowa State Univ, Dept Agron, Ames, IA 50011 USA</t>
  </si>
  <si>
    <t>Federal Reserve System - USA; Federal Reserve Bank - Kansas City; Purdue University System; Purdue University; Purdue University in Indianapolis; Iowa State University; Iowa State University; Iowa State University</t>
  </si>
  <si>
    <t>Dumortier, J (corresponding author), Indiana Univ Purdue Univ, Sch Publ &amp; Environm Affairs, 801 W Michigan St,BS 4074, Indianapolis, IN 46202 USA.</t>
  </si>
  <si>
    <t>nathan.kauffman@kc.frb.org; jdumorti@iupui.edu</t>
  </si>
  <si>
    <t>Dumortier, Jerome/J-2029-2014; Laird, David/E-8598-2014</t>
  </si>
  <si>
    <t>Dumortier, Jerome/0000-0001-8681-1688; Hayes, Dermot/0000-0002-6278-7238;</t>
  </si>
  <si>
    <t>Bioeconomy Institute (BEI) at Iowa State University; Biobased Industry Center (BIC) grant</t>
  </si>
  <si>
    <t>This research was supported by partial funding from the Bioeconomy Institute (BEI) at Iowa State University. Partial funding was also provided by a Biobased Industry Center (BIC) grant. The authors declare no competing financial interests.</t>
  </si>
  <si>
    <t>0961-9534</t>
  </si>
  <si>
    <t>1873-2909</t>
  </si>
  <si>
    <t>BIOMASS BIOENERG</t>
  </si>
  <si>
    <t>Biomass Bioenerg.</t>
  </si>
  <si>
    <t>10.1016/j.biombioe.2014.01.049</t>
  </si>
  <si>
    <t>Agricultural Engineering; Biotechnology &amp; Applied Microbiology; Energy &amp; Fuels</t>
  </si>
  <si>
    <t>AG2VP</t>
  </si>
  <si>
    <t>WOS:000335275500018</t>
  </si>
  <si>
    <t>Kandpal, A; Kar, A; Immanuelraj, K; Singh, A; Jha, GK; Singh, P</t>
  </si>
  <si>
    <t>Kandpal, Ankita; Kar, Amit; Immanuelraj, Kingsly; Singh, Alka; Jha, Girish Kumar; Singh, Premlata</t>
  </si>
  <si>
    <t>Insights on ownership pattern and demand for machinery in Indian agriculture</t>
  </si>
  <si>
    <t>INDIAN JOURNAL OF AGRICULTURAL SCIENCES</t>
  </si>
  <si>
    <t>Factor substitution; Mechanization index; SURE; Translog cost function</t>
  </si>
  <si>
    <t>MECHANIZATION</t>
  </si>
  <si>
    <t>As the wage rate for labour escalates in agriculture, farmers opt for other power alternatives. Mechanization of farms provides an opportunity to overcome the issue of labour scarcity and rising cost of production besides facilitating timely farm operations thereby increasing yield and farmer's income. An examination of existing level of mechanization across the states in different crops is computed during 2018 using mechanization index for 2001-02 and 2013-14. The study concludes that the extent of mechanization is not uniform across crops and states. Wheat is the most mechanized crop and Punjab shows highest level of mechanization in the farms. The factor demand elasticity estimates confirm that change in market prices of inputs significantly affect the machinery usage in paddy and wheal Substitution elasticities also indicate substitution between machine labour and human labour in major crops during 1996-2013.</t>
  </si>
  <si>
    <t>[Kandpal, Ankita; Kar, Amit; Immanuelraj, Kingsly; Singh, Alka; Jha, Girish Kumar; Singh, Premlata] ICAR Natl Inst Agr Econ &amp; Policy Res, New Delhi 110012, India; [Kar, Amit; Singh, Alka; Jha, Girish Kumar; Singh, Premlata] ICAR Indian Agr Res Inst, New Delhi, India</t>
  </si>
  <si>
    <t>Indian Council of Agricultural Research (ICAR); ICAR - National Institute of Agricultural Economics &amp; Policy Research; Indian Council of Agricultural Research (ICAR); ICAR - Indian Agricultural Research Institute</t>
  </si>
  <si>
    <t>Kandpal, A (corresponding author), ICAR Natl Inst Agr Econ &amp; Policy Res, New Delhi 110012, India.</t>
  </si>
  <si>
    <t>knplankita@gmail.com</t>
  </si>
  <si>
    <t>KANDPAL, ANKITA/ADX-8277-2022</t>
  </si>
  <si>
    <t>INDIAN COUNC AGRICULTURAL RES</t>
  </si>
  <si>
    <t>NEW DELHI</t>
  </si>
  <si>
    <t>KAB-1, NEW DELHI 110012, INDIA</t>
  </si>
  <si>
    <t>0019-5022</t>
  </si>
  <si>
    <t>2394-3319</t>
  </si>
  <si>
    <t>INDIAN J AGR SCI</t>
  </si>
  <si>
    <t>Indian J. Agric. Sci.</t>
  </si>
  <si>
    <t>10.56093/ijas.v92i1.120880</t>
  </si>
  <si>
    <t>6Y8WK</t>
  </si>
  <si>
    <t>WOS:000897368400004</t>
  </si>
  <si>
    <t>Say, SM; Yalçinkaya, NM; Sehri, M; Altinkaya, F</t>
  </si>
  <si>
    <t>Say, Sait Muharrem; Yalcinkaya, Nermin Merve; Sehri, Mustafa; Altinkaya, Fadime</t>
  </si>
  <si>
    <t>Assessment of Energy Balance and Carbon Emission of Apple Production in Turkiye for Climate Change Mitigation</t>
  </si>
  <si>
    <t>APPLIED FRUIT SCIENCE</t>
  </si>
  <si>
    <t>Apple cultivation; Energy equivalents; Cost analysis; CO2 emission; Global temperature rise</t>
  </si>
  <si>
    <t>USE EFFICIENCY; SYSTEMS; TURKEY</t>
  </si>
  <si>
    <t>In line with the principles of sustainable agriculture adopted in the process of combating global warming and climate change, economy, energy and the environment are considered together in the evaluation of an agricultural production project. In this context, energy analysis is an important approach to identify and group agricultural systems in terms of energy consumption. In this study, energy use efficiency, carbon emission values and cost analysis of apple production in Ulukla District of Nide Province, Turkiye, were investigated. Energy values per unit production area of the inputs in production, energy efficiency and total cost and input-output values of the product obtained were calculated, and the relationship with the environment was interpreted according to carbon dioxide (CO2) emissions. The data used in the study were obtained by making 37 surveys from farms producing apples according to land sizes, and the amounts of direct and indirect energy use and their shares in total energy consumption were determined. According to the results of the research, total energy consumption in apple production was 67,648.50MJ/ha and energy output was 53,059.626MJ/ha. The energy ratio value was calculated as 0.78%. As a result of cost (expense) analysis; profit value was calculated as 10,072.21TL/ha. In carbon emission releases, the highest value was found to be in fertilization processes. Based on the data obtained in the study, sustainable-based recommendations are presented by making determinations/implications that help to determine a sectoral roadmap.</t>
  </si>
  <si>
    <t>[Say, Sait Muharrem; Sehri, Mustafa] Cukurova Univ, Dept Agr Machinery &amp; Technol Engn, Fac Agr, TR-01330 Adana, Turkiye; [Yalcinkaya, Nermin Merve; Altinkaya, Fadime] Cukurova Univ, Fac Architecture, Dept Landscape Architecture, TR-01330 Adana, Turkiye</t>
  </si>
  <si>
    <t>Cukurova University; Cukurova University</t>
  </si>
  <si>
    <t>Yalçinkaya, NM (corresponding author), Cukurova Univ, Fac Architecture, Dept Landscape Architecture, TR-01330 Adana, Turkiye.</t>
  </si>
  <si>
    <t>nbaykan@cu.edu.tr</t>
  </si>
  <si>
    <t>Sehri, Mustafa/G-9175-2018; Yalçınkaya, Nermin/L-4581-2018</t>
  </si>
  <si>
    <t>Yalçınkaya, Nermin Merve/0000-0002-0860-1498</t>
  </si>
  <si>
    <t>2948-2623</t>
  </si>
  <si>
    <t>2948-2631</t>
  </si>
  <si>
    <t>APPL FRUIT SCI</t>
  </si>
  <si>
    <t>Appl. Science</t>
  </si>
  <si>
    <t>10.1007/s10341-024-01225-2</t>
  </si>
  <si>
    <t>Horticulture</t>
  </si>
  <si>
    <t>Q6K8P</t>
  </si>
  <si>
    <t>WOS:001385752200001</t>
  </si>
  <si>
    <t>Chen, XW; Lin, JJ; Tan, KM; Pei, Y; Wang, XL</t>
  </si>
  <si>
    <t>Chen, Xiaowei; Lin, Jiajun; Tan, Kangming; Pei, Yi; Wang, Xiaolong</t>
  </si>
  <si>
    <t>Cooperation between specialized cropping and livestock farms at local level reduces carbon footprint of agricultural system: A case study of recoupling maize-cow system in South China</t>
  </si>
  <si>
    <t>AGRICULTURE ECOSYSTEMS &amp; ENVIRONMENT</t>
  </si>
  <si>
    <t>Specialized farms; Cooperation; R ecoupling crop -livestock system; Carbon footprint; China</t>
  </si>
  <si>
    <t>GREENHOUSE-GAS EMISSIONS; METHANE EMISSIONS; MICROBIAL COMMUNITY; PHYSICAL-PROPERTIES; ORGANIC AMENDMENTS; BIOGAS PRODUCTION; PIG MANURE; SOIL; DAIRY; FERTILIZERS</t>
  </si>
  <si>
    <t>Decoupling of crop and livestock production has become increasingly common in the world during to past de-cades. The cooperation between specialized crop and livestock farms have been paid more attention for the development of sustainable agriculture. This study assumed that rebuilding the linkage between specialized crop and livestock farms through cooperation at the local level would decrease agricultural GHG emissions. Therefore, we designed a cooperative crop-livestock farming model (CCLS) in South China by recoupling the cow farm with the sweet maize cultivation farms around it to demonstrate the hypothesis based on carbon footprint (CF) method. The CFs under two cooperative scenarios (CCLS20 and CCLS50) were compared with the corresponding decoupling models (DCLS20 and DCLS50). Results showed that CCLS significantly reduced GHG emissions from cropping systems in comparison to DCLS primarily by increasing the soil organic carbon storage while decreasing accumulative N2O emissions. In specific, the CFs of CCLS20 and CCLS50 were 48.78% and 623.34% lower than DCLS20 and DCLS50, respectively. The yield-based CFs of CCLS20 and CCLS50 were 66.30% and 165.99% lower than DCLS20 and DCLS50, respectively. Meanwhile, the CF of the cow farm in CCLS20 and CCLS50 were 8.80% and 8.22% lower than that in DCLS20/50 by lowering relative GHG emissions of straw supply in roughage forage and shortening manure storage time in the manure management process. Finally, the yield-based CF in CCLS20 and CCLS50 were 67.68% and 168.51% lower than the DCLS20 and DCLS50, respectively, demonstrating that the cooperation between specialized planting and livestock farms at local level reduced the CF of the agricultural production chain by the synergistic reduction effects of GHG emissions in cropland, livestock rearing and transportation processes. The results would provide a quantitative understanding of the net GHG emission of cooperative crop-livestock system at the local level in China and valuable information for the development of sustainable farming system in the world.</t>
  </si>
  <si>
    <t>[Chen, Xiaowei; Lin, Jiajun; Tan, Kangming; Pei, Yi; Wang, Xiaolong] South China Agr Univ, Coll Agr, Guangzhou 510642, Peoples R China</t>
  </si>
  <si>
    <t>South China Agricultural University</t>
  </si>
  <si>
    <t>Wang, XL (corresponding author), South China Agr Univ, Coll Agr, Guangzhou 510642, Peoples R China.</t>
  </si>
  <si>
    <t>wangxiaolong@scau.edu.cn</t>
  </si>
  <si>
    <t>TAN, Kangming/KHD-2317-2024; Chen, Xiaowei/NUP-3442-2025</t>
  </si>
  <si>
    <t>Tan, Kangming/0000-0002-6718-7864;</t>
  </si>
  <si>
    <t>Double First-class Discipline Promotion Project [2021B10564001]; National Nat-ural Science Foundation of China [31800465]</t>
  </si>
  <si>
    <t>Double First-class Discipline Promotion Project; National Nat-ural Science Foundation of China(National Natural Science Foundation of China (NSFC))</t>
  </si>
  <si>
    <t>Acknowledgments This work was financially supported by the Double First-class Discipline Promotion Project (2021B10564001) and the National Nat-ural Science Foundation of China (31800465) . We thank anonymous reviewers and editors for very helpful comments and suggestions for the manuscript.</t>
  </si>
  <si>
    <t>0167-8809</t>
  </si>
  <si>
    <t>1873-2305</t>
  </si>
  <si>
    <t>AGR ECOSYST ENVIRON</t>
  </si>
  <si>
    <t>Agric. Ecosyst. Environ.</t>
  </si>
  <si>
    <t>JUN 1</t>
  </si>
  <si>
    <t>10.1016/j.agee.2023.108406</t>
  </si>
  <si>
    <t>Agriculture, Multidisciplinary; Ecology; Environmental Sciences</t>
  </si>
  <si>
    <t>Agriculture; Environmental Sciences &amp; Ecology</t>
  </si>
  <si>
    <t>I2QQ4</t>
  </si>
  <si>
    <t>WOS:001001284900001</t>
  </si>
  <si>
    <t>Cao, L; Su, JP; Saddler, J; Cao, YK; Wang, YX; Lee, G; Siang, LC; Luo, Y; Pinchuk, R; Li, J; Gopaluni, RB</t>
  </si>
  <si>
    <t>Cao, Liang; Su, Jianping; Saddler, Jack; Cao, Yankai; Wang, Yixiu; Lee, Gary; Siang, Lim C.; Luo, Yi; Pinchuk, Robert; Li, Jin; Gopaluni, R. Bhushan</t>
  </si>
  <si>
    <t>Machine learning for real-time green carbon dioxide tracking in refinery processes</t>
  </si>
  <si>
    <t>RENEWABLE &amp; SUSTAINABLE ENERGY REVIEWS</t>
  </si>
  <si>
    <t>Biogenic feedstocks; Co-processing; Machine learning; Real-time monitoring; Green Carbon Dioxide tracking</t>
  </si>
  <si>
    <t>FEATURE-SELECTION; BIOMASS; OIL</t>
  </si>
  <si>
    <t>The global increase in greenhouse gas emissions presents an urgent environmental challenge, demanding innovative strategies for emission reduction and a fundamental shift in energy consumption practices. Coprocessing biogenic feedstocks, such as used cooking oils and biocrudes derived from forest and agricultural residues, within existing oil refineries has been demonstrated as a cost-effective, scalable approach to producing low-carbon fuels, quickly helping the oil refiners to mitigate carbon dioxide emissions, leveraging the existing infrastructures. Despite its potential, monitoring the green CO2 emissions originating from biogenic feedstocks during co-processing remains challenging. The molecular structure of biogenic components becomes indistinguishable from fossil-based molecules, necessitating costly, labor-intensive, and time-consuming sample collection and testing procedures, often involving isotope carbon analysis. This work proposes anew approach by applying artificial intelligence to model green CO2 emissions in real-time. By analyzing over 102,000 samples of industrial data from a commercial FCC unit, a robust machine learning framework is developed to provide continuous, cost-effective, and accurate green CO2 monitoring. The methodology encompasses a comparative analysis often input analysis techniques and five regression models to model emissions, achieving an average error margin of just 2.66% compared to traditional laboratory measurements. This AI-driven approach offers refiners and policymakers a practical tool for assessing the environmental performance of biogenic feedstock co-processing, facilitating informed decision-making in renewable fuel production.</t>
  </si>
  <si>
    <t>[Cao, Liang; Cao, Yankai; Wang, Yixiu; Gopaluni, R. Bhushan] Univ British Columbia, Dept Chem &amp; Biol Engn, Vancouver, BC V6T 1Z3, Canada; [Su, Jianping] China Univ Petr, Coll Carbon Neutral Future Technol, Beijing 102200, Peoples R China; [Saddler, Jack] Univ British Columbia, Forest Prod Biotechnol Bioenergy Grp, Vancouver, BC V6T 1Z4, Canada; [Lee, Gary; Siang, Lim C.; Pinchuk, Robert; Li, Jin] Parkland Refining BC Ltd, Burnaby V5C 1L7, BC, Canada; [Luo, Yi] Chinese Inst Coal Sci, Res Inst Mine Artificial Intelligence, Beijing 100013, Peoples R China</t>
  </si>
  <si>
    <t>University of British Columbia; China University of Petroleum; University of British Columbia</t>
  </si>
  <si>
    <t>Su, JP (corresponding author), China Univ Petr, Coll Carbon Neutral Future Technol, Beijing 102200, Peoples R China.</t>
  </si>
  <si>
    <t>liangcao@mit.edu; jianping.su@cup.edu.cn; bhushan.gopaluni@ubc.ca</t>
  </si>
  <si>
    <t>su, jianping/LPQ-0751-2024; Cao, Liang/HPC-9244-2023; Cao, Yankai/ISU-8889-2023</t>
  </si>
  <si>
    <t>Cao, Yankai/0000-0001-9014-2552; Saddler, Jack/0000-0002-8689-3967;</t>
  </si>
  <si>
    <t>Mitacs [IT17565, IT32976]; National Natural Science Foundation of China [62403229]</t>
  </si>
  <si>
    <t>Mitacs; National Natural Science Foundation of China(National Natural Science Foundation of China (NSFC))</t>
  </si>
  <si>
    <t>The authors gratefully acknowledge the financial support from Mitacs (Grant Numbers: IT17565, IT32976) and the National Natural Science Foundation of China (Grant Number: 62403229) .</t>
  </si>
  <si>
    <t>1364-0321</t>
  </si>
  <si>
    <t>1879-0690</t>
  </si>
  <si>
    <t>RENEW SUST ENERG REV</t>
  </si>
  <si>
    <t>Renew. Sust. Energ. Rev.</t>
  </si>
  <si>
    <t>10.1016/j.rser.2025.115417</t>
  </si>
  <si>
    <t>FEB 2025</t>
  </si>
  <si>
    <t>Green &amp; Sustainable Science &amp; Technology; Energy &amp; Fuels</t>
  </si>
  <si>
    <t>Science &amp; Technology - Other Topics; Energy &amp; Fuels</t>
  </si>
  <si>
    <t>X2P8F</t>
  </si>
  <si>
    <t>WOS:001423841600001</t>
  </si>
  <si>
    <t>Wang, YY; Zhang, JP; Gao, Y; Fu, YY; Ma, ST; Zhang, AQ</t>
  </si>
  <si>
    <t>Wang, Yuanyuan; Zhang, Junpeng; Gao, Yang; Fu, Yuanyuan; Ma, Shoutian; Zhang, Anqi</t>
  </si>
  <si>
    <t>Impact of Saline Water Irrigation on Soil Carbon Pool Composition and the Response of Carbon Emissions to Water Regulation</t>
  </si>
  <si>
    <t>JOURNAL OF AGRONOMY AND CROP SCIENCE</t>
  </si>
  <si>
    <t>CO(2 )emissions; drought stress; salinity stress; soil carbon cycle; soil moisture</t>
  </si>
  <si>
    <t>DISSOLVED ORGANIC-MATTER; DYNAMICS; GROWTH</t>
  </si>
  <si>
    <t>In areas with freshwater resource shortages, although saline water irrigation can alleviate agricultural water-use pressure, long-term application may lead to soil salinisation and ecological function degradation, thereby affecting greenhouse gas emissions. To clarify its influence on the soil carbon cycle and greenhouse gas emissions, this study collected farmland soil subjected to long-term saline water irrigation (S1: 1 g/L, S2: 4 g/L, and S3: 8 g/L) and analysed the dynamic changes in CO2 emissions and carbon and nitrogen components through controlled indoor experiments. The soil moisture gradient was defined as follows: W1, W2, and W3 correspond to 45%, 60%, and 75% of the field water-holding capacity, respectively. The results indicated that soil total carbon and total nitrogen decreased over time and were more strongly affected by salinity than by moisture, with both parameters peaking at a salinity level of S2. Both dissolved organic carbon and microbial biomass (microbial biomass carbon, microbial biomass nitrogen) responded distinctly to moisture and salinity: dissolved organic carbon decreased initially and then increased as the salinity increased (S3 &gt; S1 &gt; S2), but it consistently decreased with increasing soil moisture (W1 &gt; W2 &gt; W3), while microbial biomass carbon and microbial biomass nitrogen rose as the soil moisture increased (W3 &gt; W2 &gt; W1). Microbial biomass nitrogen demonstrated higher salt tolerance than carbon biomass, peaking at S2, whereas microbial biomass carbon declined with rising salinity (S1 &gt; S2 &gt; S3). Soil moisture and salinity significantly influenced CO2 emissions. CO2 levels increased with rising soil moisture (W3 &gt; W2 &gt; W1). Moderate salinity promoted CO2 emissions, whereas high salinity suppressed them (S2 &gt; S1 &gt; S3). Compared to the W3S2 treatment, which showed the maximum value (p &lt; 0.05), CO2 emissions were reduced by 13.84% in W3S1, 24.85% in W3S3, 33.63% in W1S2, and 20.54% in W2S2. These results recommend controlling irrigation salinity at &lt;= 4 g/L and maintaining water content at 60%-75% of the water holding capacity to synergistically sustain soil health and emission reduction benefits.</t>
  </si>
  <si>
    <t>[Wang, Yuanyuan; Zhang, Junpeng; Zhang, Anqi] Shandong Agr Univ, Coll Water Conservancy &amp; Civil Engn, Shandong Key Lab Agr Water Saving Technol &amp; Equipm, Tai An, Peoples R China; [Wang, Yuanyuan; Gao, Yang; Fu, Yuanyuan; Ma, Shoutian] Chinese Acad Agr Sci, Minist Agr &amp; Rural Affairs, Inst Farmland Irrigat, Xinxiang, Peoples R China; [Ma, Shoutian] Field Observat &amp; Res Stn Efficient Water Use Agr, Xinxiang, Peoples R China; [Ma, Shoutian] Chinese Agrosyst Long Term Observat Network, Xinxiang Stn, Xinxiang, Peoples R China</t>
  </si>
  <si>
    <t>Shandong Agricultural University; Chinese Academy of Agricultural Sciences</t>
  </si>
  <si>
    <t>Zhang, AQ (corresponding author), Shandong Agr Univ, Coll Water Conservancy &amp; Civil Engn, Shandong Key Lab Agr Water Saving Technol &amp; Equipm, Tai An, Peoples R China.;Ma, ST (corresponding author), Chinese Acad Agr Sci, Minist Agr &amp; Rural Affairs, Inst Farmland Irrigat, Xinxiang, Peoples R China.;Ma, ST (corresponding author), Field Observat &amp; Res Stn Efficient Water Use Agr, Xinxiang, Peoples R China.;Ma, ST (corresponding author), Chinese Agrosyst Long Term Observat Network, Xinxiang Stn, Xinxiang, Peoples R China.</t>
  </si>
  <si>
    <t>shoutian1210@163.com; annqi_zhang@163.com</t>
  </si>
  <si>
    <t>FU, yuanyuan/LKL-5601-2024; Zhang, Anqi/LXA-3770-2024</t>
  </si>
  <si>
    <t>Agricultural Science and Technology Innovation Program of the Chinese Academy of Agricultural Sciences (ASTIP)</t>
  </si>
  <si>
    <t>This work was supported by Major Science and Technology Projects of Xinjiang Uygur Autonomous Region (2024A03011-5), Natural Science Foundation of Shandong Province (No. ZR2023ME017), China Agriculture Research System (CARS-03-20), the Agricultural Science and Technology Innovation Program of the Chinese Academy of Agricultural Sciences (ASTIP)</t>
  </si>
  <si>
    <t>0931-2250</t>
  </si>
  <si>
    <t>1439-037X</t>
  </si>
  <si>
    <t>J AGRON CROP SCI</t>
  </si>
  <si>
    <t>J. Agron. Crop Sci.</t>
  </si>
  <si>
    <t>OCT 2</t>
  </si>
  <si>
    <t>e70120</t>
  </si>
  <si>
    <t>10.1111/jac.70120</t>
  </si>
  <si>
    <t>8EJ6J</t>
  </si>
  <si>
    <t>WOS:001586674000001</t>
  </si>
  <si>
    <t>Wang, WX; Wang, WJ; Xie, PC; Zhao, DQ</t>
  </si>
  <si>
    <t>Wang, Wenxiu; Wang, Wenjun; Xie, Pengcheng; Zhao, Daiqing</t>
  </si>
  <si>
    <t>Spatial and temporal disparities of carbon emissions and interregional carbon compensation in major function-oriented zones: A case study of Guangdong province</t>
  </si>
  <si>
    <t>JOURNAL OF CLEANER PRODUCTION</t>
  </si>
  <si>
    <t>Major function-oriented zone; Carbon compensation; Carbon emissions; Guangdong</t>
  </si>
  <si>
    <t>ECOLOGICAL COMPENSATION; ECOSYSTEM SERVICES; WILLINGNESS; IMPACTS; CHINA</t>
  </si>
  <si>
    <t>The promotion of low-carbon coordinated development in various major function-oriented zones is a measure in China to address the problem of climate change. In this study, we selected the optimized development, key development, key ecological function, and main agricultural production zones of Guangdong province as the research objects. We built a calculate-and-correct model of carbon emissions at district/county scales based on different data sources. Carbon pressure, per capita carbon emission, and carbon intensity were used as the measurement indices, and three quantitative formulas were established to calculate the carbon compensation amount in the different major function-oriented zones. We then investigated the spatial and temporal disparities in the carbon emissions and interregional carbon compensation in the zones. We drew three conclusions. First, there were substantial spatial differences in the total carbon emissions, per capita carbon emissions, carbon pressure, and carbon intensity in the four major function-oriented zones. Second, we comprehensively compared the carbon compensation results calculated by the three carbon emission measurement indices and found that carbon emission pressure was the best measurement index. The results of carbon compensation accounted by the carbon pressure indicated that the optimized development zone was the key pay compensation area, the key development zone was the compensation balance area, and the ecological development zone was the key receive compensation area. Third, compared to the results of previous research, our results were more in line with the expectations. The proportion of the compensation in the gross domestic product of each of the four major function-oriented zones was much higher than that obtained from previous research, and carbon compensation played a remarkable role in promoting regional coordinated development. Thus, this research provided a novel concept and quantitative research tool for interregional carbon compensation. (C) 2019 Elsevier Ltd. All rights reserved.</t>
  </si>
  <si>
    <t>[Wang, Wenxiu; Wang, Wenjun; Xie, Pengcheng; Zhao, Daiqing] Chinese Acad Sci, Guangzhou Inst Energy Convers, 2 Nengyuan Rd, Guangzhou 510640, Guangdong, Peoples R China; [Wang, Wenxiu; Wang, Wenjun; Xie, Pengcheng; Zhao, Daiqing] Chinese Acad Sci, Key Lab Renewable Energy, 2 Nengyuan Rd, Guangzhou 510640, Guangdong, Peoples R China; [Wang, Wenxiu; Wang, Wenjun; Xie, Pengcheng; Zhao, Daiqing] Guangdong Prov Key Lab New &amp; Renewable Energy Res, 2 Nengyuan Rd, Guangzhou 510640, Guangdong, Peoples R China</t>
  </si>
  <si>
    <t>Chinese Academy of Sciences; Guangzhou Institute of Energy Conversion, CAS; Chinese Academy of Sciences</t>
  </si>
  <si>
    <t>Xie, PC (corresponding author), Chinese Acad Sci, Guangzhou Inst Energy Convers, 2 Nengyuan Rd, Guangzhou 510640, Guangdong, Peoples R China.</t>
  </si>
  <si>
    <t>xiepc@ms.giec.ac.cn</t>
  </si>
  <si>
    <t>Xie, Pengcheng/ADM-9717-2022</t>
  </si>
  <si>
    <t>Provincial Science and Technology Plan Project of Guangdong province [2018A050501011]; Guangdong Key Laboratory of Research, Development, and Application of New and Renewable Energy [y909jn1001]; Guangdong Special Project on Low-Carbon Development [GPCGD163104FG357F]</t>
  </si>
  <si>
    <t>Provincial Science and Technology Plan Project of Guangdong province; Guangdong Key Laboratory of Research, Development, and Application of New and Renewable Energy; Guangdong Special Project on Low-Carbon Development</t>
  </si>
  <si>
    <t>This research is supported by the Provincial Science and Technology Plan Project of Guangdong province (2018A050501011), Guangdong Key Laboratory of Research, Development, and Application of New and Renewable Energy (y909jn1001), and Guangdong Special Project on Low-Carbon Development (GPCGD163104FG357F).</t>
  </si>
  <si>
    <t>0959-6526</t>
  </si>
  <si>
    <t>1879-1786</t>
  </si>
  <si>
    <t>J CLEAN PROD</t>
  </si>
  <si>
    <t>J. Clean Prod.</t>
  </si>
  <si>
    <t>10.1016/j.jclepro.2019.118873</t>
  </si>
  <si>
    <t>Green &amp; Sustainable Science &amp; Technology; Engineering, Environmental; Environmental Sciences</t>
  </si>
  <si>
    <t>Science &amp; Technology - Other Topics; Engineering; Environmental Sciences &amp; Ecology</t>
  </si>
  <si>
    <t>JX4XQ</t>
  </si>
  <si>
    <t>WOS:000503739400103</t>
  </si>
  <si>
    <t>Saliou, IO; Zannou, A; Aoudji, AKN; Honlonkou, AN</t>
  </si>
  <si>
    <t>Saliou, Idelphonse O.; Zannou, Afio; Aoudji, Augustin K. N.; Honlonkou, Albert N.</t>
  </si>
  <si>
    <t>Drivers of Mechanization in Cotton Production in Benin, West Africa</t>
  </si>
  <si>
    <t>mechanization; animal traction; farm motorization; labor; gender; land tenure; cotton; Benin</t>
  </si>
  <si>
    <t>AGRICULTURAL MECHANIZATION; TECHNOLOGY ADOPTION; SERVICES; FARMS; LABOR; LAND; DETERMINANTS; ADVANTAGE; IMPACTS; INCOME</t>
  </si>
  <si>
    <t>In the context of Africa's farm labor scarcity, the use of mechanization is crucial for agricultural development. In Benin, technological advances, such as animal traction and motorization, are struggling to achieve the success expected by producers. The objective of this research was to analyze the drivers of mechanization in cotton production in Benin. Data collected from 482 cotton producers in three agroecological zones of the country were analyzed using a multinomial Logit model. The results revealed that 34% of cotton producers used hand tools, compared to 31% using draught animals and 35% using tractors. Variables such as education level, area cropped, access to land, access to credit and agroecological zone had a positive influence on the probability of using mechanization in the cotton production. Family labor size per household had a negative influence on the probability of using farm mechanization. Women were more likely to use farm mechanization than men. This research suggests that mechanization policies should adapt agricultural equipment to the specificities of the production systems of each agroecological zone, and strengthen land tenure security and access to credit, particularly for women cotton producers.</t>
  </si>
  <si>
    <t>[Saliou, Idelphonse O.; Zannou, Afio] Univ Abomey Calavi, Fac Sci Agron, Lab Econ Rurale &amp; Gest Exploitat Agr, BP 526, Cotonou 01, Benin; [Aoudji, Augustin K. N.] Univ Abomey Calavi, Fac Sci Agron, Lab Etud Pauvrete &amp; Performance Agr, BP 526, Cotonou 01, Benin; [Honlonkou, Albert N.] Univ Abomey Calavi, Lab Econ Syst Socioecol &amp; Populat, Ecole Natl Econ Appl &amp; Management, BP 171, Cotonou, Godomey, Benin</t>
  </si>
  <si>
    <t>University of Abomey Calavi; University of Abomey Calavi; University of Abomey Calavi</t>
  </si>
  <si>
    <t>Saliou, IO (corresponding author), Univ Abomey Calavi, Fac Sci Agron, Lab Econ Rurale &amp; Gest Exploitat Agr, BP 526, Cotonou 01, Benin.</t>
  </si>
  <si>
    <t>idelphonse.saliou@gmail.com; zannou.afio@gmail.com; augustin.aoudji@gmail.com; meintoh@yahoo.fr</t>
  </si>
  <si>
    <t>Saliou, Idelphonse/0000-0002-1022-8514</t>
  </si>
  <si>
    <t>10.3390/agriculture10110549</t>
  </si>
  <si>
    <t>OV7DY</t>
  </si>
  <si>
    <t>WOS:000592366900001</t>
  </si>
  <si>
    <t>Holka, M; Bienkowski, J</t>
  </si>
  <si>
    <t>Holka, Malgorzata; Bienkowski, Jerzy</t>
  </si>
  <si>
    <t>Carbon Footprint and Life-Cycle Costs of Maize Production in Conventional and Non-Inversion Tillage Systems</t>
  </si>
  <si>
    <t>life-cycle assessment; life-cycle costing; greenhouse gas emissions; costs; cereal crops; soil tillage</t>
  </si>
  <si>
    <t>CONSERVATION TILLAGE; CROP PRODUCTION; ENERGY; EUROPE; SOIL</t>
  </si>
  <si>
    <t>Given the problem of climate change and the requirements laid down by the European Union in the field of gradual decarbonization of production, it is necessary to implement solutions of reducing greenhouse gas (GHG) emissions into agricultural practice. This research paper aimed to evaluate the carbon footprint and life-cycle costs of grain maize production in various tillage systems. The material for the analyses was data from 2015-2017 collected on 15 farms located in the Wielkopolska region (Poland) and growing maize for grain in three tillage systems: conventional, reduced, and no-tillage. The life-cycle assessment and life-cycle costing methodologies were applied to assess the GHG emissions and costs associated with the grain maize production in the stages from cradle-to-farm gate, i.e., from obtaining raw materials and producing means for agricultural production, through the processes of maize cultivation to grain harvesting. The calculated values of the carbon footprint indicator for maize production in conventional, reduced, and no-tillage systems were 2347.4, 2353.4, and 1868.7 CO2 eq. ha(-1), respectively. The largest source of GHG emissions was the use of nitrogen fertilizers. Non-inversion tillage with cover crops and leaving a large amount of crop residues in the field increased the sequestration of organic carbon and contributed to a significant reduction of the carbon footprint in maize production. The conventional tillage system demonstrated the highest overall life-cycle costs per hectare.</t>
  </si>
  <si>
    <t>[Holka, Malgorzata; Bienkowski, Jerzy] Polish Acad Sci, Inst Agr &amp; Forest Environm, Bukowska 19, PL-60809 Poznan, Poland</t>
  </si>
  <si>
    <t>Polish Academy of Sciences</t>
  </si>
  <si>
    <t>Holka, M (corresponding author), Polish Acad Sci, Inst Agr &amp; Forest Environm, Bukowska 19, PL-60809 Poznan, Poland.</t>
  </si>
  <si>
    <t>malgorzata.holka@isrl.poznan.pl; jerzy.bienkowski@isrl.poznan.pl</t>
  </si>
  <si>
    <t>; Holka, Małgorzata/GXH-8316-2022</t>
  </si>
  <si>
    <t>Bieńkowski, Jerzy/0000-0002-1659-1517; Holka, Małgorzata/0000-0002-4192-8863</t>
  </si>
  <si>
    <t>National Science Centre, Poland [2015/19/N/HS4/03031]</t>
  </si>
  <si>
    <t>National Science Centre, Poland(National Science Centre, Poland)</t>
  </si>
  <si>
    <t>This research was funded by the National Science Centre, Poland, project no 2015/19/N/HS4/03031.</t>
  </si>
  <si>
    <t>10.3390/agronomy10121877</t>
  </si>
  <si>
    <t>PJ5JY</t>
  </si>
  <si>
    <t>WOS:000601805000001</t>
  </si>
  <si>
    <t>He, DB; Ma, H; Hu, DN; Wang, XG; Dong, ZX; Zhu, B</t>
  </si>
  <si>
    <t>He, Debo; Ma, Han; Hu, Dongni; Wang, Xiaoguo; Dong, Zhixin; Zhu, Bo</t>
  </si>
  <si>
    <t>Biochar for sustainable agriculture: Improved soil carbon storage and reduced emissions on cropland</t>
  </si>
  <si>
    <t>Soil greenhouse gas emissions; Biochar; Straw; Organic manure; Molecular model calculation</t>
  </si>
  <si>
    <t>GREENHOUSE-GAS EMISSIONS; MESOPOROUS CELLULOSE BIOCHAR; WHEAT-STRAW; ADSORPTION; BINDING; N2O; AROMATICITY; TEMPERATURE; PYROLYSIS; CH4</t>
  </si>
  <si>
    <t>Climate change, driven by excessive greenhouse gas (GHG) emissions from agricultural land, poses a serious threat to ecological security. It is now understood that significant differences exist in the responses of soil GHG emissions and soil carbon (C) sequestration to the application of different C-based materials (i.e., straw, organic manure (OM), and biochar). Therefore, elucidating the mechanisms by which differences in the properties of these materials affect soil GHG emissions is essential to comprehensively investigate the mechanisms through which variations in material properties influence soil GHG emissions. Herein, we conducted a field experiment to evaluate the responses of soil GHG emissions to cropland application of different C-based materials and employed molecular modeling calculations to explore the mechanisms by which differences in the properties of these materials affect soil GHG emissions. The results showed that biochar demonstrated superior resistance to biochemical decomposition and soil GHG adsorption capacity, leading to a significant reduction in soil GHG emissions due to its excellent physicochemical properties. The active surface properties of straw and OM enhanced their interaction with decomposing enzymes and accelerated their biochemical decomposition. Wheatmaize rotation with biochar application reduced CO2 emissions by 1089.8 kg CO2eq ha(-1) and increased soil organic carbon by 141.8% compared to the control after one year. Collectively, these results contribute to the optimization of cropland application strategies for crop residues to balance soil C sequestration and soil GHG emissions, and to ensure sustainable agriculture and ecological security.</t>
  </si>
  <si>
    <t>[He, Debo; Ma, Han; Hu, Dongni; Wang, Xiaoguo; Dong, Zhixin; Zhu, Bo] Chinese Acad Sci, Inst Mt Hazards &amp; Environm, Chengdu 610041, Peoples R China; [He, Debo; Ma, Han; Hu, Dongni; Wang, Xiaoguo; Dong, Zhixin; Zhu, Bo] Chinese Acad Sci, Key Lab Mt Surface Proc &amp; Ecol Regulat, Chengdu 610041, Peoples R China; [He, Debo; Ma, Han; Hu, Dongni] Univ Chinese Acad Sci, Beijing 100049, Peoples R China</t>
  </si>
  <si>
    <t>Chinese Academy of Sciences; Institute of Mountain Hazards &amp; Environment, CAS; Chinese Academy of Sciences; Chinese Academy of Sciences; University of Chinese Academy of Sciences, CAS</t>
  </si>
  <si>
    <t>Wang, XG; Dong, ZX; Zhu, B (corresponding author), Chinese Acad Sci, Inst Mt Hazards &amp; Environm, Chengdu 610041, Peoples R China.;Wang, XG; Dong, ZX; Zhu, B (corresponding author), Chinese Acad Sci, Key Lab Mt Surface Proc &amp; Ecol Regulat, Chengdu 610041, Peoples R China.</t>
  </si>
  <si>
    <t>xgwang@imde.ac.cn; zhxdong@imde.ac.cn; bzhu_imde@163.com</t>
  </si>
  <si>
    <t>Zhang, Hongfang/HNS-7383-2023</t>
  </si>
  <si>
    <t>National Natural Science Foundation of China [U20A20107]</t>
  </si>
  <si>
    <t>National Natural Science Foundation of China(National Natural Science Foundation of China (NSFC))</t>
  </si>
  <si>
    <t>The National Natural Science Foundation of China [Grant No. U20A20107].</t>
  </si>
  <si>
    <t>10.1016/j.jenvman.2024.123147</t>
  </si>
  <si>
    <t>NOV 2024</t>
  </si>
  <si>
    <t>L9D5R</t>
  </si>
  <si>
    <t>WOS:001353655200001</t>
  </si>
  <si>
    <t>Li, HB; Jin, XB; Zhao, RQ; Han, B; Liang, XY; Sun, R</t>
  </si>
  <si>
    <t>Li, Hanbing; Jin, Xiaobin; Zhao, Rongqin; Han, Bo; Liang, Xinyuan; Sun, Rui</t>
  </si>
  <si>
    <t>Decoding the spatiotemporal dynamics of cropland carbon emission drivers in China: A machine learning-based analysis</t>
  </si>
  <si>
    <t>Cropland carbon emissions; Emission drivers; Spatiotemporal dynamics; China</t>
  </si>
  <si>
    <t>The agriculture sector significantly contributes to greenhouse gas emissions, highlighting the necessity of diminishing its carbon footprint for successful climate change mitigation. Nonetheless, insufficient understanding of the spatiotemporal patterns and diverse factors influencing cropland carbon emissions (CCE) hinders the formulation of targeted, evidence-based mitigation solutions. This study assesses CCE across 2852 Chinese counties from 2001 to 2020, using a comprehensive framework that integrates four principal sources: material inputs, paddy fields, straw combustion, and soil emissions. To investigate the fundamental dynamics, alterations in CCE drivers were examined using a sophisticated machine learning model. The findings demonstrate that China's cropland emissions rose consistently, reaching a peak of 1070.54 Tg in 2014, thereafter decreasing to 890.87 Tg in 2020. Emission trajectories exhibited significant variation among counties. Nationally, emissions were mostly influenced by farmland usage, whereas the impact of elevation decreased over time, indicating a reduced significance of topography. Regionally, emission drivers displayed considerable variance; for instance, the contribution of arable land area in South China rose markedly, from 0.44 to 0.90. While cropland scaling generally decreased emissions, urbanization and GDP growth were significant contributors to emissions in the Loess Plateau and Qinghai-Tibet Plateau. This study provides insights for the formulation of region-specific mitigation programs by detecting regional and temporal variations in emission drivers. The results enhance cropland practices to promote carbon neutrality and sustainable agricultural development.</t>
  </si>
  <si>
    <t>[Li, Hanbing; Zhao, Rongqin] North China Univ Water Resources &amp; Elect Power, Sch Human Settlements, Zhengzhou 450046, Peoples R China; [Jin, Xiaobin; Han, Bo; Sun, Rui] Nanjing Univ, Sch Geog &amp; Ocean Sci, Nanjing 210023, Peoples R China; [Liang, Xinyuan] Nanjing Agr Univ, Coll Publ Adm, Nanjing 210095, Peoples R China</t>
  </si>
  <si>
    <t>North China University of Water Resources &amp; Electric Power; Nanjing University; Nanjing Agricultural University</t>
  </si>
  <si>
    <t>Jin, XB (corresponding author), Nanjing Univ, Sch Geog &amp; Ocean Sci, Nanjing 210023, Peoples R China.</t>
  </si>
  <si>
    <t>lihanbing@ncwu.edu.cn; jinxb@nju.edu.cn; zhaorq234@163.com; lamoitie516@gmail.com; liang_xiny@foxmail.com; rsun17@163.com</t>
  </si>
  <si>
    <t>zhao, Rongqin/AAH-7513-2020; Liang, Xinyuan/ABF-6833-2020</t>
  </si>
  <si>
    <t>Youth Foundation Project of the Ministry of Education [21YJCZH018]</t>
  </si>
  <si>
    <t>Youth Foundation Project of the Ministry of Education</t>
  </si>
  <si>
    <t>Acknowledgements This study was supported by the National Natural Science Foundation of China (Grant Nos. 41971234) , Henan Province Higher Education Institutions Humanities and Social Sciences Research General Project (2026-ZZJH-209) and the Humanities and Social Science Research</t>
  </si>
  <si>
    <t>London</t>
  </si>
  <si>
    <t>125 London Wall, London, ENGLAND</t>
  </si>
  <si>
    <t>OCT 1</t>
  </si>
  <si>
    <t>10.1016/j.jclepro.2025.146675</t>
  </si>
  <si>
    <t>7RL2Z</t>
  </si>
  <si>
    <t>WOS:001577894600001</t>
  </si>
  <si>
    <t>Wu, F; Muller, A; Pfenninger, S</t>
  </si>
  <si>
    <t>Wu, Fei; Muller, Adrian; Pfenninger, Stefan</t>
  </si>
  <si>
    <t>Strategic uses for ancillary bioenergy in a carbon-neutral and fossil-free 2050 European energy system</t>
  </si>
  <si>
    <t>sustainable bioenergy; carbon-neutrality; sector-coupling; renewable energy systems optimisation; energy policy</t>
  </si>
  <si>
    <t>CO2 EMISSIONS</t>
  </si>
  <si>
    <t>Biomass is a growing renewable energy source in Europe and is envisioned to play a role for realising carbon neutrality, predominantly using dedicated energy crops. However, dedicated biomass is controversial for reasons including its competition with food production or its land-use and emissions impacts. Here we examine the potential role of a land-free alternative: ancillary bioenergy (AB) from biomass sources not primarily grown for energy and without land/food/feed competition. We provide the first dataset of 2050 ancillary biomass potential using the agricultural system model SOLm, which encompasses untapped by-/co-products and detailed agricultural residues. Results show that there is a limited future potential for AB in Europe (2394-10 342 PJ, which is 3-6 times lower than other estimates including dedicated biomass). We design and investigate alternative scenarios where this bioenergy resource can be fully utilised, not utilised at all, or utilised optimally by the sector-coupled energy system model Euro-Calliope. We find that fully utilising ancillary biomass can help phase out controversial nuclear or land-intensive dedicated biomass, so might achieve higher societal acceptability. Using all ancillary biomass as a negative-emissions source at stationary bioenergy carbon capture and storage plants in a nuclear-free system provides additional climate benefits. It is also possible to leave the AB potential completely unused, which barely increases total system cost, but would preserve agricultural nutrients. We conclude that there are synergies and trade-offs among possible strategic uses of AB, which can provide guidelines for a more coherent European bioenergy strategy. Although the 2050 potential of AB is limited, our findings suggest that it could fill critical strategic niches for realising carbon-neutrality.</t>
  </si>
  <si>
    <t>[Wu, Fei] Swiss Fed Inst Technol, Inst Environm Decis, Zurich, Switzerland; [Muller, Adrian] Res Inst Organ Agr FiBL, Dept Food Syst Sci, Frick, Switzerland; [Wu, Fei; Pfenninger, Stefan] Delft Univ Technol, Fac Technol Policy &amp; Management TPM, Delft, Netherlands</t>
  </si>
  <si>
    <t>Swiss Federal Institutes of Technology Domain; ETH Zurich; Delft University of Technology</t>
  </si>
  <si>
    <t>Wu, F (corresponding author), Swiss Fed Inst Technol, Inst Environm Decis, Zurich, Switzerland.;Wu, F (corresponding author), Delft Univ Technol, Fac Technol Policy &amp; Management TPM, Delft, Netherlands.</t>
  </si>
  <si>
    <t>fei.wu@usys.ethz.ch</t>
  </si>
  <si>
    <t>; Pfenninger, Stefan/KFT-2814-2024</t>
  </si>
  <si>
    <t>Pfenninger, Stefan/0000-0002-8420-9498; Wu, Fei/0000-0002-5476-3017; Muller, Aian/0000-0001-7232-9399</t>
  </si>
  <si>
    <t>European Union [847585, 837089]; Marie Curie Actions (MSCA) [847585] Funding Source: Marie Curie Actions (MSCA)</t>
  </si>
  <si>
    <t>European Union(European Union (EU)); Marie Curie Actions (MSCA)(Marie Curie Actions)</t>
  </si>
  <si>
    <t>This project has received funding from the European Union's Horizon 2020 research and innovation programme under the Marie Sklodowska-Curie (MSC) Grant Agreement No. 847585, and from the SENTINEL project of the European Union's Horizon 2020 research and innovation programme under Grant Agreement No. 837089. The authors would like to thank Dr Bryn Pickering for his assistance with the modelling.</t>
  </si>
  <si>
    <t>IOP Publishing Ltd</t>
  </si>
  <si>
    <t>JAN 1</t>
  </si>
  <si>
    <t>10.1088/1748-9326/aca9e1</t>
  </si>
  <si>
    <t>7N6KZ</t>
  </si>
  <si>
    <t>WOS:000907448400001</t>
  </si>
  <si>
    <t>Csillik, O; Kumar, P; Mascaro, J; O'Shea, T; Asner, GP</t>
  </si>
  <si>
    <t>Csillik, Ovidiu; Kumar, Pramukta; Mascaro, Joseph; O'Shea, Tara; Asner, Gregory P.</t>
  </si>
  <si>
    <t>Monitoring tropical forest carbon stocks and emissions using Planet satellite data</t>
  </si>
  <si>
    <t>IMAGE TEXTURE; BIOMASS ESTIMATION; LANDSAT TM; LIDAR; CLASSIFICATION; PARAMETERS; CONSERVATION; DENSITY; MAP</t>
  </si>
  <si>
    <t>Tropical forests are crucial for mitigating climate change, but many forests continue to be driven from carbon sinks to sources through human activities. To support more sustainable forest uses, we need to measure and monitor carbon stocks and emissions at high spatial and temporal resolution. We developed the first large-scale very high-resolution map of aboveground carbon stocks and emissions for the country of Peru by combining 6.7 million hectares of airborne LiDAR measurements of top-of-canopy height with thousands of Planet Dove satellite images into a random forest machine learning regression workflow, obtaining an R-2 of 0.70 and RMSE of 25.38 Mg C ha(-1) for the nationwide estimation of aboveground carbon density (ACD). The diverse ecosystems of Peru harbor 6.928 Pg C, of which only 2.9 Pg C are found in protected areas or their buffers. We found significant carbon emissions between 2012 and 2017 in areas aggressively affected by oil palm and cacao plantations, agricultural and urban expansions or illegal gold mining. Creating such a cost-effective and spatially explicit indicators of aboveground carbon stocks and emissions for tropical countries will serve as a transformative tool to quantify the climate change mitigation services that forests provide.</t>
  </si>
  <si>
    <t>[Csillik, Ovidiu; Kumar, Pramukta; Asner, Gregory P.] Arizona State Univ, Ctr Global Discovery &amp; Conservat Sci, Tempe, AZ 85281 USA; [Mascaro, Joseph; O'Shea, Tara] Planet Labs Inc, San Francisco, CA USA</t>
  </si>
  <si>
    <t>Arizona State University; Arizona State University-Tempe</t>
  </si>
  <si>
    <t>Csillik, O (corresponding author), Arizona State Univ, Ctr Global Discovery &amp; Conservat Sci, Tempe, AZ 85281 USA.</t>
  </si>
  <si>
    <t>ocsillik@asu.edu</t>
  </si>
  <si>
    <t>Asner, Gregory/G-9268-2013; Csillik, Ovidiu/O-2957-2013; Asner, Gregory/G-9268-2013; Csillik, Ovidiu/AAY-1609-2020</t>
  </si>
  <si>
    <t>Asner, Gregory/0000-0001-7893-6421; Csillik, Ovidiu/0000-0002-4590-3807; Asner, Gregory/0000-0001-7893-6421;</t>
  </si>
  <si>
    <t>Erol Foundation; Avatar Alliance Foundation; Margaret A. Cargill Foundation; David and Lucile Packard Foundation; Gordon and Betty Moore Foundation; Grantham Foundation for the Protection of the Environment; W. M. Keck Foundation; John D. and Catherine T. MacArthur Foundation; Andrew Mellon Foundation</t>
  </si>
  <si>
    <t>Erol Foundation; Avatar Alliance Foundation; Margaret A. Cargill Foundation; David and Lucile Packard Foundation(The David &amp; Lucile Packard Foundation); Gordon and Betty Moore Foundation(Gordon &amp; Betty Moore Foundation); Grantham Foundation for the Protection of the Environment; W. M. Keck Foundation(W.M. Keck Foundation); John D. and Catherine T. MacArthur Foundation; Andrew Mellon Foundation</t>
  </si>
  <si>
    <t>This study was supported by a grant from the Erol Foundation. We thank J. Kington and D. Knapp for assistance with the Planet Dove mosaics and LiDAR data, respectively. The GAO is made possible by grants and donations to G. P. Asner from the Avatar Alliance Foundation, Margaret A. Cargill Foundation, David and Lucile Packard Foundation, Gordon and Betty Moore Foundation, Grantham Foundation for the Protection of the Environment, W. M. Keck Foundation, John D. and Catherine T. MacArthur Foundation, Andrew Mellon Foundation, Mary Anne Nyburg Baker, G. Leonard Baker Jr, and William R. Hearst III.</t>
  </si>
  <si>
    <t>NOV 28</t>
  </si>
  <si>
    <t>10.1038/s41598-019-54386-6</t>
  </si>
  <si>
    <t>JR5MO</t>
  </si>
  <si>
    <t>WOS:000499669200001</t>
  </si>
  <si>
    <t>Pawlowski, M; Meki, MN; Kiniry, JR; Crow, SE</t>
  </si>
  <si>
    <t>Pawlowski, Meghan; Meki, Manyowa N.; Kiniry, James R.; Crow, Susan E.</t>
  </si>
  <si>
    <t>Carbon budgets of potential tropical perennial grass cropping scenarios for bioenergy feedstock production</t>
  </si>
  <si>
    <t>Global warming potential; Greenhouse gas index; Napiergrass; Ratoon crop; Sugarcane</t>
  </si>
  <si>
    <t>ETHANOL-PRODUCTION; GAS FLUXES; SOIL; EMISSIONS; SEQUESTRATION; MECHANISMS; MANAGEMENT; SUGARCANE; ENERGY; BRAZIL</t>
  </si>
  <si>
    <t>Background: The environmental costs of fossil fuel consumption are globally recognized, opening many pathways for the development of regional portfolio solutions for sustainable replacement fuel and energy options. The purpose of this study was to create a baseline carbon (C) budget of a conventionally managed sugarcane (Saccharum officinarum) production system on Maui, Hawaii, and compare it to three different future energy cropping scenarios: (1) conventional sugarcane with a 50% deficit irrigation (sugarcane 50%), (2) ratoon harvested napiergrass (Pennisetum purpureum Schumach.) with 100% irrigation (napier 100%), and (3) ratoon harvested napiergrass with a 50% deficit irrigation (napier 50%). Results: The differences among cropping scenarios for the fossil fuel-based emissions associated with agricultural inputs and field operations were small compared to the differences associated with pre-harvest burn emissions and soil C stock under ratoon harvest and zero-tillage management. Burn emissions were nearly 2000 kg C-eq ha(-1) year(-1) in the conventional sugarcane; whereas soil C gains were approximately 4500 kg C-eq ha(-1) year(-1) in the surface layer of the soil profile for napiergrass. Further, gains in deep soil profile C were nearly three times greater than in the surface layer. Therefore, net global warming potential was greatest for conventional sugarcane and least for napier 50% when deep profile soil C was included. Per unit of biomass yield, the most greenhouse gas (GHG) intensive scenario was sugarcane 50% with a GHG Index (GHGI, positive values imply a climate impact, so a more negative value is preferable for climate change mitigation) of 0.11 and the least intensive was napiergrass 50% when a deep soil profile was included (GHGI = - 0.77). Conclusion: Future scenarios for energy or fuel production on former sugarcane land across the Pacific Basin or other volcanic islands should concentrate on ratoon-harvested crops that maintain yields under zero-tillage management for long intervals between kill harvest and reduce costs of field operations and agricultural input requirements. For napiergrass on Maui and elsewhere, deficit irrigation maximized climate change mitigation of the system and reduced water use should be part of planning a sustainable, diversified agricultural landscape.</t>
  </si>
  <si>
    <t>[Pawlowski, Meghan; Crow, Susan E.] Univ Hawaii Manoa, Dept Nat Resources &amp; Environm Management, 1910 East West Rd, Honolulu, HI 96822 USA; [Meki, Manyowa N.] Texas A&amp;M AgriLife Res, Blackland Res &amp; Extens Ctr, 720 E Blackland Rd, Temple, TX 76502 USA; [Kiniry, James R.] ARS, USDA, Grassland Soil &amp; Water Res Lab, 808 E Blackland Rd, Temple, TX 76502 USA</t>
  </si>
  <si>
    <t>University of Hawaii System; University of Hawaii Manoa; Texas A&amp;M University System; Texas A&amp;M University College Station; Texas A&amp;M AgriLife Research; United States Department of Agriculture (USDA)</t>
  </si>
  <si>
    <t>Crow, SE (corresponding author), Univ Hawaii Manoa, Dept Nat Resources &amp; Environm Management, 1910 East West Rd, Honolulu, HI 96822 USA.</t>
  </si>
  <si>
    <t>crows@hawaii.edu</t>
  </si>
  <si>
    <t>Crow, Susan E/0000-0001-8735-1580</t>
  </si>
  <si>
    <t>Department of Energy [DE-FG36-08GO88037]; Office of Naval Research [N00014-12-1-0496, N00014-16-1-2221]; United States Department of Agriculture-Agricultural Research Service [60-3098-5-006]; Office of Naval Research; USDA National Institute of Food and Agriculture [HAW01130-H]</t>
  </si>
  <si>
    <t>Department of Energy(United States Department of Energy (DOE)); Office of Naval Research(United States Department of DefenseUnited States NavyOffice of Naval Research); United States Department of Agriculture-Agricultural Research Service(United States Department of Agriculture (USDA)USDA Agricultural Research Service); Office of Naval Research(United States Department of DefenseUnited States NavyOffice of Naval Research); USDA National Institute of Food and Agriculture(United States Department of Agriculture (USDA))</t>
  </si>
  <si>
    <t>This work was supported by the Department of Energy [Award Number DE-FG36-08GO88037], the Office of Naval Research [Grants N00014-12-1-0496 and N00014-16-1-2221], and the United States Department of Agriculture-Agricultural Research Service [Interagency Reimbursable Agreement #60-3098-5-006, with funds provided by Office of Naval Research]. This work was further supported by the USDA National Institute of Food and Agriculture, Hatch project [Project HAW01130-H], managed by the College of Tropical Agriculture and Human Resources. These funding bodies played no role in the design of the study and collection, analysis, and interpretation of data and in writing the manuscript.</t>
  </si>
  <si>
    <t>SEP 24</t>
  </si>
  <si>
    <t>10.1186/s13021-018-0102-8</t>
  </si>
  <si>
    <t>HA1JH</t>
  </si>
  <si>
    <t>WOS:000449968300001</t>
  </si>
  <si>
    <t>Yang, L; Nie, JW; Zhao, J; Fang, XY; Yang, YD; Zang, HD; Zeng, ZH</t>
  </si>
  <si>
    <t>Yang, Lei; Nie, Jiangwen; Zhao, Jie; Fang, Xiangyang; Yang, Yadong; Zang, Huadong; Zeng, Zhaohai</t>
  </si>
  <si>
    <t>Reduce carbon footprint without compromising system productivity: Optimizing crop rotation in the North China plain</t>
  </si>
  <si>
    <t>Rotation system; Carbon footprint; Greenhouse gas emission; Crop productivity; Sustainable agriculture</t>
  </si>
  <si>
    <t>NITROUS-OXIDE EMISSIONS; INPUT-OUTPUT; FARMING SYSTEMS; WINTER-WHEAT; ENERGY USE; MAIZE; YIELD; SEQUESTRATION; GREENHOUSE; INCREASE</t>
  </si>
  <si>
    <t>The North China Plain (NCP) serves as a crucial production base for wheat and maize in China. However, the intensive winter wheat-summer maize (WM) cropping system has also led to high carbon emissions. It is imperative to optimize crop rotations to reduce greenhouse gas (GHG) emissions while ensuring food security. Thus, we conducted a 6-year field experiment in the NCP to evaluate the productivity, carbon footprint (CF), and sustainability of the five rotation systems. These included four 2-year rotation systems: spring maize -&gt; WM (WMME), spring millet -&gt; WM (WMML), spring peanut -&gt; WM (WMMP), and spring soybean -&gt; WM (WMMS), with WM serving as the control. Our results indicated that the 2-year rotation systems significantly reduced GHG emissions and improved agricultural sustainability. Wheat yield following the spring crops was 38.6%-47.5% higher than that following summer maize. The energy use efficiency, energy productivity, maize economic equivalent yield (MEEY), and net income in WMMP were higher by 9.7%, 51.8%, 4.4%, and 15.5%, respectively, compared to WM. This was mainly attributed to the high yield, price, energy equivalent coefficient, and pre-crop effect of spring peanut. The reduction of N and electricity inputs in the 2-year rotation systems reduced on-farm N2O emissions and indirect emissions by 39.0%-56.2% and 41.9%-42.9%, respectively, thus lowering CF per unit area by 25.7%-36.6% compared with WM. WMMP demonstrated a 38.2% reduction in CF per kg MEEY, 16.1% reduction in CF per unit net energy, and 44.1% reduction in CF per unit net income, while increasing the sustainable evaluation index by 42.9% compared to WM. In conclusion, the 2-year rotation systems can reduce carbon footprint and improve agricultural sustainability in the NCP, among which the introduction of spring peanut into winter wheat-summer maize rotation can simultaneously enhance system productivity.</t>
  </si>
  <si>
    <t>[Yang, Lei; Zhao, Jie; Fang, Xiangyang; Yang, Yadong; Zang, Huadong; Zeng, Zhaohai] China Agr Univ, Coll Agron &amp; Biotechnol, Beijing 100193, Peoples R China; [Nie, Jiangwen] Yangtze Univ, Coll Agr, Hubei Collaborat Innovat Ctr Grain Ind, Jingzhou 434025, Peoples R China; [Yang, Yadong] China Agr Univ, Coll Agron &amp; Biotechnol, 2 Yuanmingyuan West Rd, Beijing 100193, Peoples R China</t>
  </si>
  <si>
    <t>China Agricultural University; Yangtze University; China Agricultural University</t>
  </si>
  <si>
    <t>Yang, YD (corresponding author), China Agr Univ, Coll Agron &amp; Biotechnol, 2 Yuanmingyuan West Rd, Beijing 100193, Peoples R China.</t>
  </si>
  <si>
    <t>yadong_tracy@cau.edu.cn</t>
  </si>
  <si>
    <t>; Yang, Yadong/AAQ-9726-2020; Zang, Huadong/T-6447-2017</t>
  </si>
  <si>
    <t>Nie, Jiangwen/0000-0003-0881-0115; Yang, Lei/0009-0006-3424-5358;</t>
  </si>
  <si>
    <t>National Natural Science Foundation of China [31901470, 32101852]; National Key Research and Development Program of China [2022YFD2300803]</t>
  </si>
  <si>
    <t>National Natural Science Foundation of China(National Natural Science Foundation of China (NSFC)); National Key Research and Development Program of China(National Key Research &amp; Development Program of China)</t>
  </si>
  <si>
    <t>This work is financially supported by the National Natural Science Foundation of China (31901470 and 32101852) and the National Key Research and Development Program of China (2022YFD2300803) .</t>
  </si>
  <si>
    <t>10.1016/j.jclepro.2023.139124</t>
  </si>
  <si>
    <t>OCT 2023</t>
  </si>
  <si>
    <t>X4PU9</t>
  </si>
  <si>
    <t>WOS:001098295900001</t>
  </si>
  <si>
    <t>Zhou, Y; Zhang, XR; Chen, YS; Xu, XH; Li, M</t>
  </si>
  <si>
    <t>Zhou, Yan; Zhang, Xinrui; Chen, Yingshan; Xu, Xianghui; Li, Mo</t>
  </si>
  <si>
    <t>A water-land-energy-carbon nexus evaluation of agricultural sustainability under multiple uncertainties: The application of a multi-attribute group decision method determined by an interval-valued intuitionistic fuzzy set</t>
  </si>
  <si>
    <t>EXPERT SYSTEMS WITH APPLICATIONS</t>
  </si>
  <si>
    <t>Agricultural water-land-energy-carbon nexus; system; Interval-valued intuitionistic fuzzy set; Sustainability evaluation; Multi-attribute group decision making</t>
  </si>
  <si>
    <t>FOOD NEXUS; RANKING; MODEL</t>
  </si>
  <si>
    <t>The interactions between agricultural subsystems, resource scarcity and ecological degradation increase the need for agricultural sustainability assessments in relation to water, land, energy and carbon emissions. In addition, uncertainties caused by natural factors and human activities complicate sustainability assessments. Therefore, this study proposes a regional agricultural sustainability assessment method based on the water-land-energy carbon (WLEC) nexus system under high uncertainty. This method couples the interval-valued intuitionistic fuzzy set (IVIFS) and multi-attribute group decision making (MAGDM) methods to quantitatively characterise and assess element management and corresponding relationships within the agricultural WLEC nexus system in a multidimensional manner. The paper is able to (1) clarify the role of the coupled agricultural water-land-energy carbon nexus and (2) address the double ambiguity and uncertainty in the indicators and more objectively reflect the interval fluctuations of natural resources and social activities in both positive and negative scenarios. (3) Sustainability management of agricultural resources is carried out according to different regional conditions. The method was applied to Heilongjiang Province in northeast China, and the coupling of agricultural WLEC nexus system in 13 administrative regions of the study area was quantitatively analysed. The degree of agroecological sustainability from a multidimensional perspective is higher in Daxinganling and lower in the provincial capital, Harbin. The recommended range of groundwater use in the study area is [16%,28%] to ensure ecological sustainability when total agricultural output fluctuates between 285,395.18 and 404,495.33 billion yuan. This methodology helps policy makers understand the overall dynamics of agricultural sustainability in an environment of multiple uncertainties and gives suggestions for better assessing management.</t>
  </si>
  <si>
    <t>[Zhou, Yan; Chen, Yingshan; Li, Mo] Northeast Agr Univ, Sch Water Conservancy &amp; Civil Engn, Harbin 150030, Heilongjiang, Peoples R China; [Li, Mo] Natl Key Lab Smart Farm Technol &amp; Syst, Harbin 150030, Heilongjiang, Peoples R China; [Li, Mo] Northeast Agr Univ, Res Ctr Smart Water Network, Harbin 150030, Heilongjiang, Peoples R China; [Li, Mo] Northeast Agr Univ, Key Lab Effect Utilizat Agr Water Resources, Minist Agr, Harbin 150030, Heilongjiang, Peoples R China; [Zhang, Xinrui; Xu, Xianghui] Northeast Agr Univ, Coll Engn, Harbin 150030, Heilongjiang, Peoples R China</t>
  </si>
  <si>
    <t>Northeast Agricultural University - China; Northeast Agricultural University - China; Northeast Agricultural University - China; Northeast Agricultural University - China</t>
  </si>
  <si>
    <t>Li, M (corresponding author), Northeast Agr Univ, Sch Water Conservancy &amp; Civil Engn, Harbin 150030, Heilongjiang, Peoples R China.;Li, M (corresponding author), Natl Key Lab Smart Farm Technol &amp; Syst, Harbin 150030, Heilongjiang, Peoples R China.</t>
  </si>
  <si>
    <t>limo0828@neau.edu.cn</t>
  </si>
  <si>
    <t>Li, Mo/0000-0003-1776-8406</t>
  </si>
  <si>
    <t>National Natural Science Foundation of China [52222902, 52079029]; Humanity and Social Science general project of Ministry of Education of China [18YJAZH147]</t>
  </si>
  <si>
    <t>National Natural Science Foundation of China(National Natural Science Foundation of China (NSFC)); Humanity and Social Science general project of Ministry of Education of China</t>
  </si>
  <si>
    <t>This research was supported by the National Natural Science Foundation of China (52222902 and 52079029) and the Humanity and Social Science general project of Ministry of Education of China (18YJAZH147) .</t>
  </si>
  <si>
    <t>0957-4174</t>
  </si>
  <si>
    <t>1873-6793</t>
  </si>
  <si>
    <t>EXPERT SYST APPL</t>
  </si>
  <si>
    <t>Expert Syst. Appl.</t>
  </si>
  <si>
    <t>MAY 15</t>
  </si>
  <si>
    <t>10.1016/j.eswa.2023.122833</t>
  </si>
  <si>
    <t>DEC 2023</t>
  </si>
  <si>
    <t>Computer Science, Artificial Intelligence; Engineering, Electrical &amp; Electronic; Operations Research &amp; Management Science</t>
  </si>
  <si>
    <t>Computer Science; Engineering; Operations Research &amp; Management Science</t>
  </si>
  <si>
    <t>DV8T9</t>
  </si>
  <si>
    <t>WOS:001134956000001</t>
  </si>
  <si>
    <t>Wu, QY; Liu, SK; Lou, RT; Qi, ZM; Tang, RN; Jiang, QJ; He, Y</t>
  </si>
  <si>
    <t>Wu, Qianying; Liu, Shangkun; Lou, Ruitao; Qi, Zhiming; Tang, Rongnian; Jiang, Qianjing; He, Yong</t>
  </si>
  <si>
    <t>Data-driven optimization of county-scale straw management for low-carbon and income-enhancing rice production in China</t>
  </si>
  <si>
    <t>Straw return; Machine learning; Rice yield; Climate change; NEEB</t>
  </si>
  <si>
    <t>GREENHOUSE-GAS EMISSIONS; METHANE EMISSIONS; CROPPING SYSTEMS; WATER MANAGEMENT; CH4 EMISSIONS; SOIL; YIELD; WHEAT; RESIDUE; BUDGET</t>
  </si>
  <si>
    <t>Returning straw to soil after harvest is not a simple binary decision for agricultural stakeholders. Optimizing straw management under site-specific conditions is crucial to balance the trade-off between climatic changes mitigation and food security in rice production. Here, we developed an integrated framework to determine the optimal ratios of straw return and removal across major rice-cropping regions in China. Using machine learning (ML) models, we identified site-specific straw return ratios that minimize greenhouse gas (GHG) emissions without compromising rice yield. Additionally, a complementary straw logistics model was proposed to manage excess straw instead of burning. Among five ML models evaluated, XGBoost demonstrated superior performance in predicting the impact of straw return on CH4 and N2O emissions, soil organic carbon sequestration rate and rice yield. In single rice systems, a high straw return rate of 73 % resulted in an average yield increases of 26.5 % and a net reduction in GHG emissions by 105 %. In contrast, our model recommends prioritizing straw removal in double rice systems due to difficulties in balancing yield-emission trade-offs. The net ecosystem economic benefit (NEEB) analysis revealed that economic gains from increased yields and reduced nitrogen fertilizer use outweighed the costs of straw collection and off-field transportation. Notably, the current social cost of carbon contributed minimally to total economic benefits, despite substantial GHG mitigation benefits realized through ML-guided strategies. Overall, this study highlights the potential of site-specific, data-driven straw management to promote sustainable agricultural development in China.</t>
  </si>
  <si>
    <t>[Wu, Qianying; Liu, Shangkun; Lou, Ruitao; Jiang, Qianjing; He, Yong] Zhejiang Univ, Dept Biosyst Engn, 866 Yuhangtang Rd, Hangzhou 310058, Zhejiang, Peoples R China; [Qi, Zhiming] McGill Univ, Dept Bioresource Engn, Sainte Anne De Bellevue, PQ H9X 3V9, Canada; [Tang, Rongnian] Hainan Univ, Sch Mech &amp; Elect Engn, Haikou, Peoples R China</t>
  </si>
  <si>
    <t>Zhejiang University; McGill University; Hainan University</t>
  </si>
  <si>
    <t>Jiang, QJ; He, Y (corresponding author), Zhejiang Univ, Dept Biosyst Engn, 866 Yuhangtang Rd, Hangzhou 310058, Zhejiang, Peoples R China.</t>
  </si>
  <si>
    <t>jqj713@zju.edu.cn; yhe@zju.edu.cn</t>
  </si>
  <si>
    <t>Jiang, Qianjing/GSN-4201-2022</t>
  </si>
  <si>
    <t>National Natural Science Foundation of China [32271980]; Zhejiang Province's Key Pioneer Research Project [2022C02014]</t>
  </si>
  <si>
    <t>National Natural Science Foundation of China(National Natural Science Foundation of China (NSFC)); Zhejiang Province's Key Pioneer Research Project</t>
  </si>
  <si>
    <t>This work was supported by National Natural Science Foundation of China (grant number: 32271980) and Zhejiang Province's Key Pioneer Research Project (grant number: 2022C02014)</t>
  </si>
  <si>
    <t>10.1016/j.jenvman.2025.127247</t>
  </si>
  <si>
    <t>7PV0M</t>
  </si>
  <si>
    <t>WOS:001576793200001</t>
  </si>
  <si>
    <t>Mao, H; Quan, YR; Fu, Y</t>
  </si>
  <si>
    <t>Mao, Hui; Quan, Yu-rong; Fu, Yong</t>
  </si>
  <si>
    <t>Risk preferences and the low-carbon agricultural technology adoption: Evidence from rice production in China</t>
  </si>
  <si>
    <t>JOURNAL OF INTEGRATIVE AGRICULTURE</t>
  </si>
  <si>
    <t>risk preferences; crop insurance; farm scale; governmental regulations; low-carbon agricultural technology</t>
  </si>
  <si>
    <t>TERM STRAW RETURN; CONSERVATION TILLAGE; CREDIT CONSTRAINTS; ORGANIC-CARBON; CLIMATE-CHANGE; FARMERS; INSURANCE; TIME; REGULATIONS; ADAPTATION</t>
  </si>
  <si>
    <t>Climate change which is mainly caused by carbon emissions is a global problem affecting the economic development and well-being of human society. Low-carbon agriculture is of particular significance in slowing down global warming and reaching the goal of carbon peak and carbon neutrality. Therefore, taking straw incorporation as an example, this paper aims to investigate the impact of risk preferences on farmers' low-carbon agricultural technology (LCAT) adoption. Based on a two-phase micro-survey data of 1 038 rice farmers in Jiangsu, Jiangxi, and Hunan provinces, this paper uses experimental economics methods to measure farmers' risk aversion and loss aversion to obtain the real risk preferences information of the farmers. We also explore the data to examine the actual LCAT adoption behavior of farmers. The results revealed that both risk aversion and loss aversion significantly inhibit farmers' LCAT adoption: more risk-averse or more loss-averse farmers are less likely to adopt LCAT. It is further found that crop insurance, farm scale and governmental regulations can alleviate the negative impact of risk aversion and loss aversion on farmers' LCAT adoption. Therefore, we propose that local governments need to promote low-carbon agricultural development by propagating the benefits of LCAT, extending crop insurance, promoting appropriate scale operations, and strengthening governmental regulations to promote farmers' LCAT adoption.</t>
  </si>
  <si>
    <t>[Mao, Hui; Quan, Yu-rong] Shaanxi Normal Univ, Northwest Inst Hist Environm &amp; Socio Econ Dev, Xian 710119, Peoples R China; [Fu, Yong] Nanjing Agr Univ, Coll Econ &amp; Management, Nanjing 210095, Peoples R China</t>
  </si>
  <si>
    <t>Shaanxi Normal University; Nanjing Agricultural University</t>
  </si>
  <si>
    <t>Fu, Y (corresponding author), Nanjing Agr Univ, Coll Econ &amp; Management, Nanjing 210095, Peoples R China.</t>
  </si>
  <si>
    <t>maohui@snnu.edu.cn; fuyong2020@snnu.edu.cn</t>
  </si>
  <si>
    <t>National Natural Science Foundation of China [72103115]; Humanities and Social Science Research General Project of the Ministry of Education of China [21XJC790008]; China Postdoctoral Science Foundation [2020T130393]; Social Science Foundation of Shaanxi Province, China [2021D028]</t>
  </si>
  <si>
    <t>National Natural Science Foundation of China(National Natural Science Foundation of China (NSFC)); Humanities and Social Science Research General Project of the Ministry of Education of China; China Postdoctoral Science Foundation(China Postdoctoral Science Foundation); Social Science Foundation of Shaanxi Province, China</t>
  </si>
  <si>
    <t>Acknowledgements The work was supported by the National Natural Science Foundation of China (72103115) , the Humanities and Social Science Research General Project of the Ministry of Education of China (21XJC790008) , the China Postdoctoral Science Foundation (2020T130393) , and the Social Science Foundation of Shaanxi Province, China (2021D028) .</t>
  </si>
  <si>
    <t>2095-3119</t>
  </si>
  <si>
    <t>2352-3425</t>
  </si>
  <si>
    <t>J INTEGR AGR</t>
  </si>
  <si>
    <t>J. Integr. Agric.</t>
  </si>
  <si>
    <t>AUG</t>
  </si>
  <si>
    <t>10.1016/j.jia.2023.07.002</t>
  </si>
  <si>
    <t>AUG 2023</t>
  </si>
  <si>
    <t>U5KV9</t>
  </si>
  <si>
    <t>WOS:001085198600001</t>
  </si>
  <si>
    <t>Li, M; Xiao, HF; Pan, ZC</t>
  </si>
  <si>
    <t>Li, Ming; Xiao, Haifeng; Pan, Zichun</t>
  </si>
  <si>
    <t>Spatial correlation network structure of carbon productivity from the livestock sector in china and its driving factors: a perspective of social network analysis</t>
  </si>
  <si>
    <t>GLOBAL NEST JOURNAL</t>
  </si>
  <si>
    <t>livestock sector; carbon productivity; spatial correlation network structure; social network analysis; driving factors</t>
  </si>
  <si>
    <t>GREENHOUSE-GAS EMISSIONS; DAIRY FARMS; INTENSITY; MITIGATION; MANAGEMENT; MANURE</t>
  </si>
  <si>
    <t>Exploring the spatial correlation network structure of provincial livestock carbon productivity and its driving factors can provide new policy perspectives for realizing the synergy of regional pollution and carbon reduction. This study constructs 2006-2021 panel data models by social network analysis (SNA) to systematically quantify the spatial correlation network structure of the carbon productivity in livestock sector. Then, the quadratic assignment procedure (QAP) is further utilized to examine its driving factors. The results demonstrate that: (1) The average carbon productivity from the livestock sector in China is rising steadily. (2) The spatial correlation of carbon productivity exhibits a multi-linear network structure, with the spatial correlation network becoming increasingly complex and the connections within the network growing tighter. It has formed a spatial network structure with the eastern coast zone as the core and the north-eastern and north-western zones as the edges. (3) The spatial correlation and spatial spillover effects of carbon productivity from the livestock sector between the plates are significant. (4) The formation and evolution of the spatial correlation network of carbon productivity from the livestock sector is influenced by the urbanization level, per capita livestock income, agricultural industrial structure and livestock mechanization level.</t>
  </si>
  <si>
    <t>[Li, Ming; Xiao, Haifeng] China Agr Univ, Yantai, Peoples R China; [Pan, Zichun] Northwest A&amp;F Univ, Xianyang, Peoples R China</t>
  </si>
  <si>
    <t>China Agricultural University; Northwest A&amp;F University - China</t>
  </si>
  <si>
    <t>Xiao, HF (corresponding author), China Agr Univ, Yantai, Peoples R China.</t>
  </si>
  <si>
    <t>haifengxiao@cau.edu.cn</t>
  </si>
  <si>
    <t>Li, Ming/0000-0003-0480-1393</t>
  </si>
  <si>
    <t>Industrial Economic Research on National Fleece Sheep Industry Technology System [CARS-39-22]</t>
  </si>
  <si>
    <t>Industrial Economic Research on National Fleece Sheep Industry Technology System</t>
  </si>
  <si>
    <t>The authors are grateful to the financial support by the Industrial Economic Research on National Fleece Sheep Industry Technology System (nos. CARS-39-22) .</t>
  </si>
  <si>
    <t>GLOBAL NETWORK ENVIRONMENTAL SCIENCE &amp; TECHNOLOGY</t>
  </si>
  <si>
    <t>ATHENS</t>
  </si>
  <si>
    <t>30 VOULGAROKTONOU STR, ATHENS, GR 114 72, GREECE</t>
  </si>
  <si>
    <t>1790-7632</t>
  </si>
  <si>
    <t>GLOBAL NEST J</t>
  </si>
  <si>
    <t>Glob. Nest. J.</t>
  </si>
  <si>
    <t>10.30955/gnj.006125</t>
  </si>
  <si>
    <t>C4Y5O</t>
  </si>
  <si>
    <t>WOS:001289434300005</t>
  </si>
  <si>
    <t>De Carlo, ND; Oelbermann, M; Gordon, AM</t>
  </si>
  <si>
    <t>De Carlo, N. D.; Oelbermann, M.; Gordon, A. M.</t>
  </si>
  <si>
    <t>Carbon dioxide emissions: Spatiotemporal variation in a young and mature riparian forest</t>
  </si>
  <si>
    <t>ECOLOGICAL ENGINEERING</t>
  </si>
  <si>
    <t>Soil moisture; Carbon dynamics; Seasonality; Soil temperature; Vegetation characteristics</t>
  </si>
  <si>
    <t>GREENHOUSE-GAS EMISSIONS; WASTE-WATER TREATMENT; SOIL RESPIRATION; CONSTRUCTED WETLANDS; SPATIAL VARIABILITY; GASEOUS NITROGEN; OLD-GROWTH; LAND-USE; FLUXES; STREAM</t>
  </si>
  <si>
    <t>Forested riparian zones in agricultural landscapes provide multiple ecological services including nutrient abatement and carbon (C) sequestration. However, limited information exists on CO2 emissions from rehabilitated riparian forests, which could negate their C sequestration potential. The objective of this study was to evaluate temporal and spatial variation of CO2 emissions, and its relationship to soil and vegetation characteristics, in a 30-year old riparian zone rehabilitated with trees (RH) compared to a 150-year old undisturbed natural (UNF) riparian forest. Soil moisture, temperature, C, total nitrogen (TN) and vegetation characteristics (light intensity, distance to the nearest tree) were significantly (p &lt; 0.05) different between RH and UNF sites. Soil CO2 emissions were significantly greater (p &lt; 0.05) in the RH (27 mg CO2-C m(-2)h(-1)) than in the UNF (18 mg CO2-C m(-2)h(-1)) riparian forest. Both riparian forests exhibited strong seasonal patterns of CO2 emissions with significantly greater (p &lt; 0.05) emissions during the summer. Carbon dioxide emissions were significantly different (p &lt; 0.05) with respect to location (perpendicular and parallel) from the stream. For example, emissions were significantly different (p &lt; 0.05) among perpendicular locations in the RH site, but among parallel locations in the UNF site. Emissions of CO2 were significantly correlated (p &lt; 0.05) to soil moisture and temperature in the RH site, and significantly correlated (p &lt; 0.05) to temperature, SOC and TN content in the UNF site. Carbon dioxide emissions were not significantly correlated (p &lt; 0.05) to vegetation characteristics. We concluded that the younger RH site generated contrasting soil and vegetation characteristics that influenced spatial CO2 emissions differently compared to a mature riparian forest. However, our study also found that seasonal changes had a stronger influence on CO2 emissions than spatial variability in both riparian forests.</t>
  </si>
  <si>
    <t>[De Carlo, N. D.; Oelbermann, M.] Univ Waterloo, Sch Environm Resources &amp; Sustainabil, Waterloo, ON N2L 3G1, Canada; [Gordon, A. M.] Univ Guelph, Sch Environm Sci, Waterloo, ON N2L 3G1, Canada</t>
  </si>
  <si>
    <t>University of Waterloo; University of Guelph</t>
  </si>
  <si>
    <t>Oelbermann, M (corresponding author), Univ Waterloo, Sch Environm Resources &amp; Sustainabil, Waterloo, ON N2L 3G1, Canada.</t>
  </si>
  <si>
    <t>moelbermann@uwaterloo.ca</t>
  </si>
  <si>
    <t>Oelbermann, Maren/0000-0003-0996-4140</t>
  </si>
  <si>
    <t>Ontario Ministry of Agriculture, Food and Rural Affairs (OMAFRA)</t>
  </si>
  <si>
    <t>We thank the Ontario Ministry of Agriculture, Food and Rural Affairs (OMAFRA) for providing funding for the initial rehabilitation project at Washington Creek in 1985, Mr. Brian Tew for granting access to the rehabilitated section, and Mr. and Mrs. Guderian for Granting access to the undisturbed naturally forested riparian zone. We thank the University of Waterloo, the Natural Sciences and Engineering Research Council of Canada (NSERC) and the Canadian Foundation for Innovation (CFI) for providing research infrastructure. We also thank Professor S.D. Murphy and Professor B. Fedy for help with statistical analyses. We also thank the anonymous reviewers, the Associate Editor and the Editor-in-Chief for their insightful comments which helped improve this manuscript.</t>
  </si>
  <si>
    <t>0925-8574</t>
  </si>
  <si>
    <t>1872-6992</t>
  </si>
  <si>
    <t>ECOL ENG</t>
  </si>
  <si>
    <t>Ecol. Eng.</t>
  </si>
  <si>
    <t>10.1016/j.ecoleng.2019.07.036</t>
  </si>
  <si>
    <t>Ecology; Engineering, Environmental; Environmental Sciences</t>
  </si>
  <si>
    <t>Environmental Sciences &amp; Ecology; Engineering</t>
  </si>
  <si>
    <t>IX4MR</t>
  </si>
  <si>
    <t>WOS:000485660800039</t>
  </si>
  <si>
    <t>Robertson, F; Crawford, D; Partington, D; Oliver, I; Rees, D; Aumann, C; Armstrong, R; Perris, R; Davey, M; Moodie, M; Baldock, J</t>
  </si>
  <si>
    <t>Robertson, Fiona; Crawford, Doug; Partington, Debra; Oliver, Ivanah; Rees, David; Aumann, Colin; Armstrong, Roger; Perris, Roger; Davey, Michelle; Moodie, Michael; Baldock, Jeff</t>
  </si>
  <si>
    <t>Soil organic carbon in cropping and pasture systems of Victoria, Australia</t>
  </si>
  <si>
    <t>SOIL RESEARCH</t>
  </si>
  <si>
    <t>climate; management; soil type</t>
  </si>
  <si>
    <t>NEW-SOUTH-WALES; PARTIAL LEAST-SQUARES; CLIMATE-CHANGE; TILLAGE; MANAGEMENT; MATTER; CULTIVATION; STOCKS; QUEENSLAND; FERTILITY</t>
  </si>
  <si>
    <t>Increasing soil organic carbon (SOC) storage in agricultural soils through changes to management may help to mitigate rising greenhouse gas emissions and sustain agricultural productivity and environmental conditions. However, in order to improve assessment of the potential for increasing SOC storage in the agricultural lands of Victoria, Australia, further information is required on current SOC levels and how they are related to environmental conditions, soil properties and agricultural management. Therefore, we measured stocks of SOC at 615 sites in pasture and cropping systems in Victoria, encompassing eight regions, five soil orders and four management classes (continuous cropping, crop-pasture rotation, sheep or beef pasture, and dairy pasture), and explored relationships between the C stocks and environment, soil and management. The results showed an extremely wide range in SOC, from 2 to 239tC/ha (0-30cm). Most of this variation was attributable to climate; almost 80% of the variation in SOC stock was related to annual rainfall or vapour pressure deficit (i.e. humidity). Texture-related soil properties accounted for a small, additional amount of variation in SOC. After accounting for climate, differences in SOC between management classes were small and often not significant. Management practices such as stubble retention, minimum cultivation, perennial pasture species, rotational grazing and fertiliser inputs were not significantly related to SOC stock. The relationships between SOC and environment, soil and management were scale-dependent. Within individual regions, the apparent influence of climate and soil properties on SOC stock varied, and in some regions, much of the variation in SOC stock remained unexplained. The results suggest that, across Victoria, there is a general hierarchy of influence on SOC stock: climate&gt;soil properties&gt;management class&gt;management practices.</t>
  </si>
  <si>
    <t>[Robertson, Fiona; Partington, Debra; Oliver, Ivanah] Jobs Transport &amp; Resources, Dept Econ Dev, Private Bag 105, Hamilton, Vic 3300, Australia; [Crawford, Doug] Jobs Transport &amp; Resources, Dept Econ Dev, 1301 Hazeldean Rd, Ellinbank, Vic 3821, Australia; [Rees, David; Davey, Michelle] Jobs Transport &amp; Resources, Dept Econ Dev, 32 Lincoln Sq North, Carlton, Vic 3053, Australia; [Aumann, Colin] Jobs Transport &amp; Resources, Dept Econ Dev, 255 Ferguson Rd, Tatura, Vic 3616, Australia; [Armstrong, Roger; Perris, Roger] Jobs Transport &amp; Resources, Dept Econ Dev, 110 Natimuk Rd, Horsham, Vic 3400, Australia; [Armstrong, Roger] La Trobe Univ, Dept Agr Sci, Bundoora, Vic 3086, Australia; [Moodie, Michael] Mallee Sustainable Farming, 2-152 Pine Ave, Mildura, Vic 3500, Australia; [Baldock, Jeff] CSIRO Land &amp; Water, PMB2, Glen Osmond, SA 5064, Australia</t>
  </si>
  <si>
    <t>La Trobe University; Commonwealth Scientific &amp; Industrial Research Organisation (CSIRO); CSIRO Land &amp; Water</t>
  </si>
  <si>
    <t>Robertson, F (corresponding author), Jobs Transport &amp; Resources, Dept Econ Dev, Private Bag 105, Hamilton, Vic 3300, Australia.</t>
  </si>
  <si>
    <t>fiona.robertson@ecodev.vic.gov.au</t>
  </si>
  <si>
    <t>Partington, Debra/K-4081-2014; Baldock, Jeffrey/G-1362-2010</t>
  </si>
  <si>
    <t>Baldock, Jeffrey/0000-0002-6428-8555; Oliver, Ivanah/0000-0002-1103-245X</t>
  </si>
  <si>
    <t>Department of Environment and Primary Industries; Grains Research and Development Corporation; Australian Department of Agriculture</t>
  </si>
  <si>
    <t>Department of Environment and Primary Industries; Grains Research and Development Corporation(Grains R&amp;D Corp); Australian Department of Agriculture(Australian Government)</t>
  </si>
  <si>
    <t>The authors thank the many farmers who participated in this study. The authors also thank the collaborating groups who helped to locate the sites and collect management information: Birchip Cropping Group, Farm Services Victoria Colac Team, Mallee Sustainable Farming, Southern Farming Systems, Perennial Pasture Systems, Victorian No-Till Farmers Association, West Gippsland CMA, and WestVic Dairy. This work was funded by the Department of Environment and Primary Industries, the Grains Research and Development Corporation and the Australian Department of Agriculture.</t>
  </si>
  <si>
    <t>CSIRO PUBLISHING</t>
  </si>
  <si>
    <t>CLAYTON</t>
  </si>
  <si>
    <t>UNIPARK, BLDG 1, LEVEL 1, 195 WELLINGTON RD, LOCKED BAG 10, CLAYTON, VIC 3168, AUSTRALIA</t>
  </si>
  <si>
    <t>1838-675X</t>
  </si>
  <si>
    <t>1838-6768</t>
  </si>
  <si>
    <t>SOIL RES</t>
  </si>
  <si>
    <t>Soil Res.</t>
  </si>
  <si>
    <t>10.1071/SR15008</t>
  </si>
  <si>
    <t>DD2XJ</t>
  </si>
  <si>
    <t>WOS:000369785200007</t>
  </si>
  <si>
    <t>He, ZT</t>
  </si>
  <si>
    <t>He, Zhengtao</t>
  </si>
  <si>
    <t>Appropriate carbon emission from large-scale breeding based on a binary analysis framework of external environmental costs and resource losses</t>
  </si>
  <si>
    <t>INTERNATIONAL JOURNAL OF AGRICULTURAL SUSTAINABILITY</t>
  </si>
  <si>
    <t>Appropriate carbon emissions; binary analysis framework; scale breeding</t>
  </si>
  <si>
    <t>The emission of greenhouse gases is one of the main reasons for climate change, which comes from partially the agricultural production activities, especially livestock and poultry-scale breeding. Massive breeding of livestock and poultry can ensure the safe supply of meat, but it leads to much carbon emission. On the one hand, it is difficult to get zero carbon emissions based on today's technology level. On the other hand, the emission shouldn't be too high. Therefore, it is very necessary to determine appropriate carbon emission criteria and then to ensure the sustainable development of scale breeding farms. In this paper, after modelling resource losses, external environmental costs and carbon emissions, the binary analysis framework of resource losses and external environmental costs of scale-breeding farms was built, and then the relationship between the carbon emission and binary analysis framework was analysed in detail. Then, the criteria for determining moderate carbon emissions have been established. Research studies show that carbon emission decreases with the control of external environmental costs and resource losses. And the appropriate carbon emission can be determined when two subsystems of internal resource usage and external environment are in dynamic equilibrium.</t>
  </si>
  <si>
    <t>[He, Zhengtao] Chongqing Univ Posts &amp; Telecommun, Sch Econ &amp; Management, Chongqing 400065, Peoples R China</t>
  </si>
  <si>
    <t>Chongqing University of Posts &amp; Telecommunications</t>
  </si>
  <si>
    <t>He, ZT (corresponding author), Chongqing Univ Posts &amp; Telecommun, Sch Econ &amp; Management, Chongqing 400065, Peoples R China.</t>
  </si>
  <si>
    <t>hezt@cqupt.edu.cn</t>
  </si>
  <si>
    <t>This paper is supported by the state scholarship fund of the China Scholarship Council (201808505088), the Social Science Planning Project of Chongqing city (2016BS031), Chongqing Educational Science Planning Project (2017GX266), the Social Science Project of Chongqing University of Posts and Telecommunications (2017KZD12) and Doctoral Research Initiation Project of Chongqing University of Posts and Telecommunications (2023).</t>
  </si>
  <si>
    <t>1473-5903</t>
  </si>
  <si>
    <t>1747-762X</t>
  </si>
  <si>
    <t>INT J AGR SUSTAIN</t>
  </si>
  <si>
    <t>Int. J. Agric. Sustain.</t>
  </si>
  <si>
    <t>10.1080/14735903.2023.2275719</t>
  </si>
  <si>
    <t>Agriculture, Multidisciplinary; Green &amp; Sustainable Science &amp; Technology</t>
  </si>
  <si>
    <t>Agriculture; Science &amp; Technology - Other Topics</t>
  </si>
  <si>
    <t>J6K0F</t>
  </si>
  <si>
    <t>WOS:001338123000001</t>
  </si>
  <si>
    <t>Qi, YW; Song, B; Chai, MX; Zhu, JX; Deng, YT; Luo, XQ</t>
  </si>
  <si>
    <t>Qi, Yanwei; Song, Bo; Chai, Manxin; Zhu, Jixu; Deng, Yuting; Luo, Xiaoqing</t>
  </si>
  <si>
    <t>Research on Carbon Emission Forecasting in the Agricultural and Livestock Industry-A Case Study of Sichuan Province, China</t>
  </si>
  <si>
    <t>POLISH JOURNAL OF ENVIRONMENTAL STUDIES</t>
  </si>
  <si>
    <t>agriculture and animal husbandry; carbon emission projections; Sichuan Province; China</t>
  </si>
  <si>
    <t>GREENHOUSE-GAS EMISSIONS; SUSTAINABLE DEVELOPMENT</t>
  </si>
  <si>
    <t>China's agriculture and animal husbandry industry has entered a phase of rapid development. At the same time, the production process of agriculture and animal husbandry generates a large amount of greenhouse gas emissions. This thesis focuses on predicting carbon emissions from agriculture and animal husbandry, i.e., predicting carbon emissions in areas where cultivation and animal husbandry coexist. This thesis assumes that the future carbon emissions from agriculture and animal husbandry in Sichuan Province, China, are predictable. This thesis introduces the regression algorithm in machine learning the carbon emissions of agriculture and animal husbandry, mainly RF (Random Forest Regression Algorithm), and proposes that the combined model of carbon emissions of agriculture and animal husbandry is the FA-ACO-RF model (Factor Analysis-Ant Colony Optimization-Random Forest Regression Algorithm). Empirical evidence of carbon emission prediction in agriculture and animal husbandry was conducted in the Sichuan Province of China as an example, and the results showed that the prediction accuracy reached 99.19%. It is concluded that the FA-ACO-RF model can effectively and accurately predict carbon emissions from agriculture and animal husbandry in Sichuan Province.</t>
  </si>
  <si>
    <t>[Qi, Yanwei; Song, Bo; Chai, Manxin; Zhu, Jixu; Deng, Yuting; Luo, Xiaoqing] Guangzhou City Univ Technol, Econ Sch, Guangzhou, Peoples R China</t>
  </si>
  <si>
    <t>Qi, YW (corresponding author), Guangzhou City Univ Technol, Econ Sch, Guangzhou, Peoples R China.</t>
  </si>
  <si>
    <t>qiyanwei@gcu.edu.cn</t>
  </si>
  <si>
    <t>Luo, Xiaoqing/AAM-2176-2021</t>
  </si>
  <si>
    <t>HARD</t>
  </si>
  <si>
    <t>OLSZTYN 5</t>
  </si>
  <si>
    <t>POST-OFFICE BOX, 10-718 OLSZTYN 5, POLAND</t>
  </si>
  <si>
    <t>1230-1485</t>
  </si>
  <si>
    <t>2083-5906</t>
  </si>
  <si>
    <t>POL J ENVIRON STUD</t>
  </si>
  <si>
    <t>Pol. J. Environ. Stud.</t>
  </si>
  <si>
    <t>2025 APR 16</t>
  </si>
  <si>
    <t>10.15244/pjoes/201938</t>
  </si>
  <si>
    <t>APR 2025</t>
  </si>
  <si>
    <t>8GB8O</t>
  </si>
  <si>
    <t>WOS:001587830900001</t>
  </si>
  <si>
    <t>Shi, J; Cao, X; Chen, Z</t>
  </si>
  <si>
    <t>Shi, Jun; Cao, Xiang; Chen, Zhi</t>
  </si>
  <si>
    <t>Pathways for Integrating the Concept of Carbon Neutrality into the Talent Cultivation Process: A Case Study of Animal Production Programs in Chinese Agricultural Colleges and Universities</t>
  </si>
  <si>
    <t>carbon neutrality; talent development; animal production programs</t>
  </si>
  <si>
    <t>EMISSIONS</t>
  </si>
  <si>
    <t>The realization of carbon peak and carbon neutrality requires a comprehensive and profound transformation of economic and social systems. It is imperative not only for addressing climate change but also for the transformation and upgrading of various industries. This shift entails transitioning from high energy consumption and pollution to focusing on high-quality development, thereby facilitating the transition to a green and low-carbon economy and ultimately realizing sustainable economic and social progress. As modern agriculture evolves and agricultural modernization advances, there is substantial potential and demand for emission reduction in agricultural sectors and rural areas. Agricultural institutions of tertiary education undertake the crucial responsibility of cultivating talents capable of contributing to carbon neutrality efforts. Consequently, it is essential to integrate the concept of carbon neutrality into undergraduate education to meet the growing need for cultivating a workforce capable of achieving national carbon neutrality goals. In this study, a questionnaire is used to analyze the views and current situation of students majoring in animal production regarding the concept of carbon neutrality, and to explore how to conceptualize a knowledge system of carbon neutrality applicable to animal production programs in agricultural institutions.</t>
  </si>
  <si>
    <t>[Shi, Jun] Yangzhou Univ, Coll Environm Sci &amp; Engn, Yangzhou 225009, Peoples R China; [Cao, Xiang; Chen, Zhi] Yangzhou Univ, Coll Anim Sci &amp; Technol, Yangzhou 225009, Peoples R China</t>
  </si>
  <si>
    <t>Yangzhou University; Yangzhou University</t>
  </si>
  <si>
    <t>Chen, Z (corresponding author), Yangzhou Univ, Coll Anim Sci &amp; Technol, Yangzhou 225009, Peoples R China.</t>
  </si>
  <si>
    <t>shijun@yzu.edu.cn; mx120210843@yzu.edu.cn; zhichen@yzu.edu.cn</t>
  </si>
  <si>
    <t>Chen, Zhi/0000-0003-3924-1891; Cao, Xiang/0000-0001-7867-8303</t>
  </si>
  <si>
    <t>General Project of the China Education Development Strategy Society</t>
  </si>
  <si>
    <t>10.3390/su152316317</t>
  </si>
  <si>
    <t>AF2R4</t>
  </si>
  <si>
    <t>WOS:001116989900001</t>
  </si>
  <si>
    <t>Ballesteros-Possu, W; Brandle, JR; Schoeneberger, M</t>
  </si>
  <si>
    <t>Ballesteros-Possu, William; Brandle, James R.; Schoeneberger, Michele</t>
  </si>
  <si>
    <t>Potential of Windbreak Trees to Reduce Carbon Emissions by Agricultural Operations in the US</t>
  </si>
  <si>
    <t>FORESTS</t>
  </si>
  <si>
    <t>agroforestry; carbon storage; greenhouse gas emissions; farmstead windbreak trees; avoided emissions (or energy savings)</t>
  </si>
  <si>
    <t>CLIMATE-CHANGE; ENERGY</t>
  </si>
  <si>
    <t>Along with sequestering C in forest, trees on farms are able to contribute to greenhouse mitigation through emission avoidance mechanisms. To evaluate the magnitude of these contributions, emission avoidance contributions for field and farmstead windbreak designs in regions across the United States were estimated, along with greenhouse gas (GHG) emission budgets for corn, soybean, winter wheat, and potato operations. We looked at farming scenarios with large (600 ha), mid (300 ha), and small-size (60 ha) farms containing farmsteads built before and after 2000, and growing different cropping systems. Windbreak scenarios were assumed to be up to 5% of the crop area for field windbreaks, while emission avoidance for farmstead windbreaks were assumed to provide a 10% and 25% reduction in energy usage for space conditioning and heating, respectively. Total reduction of C equivalent (CE) emissions by windbreaks on farm systems ranged from a low of 0.9 Mg CE year(-1) for a 60-ha farm with a home built before 2000 to 39.1 Mg CE year(-1) for a 600-ha farm with a home built after 2000. By reducing fossil fuel usage from farm operations, windbreaks provide a promising strategy for reducing GHG emissions from agriculture in the USA.</t>
  </si>
  <si>
    <t>[Ballesteros-Possu, William] Univ Narino, Fac Agr Sci, San Juan De Pasto 520002, Narino, Colombia; [Brandle, James R.] Univ Nebraska, Sch Nat Resources, 3310 Holdrege St, Lincoln, NE 68583 USA; [Schoeneberger, Michele] US Forest Serv, USDA, Natl Agroforestry Ctr, East Campus UNL, Lincoln, NE 68583 USA</t>
  </si>
  <si>
    <t>University of Nebraska System; University of Nebraska Lincoln; United States Department of Agriculture (USDA); United States Forest Service</t>
  </si>
  <si>
    <t>Ballesteros-Possu, W (corresponding author), Univ Narino, Fac Agr Sci, San Juan De Pasto 520002, Narino, Colombia.</t>
  </si>
  <si>
    <t>wballesterosp@gmail.com; jbrandle1@unl.edu; mschoeneberger@fs.fed.us</t>
  </si>
  <si>
    <t>; Ballesteros-Possu, William/Y-9254-2019</t>
  </si>
  <si>
    <t>Ballesteros, William/0000-0001-6633-2460;</t>
  </si>
  <si>
    <t>Institute of International Education (IIE)-Fulbright, Colombia; University of Narifio, Colombia, U.S. Forest Service Agreement [11-JV-11330152-115]; Nebraska Agricultural Experiment Station; McIntire-Stennis Cooperative Forestry program; USDA National Institute of Food and Agriculture [230910]</t>
  </si>
  <si>
    <t>Institute of International Education (IIE)-Fulbright, Colombia; University of Narifio, Colombia, U.S. Forest Service Agreement; Nebraska Agricultural Experiment Station; McIntire-Stennis Cooperative Forestry program; USDA National Institute of Food and Agriculture(United States Department of Agriculture (USDA))</t>
  </si>
  <si>
    <t>The authors would like to acknowledge financial support through the Institute of International Education (IIE)-Fulbright, Colombia; University of Narifio, Colombia, U.S. Forest Service Agreement #11-JV-11330152-115; and the Nebraska Agricultural Experiment Station with funding from the McIntire-Stennis Cooperative Forestry program (Accession Number 230910) from the USDA National Institute of Food and Agriculture.</t>
  </si>
  <si>
    <t>1999-4907</t>
  </si>
  <si>
    <t>Forests</t>
  </si>
  <si>
    <t>10.3390/f8050138</t>
  </si>
  <si>
    <t>EY6NE</t>
  </si>
  <si>
    <t>WOS:000404099300001</t>
  </si>
  <si>
    <t>Akbolat, D; Ekinci, K; Demircan, V</t>
  </si>
  <si>
    <t>Akbolat, Davut; Ekinci, Kaman; Demircan, Vecdi</t>
  </si>
  <si>
    <t>CARBON DIOXIDE EMISSIONS DEPENDING ON INPUTS USED IN THE CULTIVATION OF SOME AGRICULTURAL PRODUCTS</t>
  </si>
  <si>
    <t>FRESENIUS ENVIRONMENTAL BULLETIN</t>
  </si>
  <si>
    <t>Carbon dioxide (CO2) emission; greenhouse gas; agriculture; energy</t>
  </si>
  <si>
    <t>ECONOMIC-ANALYSIS; ENERGY USE; MANAGEMENT; SYSTEMS</t>
  </si>
  <si>
    <t>The objective of this study is to determine the carbon dioxide (CO2) emissions due to fossil-based input usage during the cultivation of apple, rose and cherry in Isparta. To this end, data obtained previously via survey method have been used. Using the industry-based inputs of these products, chemical fertilizer and pesticide amounts used per unit area along with machinery usage times and fuel consumption amounts have been determined. The total energy equivalents of these amounts were determined, and the carbon dioxide emission equivalents to the used energy amounts have been calculated. According to the evaluation results, the total fossil-based energy consumption amounts for apple, rose and cherry cultivation have been actualized, respectively, to be 38038.8 MJ, 23660.3 MJ and 18282.7 MJ. Depending upon these consumed energy amounts, the respective determined carbon dioxide emissions were 2474.0, 1591.5 and 1222.6 kg CO(2)eq ha(-1). Depending on the usage of fossil-based energy input, the highest carbon dioxide emission was determined for apple, followed by rose and cherry. Usage of chemical fertilizers related to nitrogen consumption has dramatically affected the total carbon dioxide (CO2) emission for all three products (carbon dioxide emissions per kg apple, rose and cherry: 0.08, 0.32 and 0.16 kg CO2).</t>
  </si>
  <si>
    <t>[Akbolat, Davut; Ekinci, Kaman] Suleyman Demirel Univ, Fac Agr, Dept Agr Machinery, TR-32260 Isparta, Turkey; [Demircan, Vecdi] Suleyman Demirel Univ, Fac Agr, Dept Agr Econ, TR-32260 Isparta, Turkey</t>
  </si>
  <si>
    <t>Suleyman Demirel University; Suleyman Demirel University</t>
  </si>
  <si>
    <t>Akbolat, D (corresponding author), Suleyman Demirel Univ, Fac Agr, Dept Agr Machinery, TR-32260 Isparta, Turkey.</t>
  </si>
  <si>
    <t>davutakbolat@sdu.edu.tr</t>
  </si>
  <si>
    <t>Ekinci, Kamil/AAQ-4258-2021</t>
  </si>
  <si>
    <t>PARLAR SCIENTIFIC PUBLICATIONS (P S P)</t>
  </si>
  <si>
    <t>FREISING</t>
  </si>
  <si>
    <t>ANGERSTR. 12, 85354 FREISING, GERMANY</t>
  </si>
  <si>
    <t>1018-4619</t>
  </si>
  <si>
    <t>1610-2304</t>
  </si>
  <si>
    <t>FRESEN ENVIRON BULL</t>
  </si>
  <si>
    <t>Fresenius Environ. Bull.</t>
  </si>
  <si>
    <t>AD7LH</t>
  </si>
  <si>
    <t>WOS:000333444900020</t>
  </si>
  <si>
    <t>Bai, Y; Zhang, YF</t>
  </si>
  <si>
    <t>Bai, Yu; Zhang, Yufeng</t>
  </si>
  <si>
    <t>Carbon Emission Growth Mechanism and Trend Forecast in Baotou Based on Production-Living-Ecological Space</t>
  </si>
  <si>
    <t>Baotou; production-living-ecological space; carbon emissions; STIRPAT model; trend forecast</t>
  </si>
  <si>
    <t>Taking Baotou city as an example, we calculate carbon emissions and carbon sinks in the Production-living- ecological space from 2005 to 2021, and use the STIRPAT model and GM(1,1) model to analyse and forecast the factors influencing carbon emissions and carbon emissions in the next ten years. The results show that (1) the carbon emission reduction strategies for the production, living and ecological spaces of Baotou City were implemented from 2005 to 2011. The results show that: (1) from 2005 to 2021, the total carbon emissions in Baotou City increased by 103,643,100t, with a 3.2-fold increase in total carbon emissions and an average annual growth rate of 7.92%. Production space has the highest contribution to the total carbon emission, and the amount of carbon sink in ecological space is small compared to the total carbon emission. (2) According to the results of the STIRPAT model, the total population, GDP per capita, energy intensity, urbanization rate, the proportion of secondary industry and total carbon emissions in Baotou are synergistic, while the proportion of tertiary industry and total carbon emissions are antagonistic. (3) According to the prediction results of the GM(1,1) model, the total carbon emissions in Baotou will increase from 145,102,300 t to 207,230,500 t in the period of 2022-2031, which shows that the overall carbon emissions in Baotou are still on a growing trend, but the trend is gradually slowing down. Finally, on the basis of the previous study, carbon emission reduction suggestions such as optimising industrial structure and improving the efficiency of agricultural production inputs are put forward.</t>
  </si>
  <si>
    <t>[Bai, Yu; Zhang, Yufeng] Inner Mongolia Normal Univ, Coll Geog Sci, Hohhot 010022, Peoples R China; [Bai, Yu; Zhang, Yufeng] Inner Mongolia Land Use &amp; Remediat Engn Res Ctr, Hohhot 010022, Peoples R China</t>
  </si>
  <si>
    <t>Inner Mongolia Normal University</t>
  </si>
  <si>
    <t>Zhang, YF (corresponding author), Inner Mongolia Normal Univ, Coll Geog Sci, Hohhot 010022, Peoples R China.;Zhang, YF (corresponding author), Inner Mongolia Land Use &amp; Remediat Engn Res Ctr, Hohhot 010022, Peoples R China.</t>
  </si>
  <si>
    <t>zhangyufeng@imnu.edu.cn</t>
  </si>
  <si>
    <t>Key Project of the Inner Mongolia Autonomous Region's Philosophy and Social Science Planning, Research on the Optimization of Industrial Structure Based on Natural Resources and Conditions in Inner Mongolia [2022NDA219]</t>
  </si>
  <si>
    <t>Key Project of the Inner Mongolia Autonomous Region's Philosophy and Social Science Planning, Research on the Optimization of Industrial Structure Based on Natural Resources and Conditions in Inner Mongolia</t>
  </si>
  <si>
    <t>This research was financially supported by the Key Project of the Inner Mongolia Autonomous Region's Philosophy and Social Science Planning, Research on the Optimization of Industrial Structure Based on Natural Resources and Conditions in Inner Mongolia [2022NDA219].</t>
  </si>
  <si>
    <t>10.15244/pjoes/168263</t>
  </si>
  <si>
    <t>U7JM2</t>
  </si>
  <si>
    <t>WOS:001086532000003</t>
  </si>
  <si>
    <t>Han, MX; Hui, X; Yang, HM; Chen, YF</t>
  </si>
  <si>
    <t>Han, Mengxue; Hui, Xin; Yang, HuiMin; Chen, Yifei</t>
  </si>
  <si>
    <t>The impact of biochar addition on the carbon footprint of grain crop: A life cycle assessment of biochar management</t>
  </si>
  <si>
    <t>EUROPEAN JOURNAL OF AGRONOMY</t>
  </si>
  <si>
    <t>Biochar addition; Carbon footprint; Meta-analysis; Lifecycle calculation</t>
  </si>
  <si>
    <t>SOIL; GAS; METAANALYSIS</t>
  </si>
  <si>
    <t>In the context of global climate change, biochar application is recognized as a strategy to enhance carbon neutrality in agriculture. However, previous studies often overlook the carbon footprint associated with biochar management. This study integrates meta-analysis and life cycle assessment (LCA) to evaluate the impact of biochar addition on the carbon footprint of maize, wheat, and rice production systems, explicitly accounting for agricultural inputs, biochar management, and field processes. Our results reveal that biochar application significantly reduces N2O and CH4 emissions across all crops, with optimal suppression observed at 20-50 t ha-1 . However, CO2 emissions displayed a quadratic response, minimized at 5-10 t ha-1 . Biochar increased soil organic carbon (SOC) by 35.03 % (maize), 37.36 % (wheat), and 54.76 % (rice), and enhanced plant biomass by 15.22 %, 14.72 %, and 7.06 %, respectively. Critically, LCA demonstrated that biochar management contributes 1.37-16.30 % of the total carbon footprint, with transportation and pyrolysis dominating emissions. Balancing carbon sequestration and environmental costs, the optimal application rates were identified as 5-10 t ha-1 for maize and &lt;= 5 t ha-1 for wheat and rice. Pyrolysis temperatures of 350-450 degrees C maximized carbon benefits for maize, while 450-550 degrees C was optimal for wheat and rice. This study provides actionable guidelines for biochar deployment, emphasizing crop-specific strategies to achieve sustainable agricultural carbon mitigation.</t>
  </si>
  <si>
    <t>[Han, Mengxue; Hui, Xin] Northwest A&amp;F Univ, Coll Water Resources &amp; Architecture Engn, Yangling 712100, Shaanxi, Peoples R China; [Han, Mengxue; Yang, HuiMin; Chen, Yifei] Xinjiang Acad Agr Sci, Urumqi 830000, Xinjiang, Peoples R China</t>
  </si>
  <si>
    <t>Northwest A&amp;F University - China; Xinjiang Academy of Agricultural Sciences</t>
  </si>
  <si>
    <t>Hui, X (corresponding author), 22 Xinong Rd, Yangling 712100, Shaanxi, Peoples R China.</t>
  </si>
  <si>
    <t>xinhui@nwafu.edu.cn</t>
  </si>
  <si>
    <t>Research on Water and Fertilizer Regulation Technology and Equipment Development for Degraded Soil Environment [xjnkywdzc-2022002-2-3]</t>
  </si>
  <si>
    <t>Research on Water and Fertilizer Regulation Technology and Equipment Development for Degraded Soil Environment</t>
  </si>
  <si>
    <t>This study was supported by Research on Water and Fertilizer Regulation Technology and Equipment Development for Degraded Soil Environment (xjnkywdzc-2022002-2-3) .</t>
  </si>
  <si>
    <t>1161-0301</t>
  </si>
  <si>
    <t>1873-7331</t>
  </si>
  <si>
    <t>EUR J AGRON</t>
  </si>
  <si>
    <t>Eur. J. Agron.</t>
  </si>
  <si>
    <t>SEP</t>
  </si>
  <si>
    <t>10.1016/j.eja.2025.127776</t>
  </si>
  <si>
    <t>JUL 2025</t>
  </si>
  <si>
    <t>5ZT4B</t>
  </si>
  <si>
    <t>WOS:001548221000001</t>
  </si>
  <si>
    <t>Jiang, JD; Jiang, SH; Xu, GY; Li, J</t>
  </si>
  <si>
    <t>Jiang, Jinde; Jiang, Shuhua; Xu, Guoyin; Li, Jing</t>
  </si>
  <si>
    <t>Research on Pricing Strategy and Profit-Distribution Mechanism of Green and Low-Carbon Agricultural Products' Traceability Supply Chain</t>
  </si>
  <si>
    <t>green low-carbon agricultural products; traceable supply chain; improved Raiffa value; fuzzy comprehensive evaluation; profit-distribution mechanism</t>
  </si>
  <si>
    <t>CHINA; DIFFUSION; ECONOMY; IMPACT</t>
  </si>
  <si>
    <t>In agricultural production, chemical fertilizers and pesticides are being used in large quantities; the residues of these substances have some negative impact on the quality of agricultural products and soil, and they produce a large amount of carbon emissions. Green agricultural products are popular for their low carbon, quality, and safety, and they flow from the production side to consumers through a traceable supply chain. Therefore, ensuring the reliable and stable operation of the traceable supply chain for green, low-carbon agricultural products is an important issue. In view of the difficulty of obtaining information in previous coordination mechanisms in multi-person cooperative games, this article proposes an optimal pricing decision and constructs a profit-distribution model based on an improved Raiffa value to make the profit-distribution mechanism more conducive to the stability and sustainable development of the supply chain, and empirical analysis was carried out. The empirical analysis shows the following: (1) The centralized decision-making selling price of green and low-carbon agricultural products based on the quantitative cost-benefit analysis and demand function can realize the optimal profit of the supply chain. (2) Using the improved Raiffa value, considering the investment cost and risk to allocate the optimal profit of centralized decision-making, optimizes the profit distribution of supply chain members and overcomes the problem of the difficulty in acquiring information in multi-player cooperative games. (3) For investment costs and risks, the corresponding profit-distribution adjustment value weight vector can be obtained using the AHP; for risks that are difficult to quantify, the fuzzy comprehensive evaluation method and the risk-factor-based method can be used to determine the risk coefficient of each member of the supply chain. The optimized profit-distribution mechanism of supply chain members is more reasonable than decentralized decision-making, which has a significant reference for promoting the sustainable development of a traceable supply chain of green and low-carbon agricultural products.</t>
  </si>
  <si>
    <t>[Jiang, Jinde; Jiang, Shuhua; Xu, Guoyin] Nanjing Xiaozhuang Univ, Business Sch, Nanjing 211171, Peoples R China; [Li, Jing] Nanjing Xiaozhuang Univ, Deans Off, Nanjing 211171, Peoples R China</t>
  </si>
  <si>
    <t>Nanjing Xiaozhuang University; Nanjing Xiaozhuang University</t>
  </si>
  <si>
    <t>Jiang, SH (corresponding author), Nanjing Xiaozhuang Univ, Business Sch, Nanjing 211171, Peoples R China.</t>
  </si>
  <si>
    <t>2016003@njxzc.edu.cn; p2010024@njxzc.edu.cn; 2000117@njxzc.edu.cn</t>
  </si>
  <si>
    <t>10.3390/su16052087</t>
  </si>
  <si>
    <t>KW2I2</t>
  </si>
  <si>
    <t>WOS:001182929700001</t>
  </si>
  <si>
    <t>Zuo, QT; Li, QW; Yang, L; Jing, R; Ma, JX; Yu, L</t>
  </si>
  <si>
    <t>Zuo, Qiting; Li, Qianwen; Yang, Lan; Jing, Rui; Ma, Junxia; Yu, Lei</t>
  </si>
  <si>
    <t>Incorporating carbon sequestration toward a water-energy-food-carbon with uncertainties</t>
  </si>
  <si>
    <t>ISCIENCE</t>
  </si>
  <si>
    <t>NEXUS; SUSTAINABILITY; AGRICULTURE; EMISSIONS; MODEL</t>
  </si>
  <si>
    <t>Water-energy-food nexus (WEFN) is the core content in the United Nations 2030 Agenda for Sustainable Development. However, the value of soil and crops' carbon sink function has not yet been fully considered in the managment practices of WEFN system. Here, we developed a water-energy-food-carbon nexus (WEFCN) planning framework that incorporates carbon sequestration and multiple mathematical optimi-zation methods into the practical WEFN management for Henan Province, which is one of major grain -pro-ducing areas in China. Uncertainties from multiple objectives, scenarios, and different stakeholder inter-ests are captured. We found that wheat has the largest carbon sequestration, followed by corn and oil-bearing crops, while other crops have implicit carbon sequestration. Since chemical fertilizer produces the most carbon emissions, the usage of chemical fertilizer needs to be reasonably controlled. Overall, the proposed framework supports optimal decision-making for regional-scale WEFCN management and further unlocks the hidden value of agricultural carbon mitigation.</t>
  </si>
  <si>
    <t>[Zuo, Qiting; Li, Qianwen; Yang, Lan; Ma, Junxia; Yu, Lei] Zhengzhou Univ, Sch Water Conservancy &amp; Transportat, Zhengzhou 450001, Peoples R China; [Zuo, Qiting; Yu, Lei] Zhengzhou Univ, Yellow River Inst Ecol Protect &amp; Reg Coordinat Dev, Zhengzhou 450001, Peoples R China; [Yang, Lan] Fudan Univ, Fudan Tyndall Ctr, Shanghai 200438, Peoples R China; [Yang, Lan] Fudan Univ, Dept Environm Sci &amp; Engn, Shanghai Key Lab Atmospher Particle Pollut &amp; Preve, Shanghai 200438, Peoples R China; [Jing, Rui] Xiamen Univ, Coll Energy, Xiamen 361005, Peoples R China</t>
  </si>
  <si>
    <t>Zhengzhou University; Zhengzhou University; Fudan University; Fudan University; Xiamen University</t>
  </si>
  <si>
    <t>Yu, L (corresponding author), Zhengzhou Univ, Sch Water Conservancy &amp; Transportat, Zhengzhou 450001, Peoples R China.;Yu, L (corresponding author), Zhengzhou Univ, Yellow River Inst Ecol Protect &amp; Reg Coordinat Dev, Zhengzhou 450001, Peoples R China.</t>
  </si>
  <si>
    <t>yulei2018@zzu.edu.cn</t>
  </si>
  <si>
    <t>Jing, Rui/AAE-5511-2019; Zuo, Qiting/B-3022-2017</t>
  </si>
  <si>
    <t>National Natural Science Foundation of China [52279027, 51909239]; National Key Research and Development Program of China [2021YFC3200201]; Major Science and Technology Projects for Public Welfare of Henan Province [201300311500]</t>
  </si>
  <si>
    <t>National Natural Science Foundation of China(National Natural Science Foundation of China (NSFC)); National Key Research and Development Program of China(National Key Research &amp; Development Program of China); Major Science and Technology Projects for Public Welfare of Henan Province</t>
  </si>
  <si>
    <t>ACKNOWLEDGMENTS This research was supported by the National Natural Science Foundation of China (52279027, 51909239) , the National Key Research and Development Program of China (2021YFC3200201) , and the Major Science and Technology Projects for Public Welfare of Henan Province (201300311500) . The authors are grateful to the editors and anonymous reviewers for their insightful comments and suggestions and also very grateful to Ruifeng Yang, Yurui Fan, Rongqin Zhao, and Mo Li for their great contributions and suggestions in improving the quality of the manuscript.</t>
  </si>
  <si>
    <t>CELL PRESS</t>
  </si>
  <si>
    <t>CAMBRIDGE</t>
  </si>
  <si>
    <t>50 HAMPSHIRE ST, FLOOR 5, CAMBRIDGE, MA 02139 USA</t>
  </si>
  <si>
    <t>2589-0042</t>
  </si>
  <si>
    <t>iScience</t>
  </si>
  <si>
    <t>10.1016/j.isci.2023.107669</t>
  </si>
  <si>
    <t>SEP 2023</t>
  </si>
  <si>
    <t>S4YT8</t>
  </si>
  <si>
    <t>WOS:001071246500001</t>
  </si>
  <si>
    <t>Hu, YL; Tan, JY; Zhang, N; Liu, CJ</t>
  </si>
  <si>
    <t>Hu, Yuling; Tan, Junyin; Zhang, Na; Liu, Chengjie</t>
  </si>
  <si>
    <t>Effect of agricultural carbon emissions on farmers' health expenditure of China: evidence from the educational threshold effect</t>
  </si>
  <si>
    <t>Agricultural carbon emissions (ACE); Rural residents' healthcare expenditures (NHCE); Years of schooling (EDU); Bayesian quantile regression (BQR); The panel threshold model</t>
  </si>
  <si>
    <t>ECONOMIC-GROWTH; AIR-POLLUTION; CO2 EMISSIONS; FUTURE; IMPACT</t>
  </si>
  <si>
    <t>Environmental pollution, especially agricultural carbon emissions (ACE), has led to public health problems to rural areas in China and accompanied by a heavy medical economic burden. However, most studies on carbon dioxide emissions and healthcare expenditures focused on the industrial sector, and the effect of ACE was overlooked. Therefore, studying the effect of ACE on rural residents' healthcare expenditures (NHCE) is not only conducive to accelerating the low-carbon transformation of agriculture but also has important implications for reducing healthcare expenditures. In addition, the effect of ACE on NHCE in different areas might be complex and nonlinear due to differences in years of schooling (EDU) leading to different awareness of environmental protection and health among farmers. Therefore, this paper used the Bayesian quantile regression (BQR) model and the panel threshold model to explore the effect of ACE on NHCE in different areas, based on the panel data of 31 provinces in China from 2007 to 2019. The results showed that ACE and NHCE experienced similar spatial distribution from 2007 to 2019. The BQR estimation results found that ACE had a significant positive effect on NHCE at different quantile levels during the sample period, public health concern, and thereby increasing the medical and economic burden of rural households. Meanwhile, ACE had a positive effect on NHCE with a significant single threshold effect from EDU. Specifically, farmers gradually realize the harm of environmental pollution to health with the continuous improvement of education level, and then ACE aggravated the improvement of NHCE after exceeding the threshold. EDU was more essential for farmers in contiguous poverty (CP) areas than in relatively developed (RD) areas and played an important role between ACE and NHCE. Furthermore, demographic structure, economic development, and public services were also positive driving factors for NHCE. The results of analysis provide a valuable reference for understanding the factors influencing NHCE and enable formulation of ACE emission reduction policies according to local conditions.</t>
  </si>
  <si>
    <t>[Hu, Yuling; Tan, Junyin] Lanzhou Univ, Sch Econ, Lanzhou 730000, Peoples R China; [Zhang, Na; Liu, Chengjie] Chongqing Technol &amp; Business Univ, Res Ctr Econ Upper Reaches Yangtze River, Chongqing 400067, Peoples R China</t>
  </si>
  <si>
    <t>Lanzhou University; Chongqing Technology &amp; Business University</t>
  </si>
  <si>
    <t>Hu, YL (corresponding author), Lanzhou Univ, Sch Econ, Lanzhou 730000, Peoples R China.</t>
  </si>
  <si>
    <t>hyl7325@163.com</t>
  </si>
  <si>
    <t>Program of the National Social Science Fund of China [21ZD153]; Research team on agricultural modernization and industrial innovation and development [CJSYTD201710]</t>
  </si>
  <si>
    <t>Program of the National Social Science Fund of China; Research team on agricultural modernization and industrial innovation and development</t>
  </si>
  <si>
    <t>This work was supported by the Program of the National Social Science Fund of China (grant/award no. 21&amp;ZD153) and Research team on agricultural modernization and industrial innovation and development (grant/award no. CJSYTD201710).</t>
  </si>
  <si>
    <t>OCT</t>
  </si>
  <si>
    <t>10.1007/s11356-023-29559-6</t>
  </si>
  <si>
    <t>X0ZH8</t>
  </si>
  <si>
    <t>WOS:001062761800006</t>
  </si>
  <si>
    <t>Ren, YY; Ding, ZM; Liu, JX</t>
  </si>
  <si>
    <t>Ren, Yayun; Ding, Zhongmin; Liu, Junxia</t>
  </si>
  <si>
    <t>How green finance boosts carbon efficiency in agriculture: a quasi-experiment from China</t>
  </si>
  <si>
    <t>Green finance; Agricultural carbon total factor productivity; Difference-in-differences model; Spatial Durbin model</t>
  </si>
  <si>
    <t>TOTAL FACTOR PRODUCTIVITY; LAND-USE; GROWTH</t>
  </si>
  <si>
    <t>PurposeThe research objective of this paper is to investigate the direct and indirect impacts of green finance on agricultural carbon total factor productivity (ACTFP) within the framework of the carbon peaking and carbon neutrality (dual carbon) goals, while also identifying the driving factors through an exponential decomposition of ACTFP, aiming to provide policy recommendations to enhance financial support for low-carbon agricultural development.Design/methodology/approachIn this paper, the Global Malmquist Luenberger (GML) Index method was employed to analyze and decompose the ACTFP, while the direct and spillover effects of China's green finance pilot policy (GFPP) on ACTFP were assessed using the difference-in-differences (DID) method and the spatial differences-in-differences (SDID) method, respectively.FindingsAfter the implementation of the GFPP, the ACTFP in the pilot area has experienced significant improvement, with the enhancement of technical efficiency serving as the main driving force. In addition, the GFPP exhibits a positive low-carbon spatial spillover effect, indicating it benefits ACTFP in both the pilot and adjacent areas.Originality/valueWithin the framework of the dual carbon goals, the paper highlights agriculture as a significant carbon emitter. ACTFP is assessed by considering the agricultural carbon emission factor as the sole non-desired output, and the impact of the GFPP on ACTFP is investigated through the DID method, thereby providing substantial validation of the hypotheses inferred from the mathematical model. Subsequently, the spillover effects of GFPP on ACTFP are analyzed in conjunction with the spatial econometric model.</t>
  </si>
  <si>
    <t>[Ren, Yayun] Guizhou Univ Finance &amp; Econ, Sch Econ, Guiyang, Peoples R China; [Ding, Zhongmin; Liu, Junxia] Southwest Univ, Chongqiang, Peoples R China</t>
  </si>
  <si>
    <t>Guizhou University of Finance &amp; Economics; Southwest University - China</t>
  </si>
  <si>
    <t>Liu, JX (corresponding author), Southwest Univ, Chongqiang, Peoples R China.</t>
  </si>
  <si>
    <t>18323159571@163.com</t>
  </si>
  <si>
    <t>Ren, Yayun/KHD-0116-2024</t>
  </si>
  <si>
    <t>Ren, Yayun/0000-0001-8630-7262</t>
  </si>
  <si>
    <t>Guizhou Provincial Philosophy and Social Science Planning Youth Project [23GZQN21]; Open Fund of Sichuan Province Cyclic Economy Research Center [XHJJ-2302]</t>
  </si>
  <si>
    <t>Guizhou Provincial Philosophy and Social Science Planning Youth Project; Open Fund of Sichuan Province Cyclic Economy Research Center</t>
  </si>
  <si>
    <t>The authors thank anonymous referees for their helpful comments. Yayun Ren thanks the Guizhou Provincial Philosophy and Social Science Planning Youth Project (23GZQN21) and the Open Fund of Sichuan Province Cyclic Economy Research Center (No. XHJJ-2302) for financial support for this research.</t>
  </si>
  <si>
    <t>MAY 21</t>
  </si>
  <si>
    <t>10.1108/CAER-08-2023-0228</t>
  </si>
  <si>
    <t>APR 2024</t>
  </si>
  <si>
    <t>RF4N5</t>
  </si>
  <si>
    <t>WOS:001196295800001</t>
  </si>
  <si>
    <t>Sang, XC; Luo, XF; Razzaq, A; Huang, YZ; Erfanian, S</t>
  </si>
  <si>
    <t>Sang, Xiance; Luo, Xiaofeng; Razzaq, Amar; Huang, Yanzhong; Erfanian, Sahar</t>
  </si>
  <si>
    <t>Can agricultural mechanization services narrow the income gap in rural China?</t>
  </si>
  <si>
    <t>HELIYON</t>
  </si>
  <si>
    <t>Agricultural mechanization services; Rural household income; Income gap; Recentered influence function; China</t>
  </si>
  <si>
    <t>PRODUCTIVITY</t>
  </si>
  <si>
    <t>This paper examines the impact of agricultural mechanization services (AMS) on rural household income and income gap, utilizing the recentered influence function regression method and publicly available data collected through the China Labor-force Dynamics Survey. The results of this study shed light on various impacts of AMS. First, agricultural mechanization services can significantly increase rural household income, but there is heterogeneity in the impact on rural household income in different quantiles. The effect of income growth on medium-income and low-income groups is greater. Second, agricultural mechanization services help to narrow the income gap between rural households and alleviate income inequality in rural areas. Third, the effect of agricultural mechanization services on reducing the income gap between rural house-holds in the eastern and western regions is significantly stronger than that in the central region. Finally, further analysis based on income source structure reveals that agricultural mechanization services can significantly reduce the non-agricultural income gap of rural households, but the impact on the agricultural income gap is negligible. Our findings highlight the importance of government's efforts in promoting the development of agricultural mechanization service market in order to improve the income inequality in rural areas.</t>
  </si>
  <si>
    <t>[Sang, Xiance; Luo, Xiaofeng] Huazhong Agr Univ, Coll Econ &amp; Management, Wuhan, Peoples R China; [Razzaq, Amar; Erfanian, Sahar] Huanggang Normal Univ, Business Sch, Huanggang, Peoples R China; [Huang, Yanzhong] Wuhan Inst Technol Univ, Coll Law &amp; Business, Wuhan, Peoples R China</t>
  </si>
  <si>
    <t>Huazhong Agricultural University; Huanggang Normal University</t>
  </si>
  <si>
    <t>Luo, XF (corresponding author), Huazhong Agr Univ, Coll Econ &amp; Management, Wuhan, Peoples R China.;Razzaq, A (corresponding author), Huanggang Normal Univ, Business Sch, Huanggang, Peoples R China.</t>
  </si>
  <si>
    <t>luoxiaofeng@mail.hzau.edu.cn; amar.razzaq@hotmail.com</t>
  </si>
  <si>
    <t>, sahar/KIK-3832-2024; Erfanian, sahar/KIK-3832-2024; Huang, Yanzhong/HDO-8396-2022; Sang, Xiance/KEH-0142-2024; Luo, Xiaofeng/JQJ-1641-2023; Razzaq, Amar/L-1471-2019</t>
  </si>
  <si>
    <t>, sahar/0009-0004-8972-4650; Sang, Xiance/0000-0002-4558-018X; Razzaq, Amar/0000-0002-8858-2417; , Qing Zhang/0000-0002-0117-1704;</t>
  </si>
  <si>
    <t>National Natural Science Foundation of China [72073048]; Key Program of the National Social Science Foundation of China [20AZD091]</t>
  </si>
  <si>
    <t>National Natural Science Foundation of China(National Natural Science Foundation of China (NSFC)); Key Program of the National Social Science Foundation of China(National Office of Philosophy and Social Sciences)</t>
  </si>
  <si>
    <t>Funding Xiaofeng Luo was supported by National Natural Science Foundation of China [72073048] , Key Program of the National Social Science Foundation of China [20AZD091] .</t>
  </si>
  <si>
    <t>2405-8440</t>
  </si>
  <si>
    <t>Heliyon</t>
  </si>
  <si>
    <t>e13367</t>
  </si>
  <si>
    <t>10.1016/j.heliyon.2023.e13367</t>
  </si>
  <si>
    <t>D4LL8</t>
  </si>
  <si>
    <t>WOS:000968462200001</t>
  </si>
  <si>
    <t>Yang, Y; Yao, GX</t>
  </si>
  <si>
    <t>Yang, Yang; Yao, Guanxin</t>
  </si>
  <si>
    <t>Research on information collaboration strategy of fresh agricultural products supply chain under carbon cap-and-trade</t>
  </si>
  <si>
    <t>RAIRO-OPERATIONS RESEARCH</t>
  </si>
  <si>
    <t>Carbon cap-and-trade policy; fresh agricultural products supply chain; information collaboration; tripartite evolutionary game; system dynamics</t>
  </si>
  <si>
    <t>DECISION-SUPPORT; COORDINATION; MANAGEMENT; MODEL</t>
  </si>
  <si>
    <t>The information coordination of fresh agricultural products supply chain is conducive to improving the overall efficiency and competitiveness of the supply chain, and reducing carbon emissions. Under the carbon cap-and-trade policy, this paper constructed an evolutionary game model of supply chain information collaboration involving a fresh agricultural products supplier, a cold chain logistics service provider and a fresh agricultural products retailer, explored the selection of information collaboration strategies of each subject, and simulated it with system dynamics. The results show that: The stability strategy of the game system is related to the initial willingness of each subject. When any two parties participate in information collaboration, the other party will also choose to participate in collaboration. In addition, the choice of information collaboration strategy of the subject is also related to the collaborative planning ability, collaborative strategy formulation ability, consumers' preference, the initial cost of each subject, revenue sharing and cost sharing mechanism, government subsidies, government regulation and carbon cap-and-trade policy. It is worth noting that the collaborative planning capability is more conducive to promoting the subject to choose information collaborative strategy than the collaborative strategy formulation capability; the carbon trading price has a greater impact on the subject's participation in collaboration, while the total amount of carbon quota has no impact on the choice of the subject's information collaboration strategy. Furthermore, based on the research results, the corresponding management suggestions are put forward from the two aspects of the government and the participants.</t>
  </si>
  <si>
    <t>[Yang, Yang] Jiangsu Univ, China Agr Equipment Ind Dev Res Inst, Zhenjiang 212013, Peoples R China; [Yao, Guanxin] Yangzhou Univ, Jiangsu Modern Logist Res Base, Yangzhou 225000, Peoples R China</t>
  </si>
  <si>
    <t>Jiangsu University; Yangzhou University</t>
  </si>
  <si>
    <t>Yao, GX (corresponding author), Yangzhou Univ, Jiangsu Modern Logist Res Base, Yangzhou 225000, Peoples R China.</t>
  </si>
  <si>
    <t>yangyyy1202@163.com</t>
  </si>
  <si>
    <t>National Natural Science Foundation of Chinahttp://dx.doi.org/10.13039/501100001809</t>
  </si>
  <si>
    <t>EDP SCIENCES S A</t>
  </si>
  <si>
    <t>LES ULIS CEDEX A</t>
  </si>
  <si>
    <t>17, AVE DU HOGGAR, PA COURTABOEUF, BP 112, F-91944 LES ULIS CEDEX A, FRANCE</t>
  </si>
  <si>
    <t>0399-0559</t>
  </si>
  <si>
    <t>2804-7303</t>
  </si>
  <si>
    <t>RAIRO-OPER RES</t>
  </si>
  <si>
    <t>Rairo-Oper. Res.</t>
  </si>
  <si>
    <t>FEB 8</t>
  </si>
  <si>
    <t>10.1051/ro/2023155</t>
  </si>
  <si>
    <t>Operations Research &amp; Management Science</t>
  </si>
  <si>
    <t>HD4X7</t>
  </si>
  <si>
    <t>WOS:001157553900001</t>
  </si>
  <si>
    <t>Yu, YG; Li, Q; Bao, YZ; Fu, ES; Chen, YT; Ni, TH</t>
  </si>
  <si>
    <t>Yu, Yaguai; Li, Qiong; Bao, Yinzi; Fu, Ersheng; Chen, Yiting; Ni, Taohan</t>
  </si>
  <si>
    <t>Research on the Measurement and Influencing Factors of Carbon Emissions in the Swine Industry from the Perspective of the Industry Chain</t>
  </si>
  <si>
    <t>swine industry; carbon emissions; decomposition of influencing factors; life cycle assessment; LMDI decomposition model; industry chain</t>
  </si>
  <si>
    <t>FARM SURVEY; FOOTPRINT; CHINA; SYSTEM</t>
  </si>
  <si>
    <t>From the perspective of the industry chain, this paper uses the life cycle assessment (LCA) method to divide the swine industry into six production stages: feed crop cultivation, feed crop transportation and processing, intestinal fermentation, manure management, energy consumption in pig farming, and slaughtering and processing. Using the LCA method, the carbon emissions from the swine industry are measured from 2001 to 2020 for the whole country and 31 provincial regions. Based on the measurement results, this paper analyzes the dynamic evolution of carbon emissions from the national swine industry during the study period. Meanwhile, the spatial divergence in carbon emissions from the swine industry and the share of carbon emissions from each production stage were further analyzed by combining different provincial regions and production stages. Afterward, this paper uses the Logarithmic Mean Divisia Index (LMDI) model to decompose the influencing factors of carbon emissions at the national and provincial levels, and in each production stage. It is found that (1) The dynamic evolution of China's swine industry carbon emissions from 2001 to 2020 roughly follows a trend of slow growth-sharp decline-fluctuating rise-fluctuating decline. The fluctuations are influenced by multiple factors, including the industry structure, agricultural policy, and farming scale. The primary driver for the increase in carbon emissions from the swine industry is the growth in demand for pork consumption, leading to the rise in swine supply. (2) In terms of spatial divergence at the provincial level, the regional differences in carbon emissions from the swine industry are significant, the total carbon emissions and unit carbon emissions of Jiangsu, Anhui, and Henan are higher than the national average. (3) In the production stages of the swine industry, feed crop cultivation and manure management are the primary sources of carbon emissions, associated with factors such as substantial feed consumption, crop production patterns, and backward manure management practices. (4) Regarding influencing factors, production efficiency, industry structure, and urbanization level have inhibiting effects on carbon emissions in the swine industry. Economic development and population scale have promoting effects. Production efficiency is the most significant inhibiting factor, and economic development is the most significant promoting factor. Finally, suggestions are made to curb carbon emissions in China's swine industry, including strengthening environmental control, formulating long-term plans for carbon emission reduction, delineating key areas and demonstration bases for carbon emission reduction, enhancing expertise in fertilizer application and manure treatment, and improving agricultural machinery and equipment.</t>
  </si>
  <si>
    <t>[Yu, Yaguai; Li, Qiong; Bao, Yinzi; Fu, Ersheng; Chen, Yiting] Ningbo Univ, Business Sch, Ningbo 315211, Peoples R China; [Yu, Yaguai] Ningbo Univ, Donghai Acad, Ningbo 315211, Peoples R China; [Ni, Taohan] Univ Nottingham, Business Sch, Ningbo 315199, Peoples R China</t>
  </si>
  <si>
    <t>Ningbo University; Ningbo University; University of Nottingham Ningbo China</t>
  </si>
  <si>
    <t>Li, Q (corresponding author), Ningbo Univ, Business Sch, Ningbo 315211, Peoples R China.</t>
  </si>
  <si>
    <t>yuyaguai@nbu.edu.cn; liqiong971026@126.com; baoyinzi00@sina.cn; 18868530403@163.com; chenyiting202210@126.com; lexnee2004@126.com</t>
  </si>
  <si>
    <t>Advanced Humanities and Social Sciences Cultivation Project in Ningbo University in 2022 (Pro-phase Project of Cultivation)</t>
  </si>
  <si>
    <t>10.3390/su16052199</t>
  </si>
  <si>
    <t>KW4J9</t>
  </si>
  <si>
    <t>WOS:001182983700001</t>
  </si>
  <si>
    <t>Vázquez-Rowe, I; Kahhat, R; Santillán-Saldívar, J; Quispe, I; Bentín, M</t>
  </si>
  <si>
    <t>Vazquez-Rowe, Ian; Kahhat, Ramzy; Santillan-Saldivar, Jair; Quispe, Isabel; Bentin, Miguel</t>
  </si>
  <si>
    <t>Carbon footprint of pomegranate (Punica granatum) cultivation in a hyper-arid region in coastal Peru</t>
  </si>
  <si>
    <t>INTERNATIONAL JOURNAL OF LIFE CYCLE ASSESSMENT</t>
  </si>
  <si>
    <t>Carbon footprint; GHG emissions; Horticultural products; Land use changes; Life cycle assessment; Pomegranate</t>
  </si>
  <si>
    <t>LAND-USE CHANGES; EMISSIONS; FOOD; BIOFUELS; CLIMATE; TRADE; PEEL</t>
  </si>
  <si>
    <t>Purpose The cultivation of pomegranate worldwide has increased sharply in the past few years, mainly due to the growing perception that this fruit has numerous medical benefits. Despite the proliferation of studies delving into the properties of pomegranate from a medical and dietary perspective, its analysis from an environmental perspective has yet to be carried out in depth. Hence, the present study aims at understanding the life cycle environmental impacts in terms of greenhouse gas (GHG) emissions derived from the cultivation, processing and distribution abroad of fresh pomegranate grown at an innovative farm in a hyper-arid area in the region of Ica (Peru). Methods The international standards for life cycle methodologies were considered in order to obtain the overall carbon footprint (CFP) of fresh pomegranate cultivation, processing and distribution. Data acquisition was performed at the cultivation site and supported by the ecoinvent (R) database, whereas GHG emissions were modelled using the IPCC 2007 method. In addition, biogenic carbon sequestration was included in the assessment, using two distinct models, a first one to model the aerial carbon sequestered by the pomegranate trees and a second, using the IPCC Soil Carbon Tool for soil storage. Results and discussion Annual results show that on-site GHG emissions can be mitigated to a great extent in the first years of production thanks to biogenic carbon sequestration. However, through time, this tendency is reverted, and in years of maximum pomegranate productivity, GHG emissions are estimated to outweigh those linked to sequestration, despite the relevant minimization of emissions when using innovative irrigation schemes as compared to the conventional flood irrigation in the region. Conclusions Despite the threat in terms of water depletion and security, the expansion of Peru's agricultural frontier in hyper-arid areas appears to be a feasible strategy for carbon fixation, although current agricultural practices, such as the use of machinery or electricity, need to be optimized to make positive the carbon balance.</t>
  </si>
  <si>
    <t>[Vazquez-Rowe, Ian; Kahhat, Ramzy; Santillan-Saldivar, Jair; Quispe, Isabel] Pontificia Univ Catolica Peru, Peruvian LCA Network, Dept Engn, 1801 Ave Univ, Lima 32, Peru; [Vazquez-Rowe, Ian] Univ Santiago de Compostela, Inst Technol, Dept Chem Engn, Santiago De Compostela 15782, Galicia, Spain; [Quispe, Isabel] Univ La Frontera, Dept Chem Sci &amp; Nat Resources, Ave Francisco Salazar, Temuco 01145, Chile; [Bentin, Miguel] Agroinvers Valle Pampa, Av Mariscal La Mar 662 Oficina 203, Lima 18, Peru</t>
  </si>
  <si>
    <t>Pontificia Universidad Catolica del Peru; Universidade de Santiago de Compostela; Universidad de La Frontera</t>
  </si>
  <si>
    <t>Vázquez-Rowe, I (corresponding author), Pontificia Univ Catolica Peru, Peruvian LCA Network, Dept Engn, 1801 Ave Univ, Lima 32, Peru.;Vázquez-Rowe, I (corresponding author), Univ Santiago de Compostela, Inst Technol, Dept Chem Engn, Santiago De Compostela 15782, Galicia, Spain.</t>
  </si>
  <si>
    <t>ian.vasquez@pucp.pe</t>
  </si>
  <si>
    <t>; Kahhat, Ramzy/ADY-9898-2022; Vázquez-Rowe, Ian/JRY-6839-2023</t>
  </si>
  <si>
    <t>Kahhat, Ramzy/0000-0001-7321-2256; Santillán Saldivar, Jair/0000-0003-0624-1035; Vázquez-Rowe, Ian/0000-0002-7469-2033; QUISPE, ISABEL/0000-0003-1856-769X</t>
  </si>
  <si>
    <t>Galician Government</t>
  </si>
  <si>
    <t>The authors would like to thank Minela Chavarri and Juan Pablo Bentin for valuable scientific exchange, as well as SwissContact for valuable scientific support. In addition, the authors express their gratitude to the reviewers for their thoughtful and valuable comments. Authors with affiliation to the University of Santiago de Compostela (Spain) belong to the Galician Competitive Research Group GRC 2013-032. Dr. Ian Vazquez-Rowe wishes to thank the Galician Government for financial support (I2C Postdoctoral Student Grants Programme).</t>
  </si>
  <si>
    <t>0948-3349</t>
  </si>
  <si>
    <t>1614-7502</t>
  </si>
  <si>
    <t>INT J LIFE CYCLE ASS</t>
  </si>
  <si>
    <t>Int. J. Life Cycle Assess.</t>
  </si>
  <si>
    <t>10.1007/s11367-016-1046-4</t>
  </si>
  <si>
    <t>ER4LL</t>
  </si>
  <si>
    <t>WOS:000398771100013</t>
  </si>
  <si>
    <t>Gagana, M; Krushna, BRR; Sharma, SC; Ray, S; Sivayogana, R; Protyusha, GB; Murugan, K; Raj, D; Manjunatha, K; Wu, SY; Arunakumar, R; Narasimhamurthy, KN; Nagabhushana, H</t>
  </si>
  <si>
    <t>Gagana, M.; Krushna, B. R. Radha; Sharma, S. C.; Ray, Subhashree; Sivayogana, R.; Protyusha, G. B.; Murugan, K.; Raj, Deepti; Manjunatha, K.; Wu, Sheng Yun; Arunakumar, R.; Narasimhamurthy, K. N.; Nagabhushana, H.</t>
  </si>
  <si>
    <t>Biomass derived carbon dots integrated Sr2Ga2GeO7:Eu3+composites for dual applications in tetracycline detection and smart agricultural lighting</t>
  </si>
  <si>
    <t>MATERIALS RESEARCH BULLETIN</t>
  </si>
  <si>
    <t>Green synthesis; Tetracycline detection; Antenna effect; Plant growth LED</t>
  </si>
  <si>
    <t>This research presents the development of a multifunctional composites synthesized through a green approach. Carbon dots (CDs) were derived from Zingiber officinale extract, while Sr2Ga2GeO7 :Eu3+ (SGGO:Eu3+) phosphors were prepared via combustion synthesis using Aloe vera (A.V.) gel as a natural fuel. The integration of CDs with SGGO:Eu3+ formed a hybrid composite material, whose successful formation is confirmed using XRD, SEM, TEM, Raman, and FTIR analyses. Optical investigations revealed efficient Forster Resonance Energy Transfer (FRET) from CDs to Eu3+ ions, resulting in enhanced photoluminescence (PL). The composites displayed dual emissions arising from both CDs and Eu3+ ions, making it suitable as a Ratiometric fluorescent probe for detecting tetracycline (TC). The sensing process is attributed to a static quenching of CD emission via the inner filter effect (IFE), coupled with Eu3+ luminescence enhancement facilitated by the antenna effect upon interaction with TC. The probe demonstrated high specificity and sensitivity, achieving a low detection limit of 4.55 nM with a linear response range from 0 to 80 mu M. Real-sample analyses in milk and honey demonstrated recovery rates between 97% and 117.4%, with relative standard deviations (RSD) under 2.06%, validating its practical reliability. Furthermore, the dual-emission behaviour (blue and red) was utilized to construct a plant growth LEDs (LED-1, LED- 2, LED-3) using a 395 nm UV chip. Among the fabricated devices, LED-2 based on CDs (5 wt%)@SGGO: Eu3+ (4 mol%) exhibited a balanced emission spectrum that effectively supported tomato seedling growth by enhancing both photosynthetic efficiency and morphological traits. This study offers a sustainable strategy for creating dual-purpose materials applicable in both environmental sensing and intelligent agricultural lighting systems.</t>
  </si>
  <si>
    <t>[Gagana, M.; Krushna, B. R. Radha; Nagabhushana, H.] Tumkur Univ, Prof CNR Rao Ctr Adv Mat, Tumkur 572103, India; [Sharma, S. C.] Jain Univ, Law &amp; Forensic Mat, Bangalore 562112, India; [Ray, Subhashree] SOA Univ, IMS &amp; SUM Hosp, Dept Biochem, Bhubaneswar, Odissa, India; [Sivayogana, R.] Meenakshi Med Coll Hosp &amp; Res Inst, Meenakshi Acad Higher Educ &amp; Res, Dept Dermatol, Chennai 600078, India; [Protyusha, G. B.] Meenakshi Med Coll Hosp &amp; Res Inst, Dept Oral &amp; Maxillofacial Pathol &amp; Oral Microbiol, Meenakshi Acad Higher Educ &amp; Res, Chennai 600078, India; [Murugan, K.] Sri Balaji Vidyapeeth, Shri Sathya Sai Med Coll &amp; Res Inst, Dept Biochem, Chennai Campus, Chennai 603132, Tamil Nadu, India; [Raj, Deepti] Sri Venkateshwara Coll Engn, Dept Elect &amp; Commun Engn, Bengaluru 562157, India; [Manjunatha, K.; Wu, Sheng Yun] Natl Dong Hwa Univ, Dept Phys, Hualien 97401, Taiwan; [Arunakumar, R.] Tumkur Univ, Univ Coll Sci, Dept Phys, Tumkur 572103, India; [Narasimhamurthy, K. N.] Govt First Grade Coll, Dept Phys, Tiptur 572201, India</t>
  </si>
  <si>
    <t>Tumkur University; Jain University; Siksha 'O' Anusandhan University; Meenakshi Academy of Higher Education &amp; Research (MAHER); Meenakshi Medical College Hospital &amp; Research Institute; Meenakshi Academy of Higher Education &amp; Research (MAHER); Meenakshi Medical College Hospital &amp; Research Institute; Shri Sathya Sai Medical College &amp; Research Institute; National Dong Hwa University; Tumkur University</t>
  </si>
  <si>
    <t>Nagabhushana, H (corresponding author), Tumkur Univ, Prof CNR Rao Ctr Adv Mat, Tumkur 572103, India.</t>
  </si>
  <si>
    <t>bhushanvlc@gmail.com</t>
  </si>
  <si>
    <t>Biswas, Protyusha/GNP-3793-2022</t>
  </si>
  <si>
    <t>National Science and Technology Council (NSTC) of the Republic of China [NSTC-114-2112-M-259-011, NSTC-113-2112-M-259-010, NSTC-114-2811-M-259-006, NSTC-113-2811-M-259-003]; KSTEPS, DST, GOVT. OF KARNATAKA</t>
  </si>
  <si>
    <t>National Science and Technology Council (NSTC) of the Republic of China; KSTEPS, DST, GOVT. OF KARNATAKA</t>
  </si>
  <si>
    <t>The author (M. G) acknowledges KSTEPS, DST, GOVT. OF KARNATAKA for research fellowship. The authors (K.M and S.Y.W) want to thank the National Science and Technology Council (NSTC) of the Republic of China for the financial support through grant numbers NSTC-114-2112-M-259-011, NSTC-113-2112-M-259-010, NSTC-114-2811-M-259-006 and NSTC-113-2811-M-259-003.</t>
  </si>
  <si>
    <t>0025-5408</t>
  </si>
  <si>
    <t>1873-4227</t>
  </si>
  <si>
    <t>MATER RES BULL</t>
  </si>
  <si>
    <t>Mater. Res. Bull.</t>
  </si>
  <si>
    <t>10.1016/j.materresbull.2025.113874</t>
  </si>
  <si>
    <t>Materials Science, Multidisciplinary</t>
  </si>
  <si>
    <t>Materials Science</t>
  </si>
  <si>
    <t>F1079</t>
  </si>
  <si>
    <t>WOS:001623210000002</t>
  </si>
  <si>
    <t>Cillis, D; Maestrini, B; Pezzuolo, A; Marinello, F; Sartori, L</t>
  </si>
  <si>
    <t>Cillis, Donato; Maestrini, Bernardo; Pezzuolo, Andrea; Marinello, Francesco; Sartori, Luigi</t>
  </si>
  <si>
    <t>Modeling soil organic carbon and carbon dioxide emissions in different tillage systems supported by precision agriculture technologies under current climatic conditions</t>
  </si>
  <si>
    <t>SOIL &amp; TILLAGE RESEARCH</t>
  </si>
  <si>
    <t>tillage systems; conservation agriculture; precision agriculture; modelling; soil organic carbon; carbon emissions</t>
  </si>
  <si>
    <t>NITROGEN-FERTILIZER; ENERGY EFFICIENCY; CONSERVATION; SEQUESTRATION; MAIZE; ROTATION; NITRATE; IMPACT; RATES; WHEAT</t>
  </si>
  <si>
    <t>Soil organic matter (SOM) represents the biggest pool of carbon within the biosphere and influences the flux of greenhouse gases between land surface and atmosphere. In this regard, conservation tillage systems have been adopted to reduce negative impacts of conventional tillage practices on greenhouse gases (GHG) emissions. However, the role of these techniques to increase carbon sequestration also depends upon soil features and climatic conditions, which is studied and managed by precision agriculture (PA) principles and technologies. Simulation models have shown to be useful tools to understand the interaction between soil, climate, genotypes and management practices to simulate the long-term effects of management approaches of different soils on crop yield, soil organic carbon (SOC) storage, and GHG emissions. The research goals of this study are (1) to examine the mid-term (15 years) trajectory of SOC in the upper 0.4 m of the soil profile under different tillage systems using the SALUS model; (2) determine the impact of PA on the inputs to the crop and CO2 emissions; (3) identify the strategies, derived from the synergy between conservation agriculture and PA, so as to decrease the CO2 emissions of agricultural systems. The validated SALUS simulation showed a significant reduction in SOC losses in minimum tillage (MT) and no-tillage (NT), 17% and 63% respectively, compared to conventional tillage (CT). Furthermore, the adoption of conservation tillage techniques decreased carbon emissions related to farming operations, while PA technologies led to an optimization of the exhaustible sources such as fossil fuels and fertilizers. Finally, the synergy between conservation tillage systems, especially NT, and PA strategies represents a useful tool in terms of carbon emissions mitigation with a reduction of 56% of total CO2 as compared to CT.</t>
  </si>
  <si>
    <t>[Cillis, Donato; Pezzuolo, Andrea; Marinello, Francesco; Sartori, Luigi] Univ Padua, Dept Agroforesty &amp; Landscape, Padua, Italy; [Maestrini, Bernardo] Michigan State Univ, Dept Geol Sci, E Lansing, MI 48824 USA</t>
  </si>
  <si>
    <t>University of Padua; Michigan State University</t>
  </si>
  <si>
    <t>Pezzuolo, A (corresponding author), Dept Agroforesty &amp; Landscape, Viale Univ 16, I-35020 Legnaro, Italy.</t>
  </si>
  <si>
    <t>andrea.pezzuolo@unipd.it</t>
  </si>
  <si>
    <t>; Marinello, Francesco/H-5619-2019; Pezzuolo, Andrea/I-2618-2019</t>
  </si>
  <si>
    <t>Sartori, Luigi/0000-0001-6437-3402; Marinello, Francesco/0000-0002-3283-5665; Cillis, Donato/0000-0002-4796-5008; Maestrini, Bernardo/0000-0002-9438-0678</t>
  </si>
  <si>
    <t>European Commission DG Environment through the LIFE+ program [LIFE13 ENV / IT / 000583]</t>
  </si>
  <si>
    <t>European Commission DG Environment through the LIFE+ program</t>
  </si>
  <si>
    <t>This study has been performed under the framework of the AGRICARE project - Introducing innovative precision farming techniques in Agriculture to decrease Carbon Emissions, supported by the European Commission DG Environment through the LIFE+ program; under contract number LIFE13 ENV / IT / 000583.</t>
  </si>
  <si>
    <t>ELSEVIER SCIENCE BV</t>
  </si>
  <si>
    <t>PO BOX 211, 1000 AE AMSTERDAM, NETHERLANDS</t>
  </si>
  <si>
    <t>0167-1987</t>
  </si>
  <si>
    <t>1879-3444</t>
  </si>
  <si>
    <t>SOIL TILL RES</t>
  </si>
  <si>
    <t>Soil Tillage Res.</t>
  </si>
  <si>
    <t>10.1016/j.still.2018.06.001</t>
  </si>
  <si>
    <t>GO6BS</t>
  </si>
  <si>
    <t>WOS:000440119700006</t>
  </si>
  <si>
    <t>Edwards, KP; Madramootoo, CA; Whalen, JK; Adamchuk, VI; Su, ASM; Benslim, H</t>
  </si>
  <si>
    <t>Edwards, K. P.; Madramootoo, C. A.; Whalen, J. K.; Adamchuk, V., I; Su, A. S. Mat; Benslim, H.</t>
  </si>
  <si>
    <t>Nitrous oxide and carbon dioxide emissions from surface and subsurface drip irrigated tomato fields</t>
  </si>
  <si>
    <t>CANADIAN JOURNAL OF SOIL SCIENCE</t>
  </si>
  <si>
    <t>carbon dioxide; nitrous oxide; tomato; surface drip irrigation; subsurface drip irrigation</t>
  </si>
  <si>
    <t>SOIL-MOISTURE; ATMOSPHERE; N2O; METHANE; SYSTEMS; FLUXES; WATER; CO2</t>
  </si>
  <si>
    <t>Irrigation practices change the soil moisture in agricultural fields and influence emissions of greenhouse gases (GHG). A 2 yr field study was conducted to assess carbon dioxide (CO2) and nitrous oxide (N2O) emissions from surface and subsurface drip irrigated tomato (Solanum lycopersicum L.) fields on a loamy sand in southern Ontario. Surface and subsurface drip irrigation are common irrigation practices used by tomato growers in southern Ontario. The N2O fluxes were generally &lt;= 50 mu g N2O-N m(-2)h(-1), with mean cumulative emissions ranging between 352 +/- 83 and 486 +/- 138 mg N2O-N m(-2). No significant difference in N2O emissions between the two drip irrigation practices was found in either study year. Mean CO2 fluxes ranged from 22 to 160 mg CO2-C m(2) h(-1) with cumulative fluxes between 188 +/- 42 and 306 +/- 31 g CO2-C m(-2). Seasonal CO2 emissions from surface drip irrigation were significantly greater than subsurface drip irrigation in both years, likely attributed to sampling time temperature differences. We conclude that these irrigation methods did not have a direct effect on the GHG emissions from tomato fields in this study. Therefore, both irrigation methods are expected to have similar environmental impacts and are recommended to growers.</t>
  </si>
  <si>
    <t>[Edwards, K. P.; Madramootoo, C. A.; Whalen, J. K.; Adamchuk, V., I; Su, A. S. Mat; Benslim, H.] McGill Univ, Dept Agr &amp; Environm Sci, Macdonald Campus,21 111 Lakeshore Rd, Ste Anne De Bellevue, PQ H9X 3V9, Canada</t>
  </si>
  <si>
    <t>McGill University</t>
  </si>
  <si>
    <t>Edwards, KP (corresponding author), McGill Univ, Dept Agr &amp; Environm Sci, Macdonald Campus,21 111 Lakeshore Rd, Ste Anne De Bellevue, PQ H9X 3V9, Canada.</t>
  </si>
  <si>
    <t>kerri.edwards@mail.mcgill.ca</t>
  </si>
  <si>
    <t>; Whalen, Joann/F-7419-2013</t>
  </si>
  <si>
    <t>Whalen, Joann/0000-0001-8774-0594; Mat Su, Ahmad Suhaizi/0000-0003-0582-2073; Adamchuk, Viacheslav/0000-0001-7279-3597</t>
  </si>
  <si>
    <t>Agriculture and Agri-Food Canada program Agricultural Greenhouse Gases Sources and Sinks</t>
  </si>
  <si>
    <t>Agriculture and Agri-Food Canada program Agricultural Greenhouse Gases Sources and Sinks(Agriculture &amp; Agri Food Canada)</t>
  </si>
  <si>
    <t>This project was supported financially by the Agriculture and Agri-Food Canada program Agricultural Greenhouse Gases Sources and Sinks. Special thanks to Wayne Palichuk for the use of his farm and irrigation systems, and for his co-operation in allowing us to install the equipment and instrumentation in his fields. We are grateful to Eduardo Ganem Cuenca for his invaluable help as project manager.</t>
  </si>
  <si>
    <t>CANADIAN SCIENCE PUBLISHING</t>
  </si>
  <si>
    <t>OTTAWA</t>
  </si>
  <si>
    <t>65 AURIGA DR, SUITE 203, OTTAWA, ON K2E 7W6, CANADA</t>
  </si>
  <si>
    <t>0008-4271</t>
  </si>
  <si>
    <t>1918-1841</t>
  </si>
  <si>
    <t>CAN J SOIL SCI</t>
  </si>
  <si>
    <t>Can. J. Soil Sci.</t>
  </si>
  <si>
    <t>10.1139/cjss-2017-0001</t>
  </si>
  <si>
    <t>GS2ZC</t>
  </si>
  <si>
    <t>WOS:000443434000001</t>
  </si>
  <si>
    <t>Martínez-Martínez, E; Slocum, AH; Ceballos, ML; Aponte, P; Bisonó-León, AG</t>
  </si>
  <si>
    <t>Martinez-Martinez, Elena; Slocum, Alexander H.; Ceballos, Maria Laura; Aponte, Paula; Bisono-Leon, Andres Guillermo</t>
  </si>
  <si>
    <t>Beyond the Bloom: Invasive Seaweed Sargassum spp. as a Catalyst for Sustainable Agriculture and Blue Economy-A Multifaceted Approach to Biodegradable Films, Biostimulants, and Carbon Mitigation</t>
  </si>
  <si>
    <t>invasive seaweed; Sargassum spp.; Blue Economy; sustainable agriculture; bioplastics; biostimulants; carbon credits</t>
  </si>
  <si>
    <t>GLYCEROL</t>
  </si>
  <si>
    <t>The Anthropocene has ushered in unprecedented environmental challenges, with invasive seaweed blooms emerging as a critical yet understudied facet of climate change. These blooms, driven by nutrient runoff and oceanic alterations, disrupt ecosystems, threaten biodiversity, and impose economic and public health burdens on coastal communities. However, invasive seaweeds also present an opportunity as a sustainable resource. This study explores the valorization of Sargassum spp. for agricultural applications, focusing on the development of biodegradable bioplastics and biostimulants. Field trials demonstrated the effectiveness of Marine Symbiotic (R) Sargassum-derived biostimulant in distinct agricultural contexts. In the Dominican Republic, trials on pepper crops showed significant improvements, including a 33.26% increase in fruit weight, a 21.94% rise in fruit set percentage, a 45% higher yield under high-stress conditions, and a 48.42% reduction in fruit rejection compared to control. In Colombia, trials across four leafy green varieties revealed biomass increases of up to 360%, a 50% reduction in synthetic input dependency, and enhanced crop coloration, improving marketability. Additionally, Sargassum-based biofilms exhibited favorable mechanical properties and biodegradability, offering a sustainable alternative to conventional agricultural plastics. Carbon credit quantification revealed that valorizing Sargassum could prevent up to 89,670 tons of CO2-equivalent emissions annually using just one Littoral Collection Module (R) harvesting system, while biostimulant application enhanced carbon sequestration in crops. These findings underscore the potential of invasive seaweed valorization to address multiple climate challenges, from reducing plastic pollution and GHG emissions to enhancing agricultural resilience, thereby contributing to a sustainable Blue Economy and aligning with global sustainability goals.</t>
  </si>
  <si>
    <t>[Martinez-Martinez, Elena] Catholic Univ Valencia San Vicente Martir, Doctoral Sch, Valencia 46001, Spain; [Martinez-Martinez, Elena; Ceballos, Maria Laura] SOS Biotech, Santo Domingo 10127, Dominican Rep; [Slocum, Alexander H.] MIT, Dept Mech Engn, 77 Massachusetts Ave Bldg 3 Room 443, Cambridge, MA 02139 USA; [Aponte, Paula] CurubaTech, Carrera 10, Bogota 110411, Colombia; [Bisono-Leon, Andres Guillermo] SOS Carbon SRL, Santo Domingo 10127, Dominican Rep</t>
  </si>
  <si>
    <t>Universidad Catolica de Valencia San Vicente Martir; Massachusetts Institute of Technology (MIT)</t>
  </si>
  <si>
    <t>Martínez-Martínez, E (corresponding author), Catholic Univ Valencia San Vicente Martir, Doctoral Sch, Valencia 46001, Spain.;Martínez-Martínez, E (corresponding author), SOS Biotech, Santo Domingo 10127, Dominican Rep.;Slocum, AH (corresponding author), MIT, Dept Mech Engn, 77 Massachusetts Ave Bldg 3 Room 443, Cambridge, MA 02139 USA.</t>
  </si>
  <si>
    <t>emartinez@soscarbon.com; slocum@mit.edu</t>
  </si>
  <si>
    <t>Ceballos Villacampa, Maria Laura/0000-0002-8376-4457; Martinez Martinez, Elena/0009-0006-7403-3675</t>
  </si>
  <si>
    <t>Seeding the Future Van Lengerich Foundation; Schmidt Marine Wavemaker's Prize - Schmidt Marine Technology Partners; Schmidt Family Foundation; MIT SOLVE prize pool funding; Bosch Alumni Network</t>
  </si>
  <si>
    <t>The biofilm development trials for agricultural applications and the expansion of collaborations with local and international farmers to promote the use of Marine Symbiotic (R) as an agricultural enhancer and alternative to synthetic fertilizers were made possible through the Climate-Positive and Equitable Food Systems Prize, awarded to SOS Biotech by the Seeding the Future Van Lengerich Foundation. Additionally, Sargassum collection, valorization, and the development of new Sargassum-derived products, including the associated reduction in CO2 emissions, were supported by the Schmidt Marine Wavemaker's Prize, funded by Schmidt Marine Technology Partners, a program of The Schmidt Family Foundation. These awards were part of the MIT SOLVE prize pool funding, which included support from MIT SOLVE for selected solutions, following SOS Biotech's recognition as a 2024 MIT SOLVE team. The trials conducted in Colombia were supported by a grant provided by ChangeMakersXChange in collaboration with SAP. Furthermore, logistical support for the trials, including mobility facilitation, was made possible through the Bosch Alumni Network.</t>
  </si>
  <si>
    <t>APR 14</t>
  </si>
  <si>
    <t>10.3390/su17083498</t>
  </si>
  <si>
    <t>1XB5P</t>
  </si>
  <si>
    <t>WOS:001475699900001</t>
  </si>
  <si>
    <t>Ibragimov, A; Sidique, SF; Tey, YS</t>
  </si>
  <si>
    <t>Ibragimov, Abdulla; Sidique, Shaufique Fahmi; Tey, Yeong Sheng</t>
  </si>
  <si>
    <t>Productivity for sustainable growth in Malaysian oil palm production: A system dynamics modeling approach</t>
  </si>
  <si>
    <t>Oil palm; Productivity; Production; Sustainability; Carbon emission; System dynamics</t>
  </si>
  <si>
    <t>MANAGEMENT; FUTURE</t>
  </si>
  <si>
    <t>Productivity is posited as the key to shape a more sustainable oil palm industry. This study, through a systemic perspective, explores the main drivers of productivity growth and its impacts on its associated factors using a system dynamics model. Of all four simulations, research and development (R&amp;D) intervention is demonstrated to enhance oil palm production albeit at the cost of seemingly unstoppable land loss. This, in turn, leads to lower carbon emissions. Automation and mechanization are found effective in reducing farm operating cost. These findings suggest that R&amp;D is key, and related policy options are discussed for steering the sustainability and growth of oil palm production in Malaysia. (C) 2018 Elsevier Ltd. All rights reserved.</t>
  </si>
  <si>
    <t>[Ibragimov, Abdulla] Republican Grad Sch Business &amp; Management, Dept Project Management, Tashkent 100060, Uzbekistan; [Sidique, Shaufique Fahmi; Tey, Yeong Sheng] Univ Putra Malaysia, Inst Agr &amp; Food Policy Studies, Serdang 43400, Selangor, Malaysia; [Sidique, Shaufique Fahmi] Univ Putra Malaysia, Fac Econ &amp; Management, Serdang 43400, Selangor, Malaysia</t>
  </si>
  <si>
    <t>Universiti Putra Malaysia; Universiti Putra Malaysia</t>
  </si>
  <si>
    <t>Sidique, SF (corresponding author), Univ Putra Malaysia, Inst Agr &amp; Food Policy Studies, Serdang 43400, Selangor, Malaysia.</t>
  </si>
  <si>
    <t>shaufique@upm.edu.my</t>
  </si>
  <si>
    <t>; Tey, Yeong/AAV-5900-2021; Ibragimov, Abdulla/AAA-5503-2021</t>
  </si>
  <si>
    <t>Sidique, Shaufique/0000-0002-7545-2816; Ibragimov, Abdulla/0000-0002-9212-4574; Tey, Yeong Sheng/0000-0002-1252-2485;</t>
  </si>
  <si>
    <t>Universiti Putra Malaysia GB-IPB Grant [GP-IPB/2017/9542301]</t>
  </si>
  <si>
    <t>Universiti Putra Malaysia GB-IPB Grant(Universiti Putra Malaysia)</t>
  </si>
  <si>
    <t>This research is part of the project on Technological Diversification, Innovation and Productivity in the Agro Food Industry funded by the Universiti Putra Malaysia GB-IPB Grant (Vote GP-IPB/2017/9542301).</t>
  </si>
  <si>
    <t>MAR 10</t>
  </si>
  <si>
    <t>10.1016/j.jclepro.2018.12.113</t>
  </si>
  <si>
    <t>HO7MU</t>
  </si>
  <si>
    <t>WOS:000461132600093</t>
  </si>
  <si>
    <t>Jones, AK; Jones, DL; Cross, P</t>
  </si>
  <si>
    <t>Jones, A. K.; Jones, D. L.; Cross, P.</t>
  </si>
  <si>
    <t>The carbon footprint of lamb: Sources of variation and opportunities for mitigation</t>
  </si>
  <si>
    <t>AGRICULTURAL SYSTEMS</t>
  </si>
  <si>
    <t>Agricultural emissions; Climate change; Global warming; IPCC; Partial lifecycle assessment; Red meat</t>
  </si>
  <si>
    <t>GREENHOUSE-GAS EMISSIONS; WHOLE-FARM SYSTEMS; POLICY; BEEF; SEQUESTRATION; UNCERTAINTY; MANAGEMENT; IMPACTS; MILK</t>
  </si>
  <si>
    <t>Carbon footprinting can be used to characterise the greenhouse gas emissions profile of agricultural products, providing a baseline against which mitigation targets can be set and progress measured. Farm-level emissions vary in relation to local conditions and management choices. Carbon footprinting models can be used to assess the impact of farm characteristics on emissions; however, the benefits of such models have been underexploited thus far for sheep production. This study estimated the cradle to farm-gate carbon footprints of 64 sheep farms across England and Wales using empirical farm data. This large dataset enabled an assessment of the relationship between farm variables and carbon footprint at a multi-farm level. Mean carbon footprints of 10.85, 12.85 and 17.86 kg CO(2)e/kg live weight finished lamb were recorded for lowland, upland and hill farms respectively, from samples with coefficients of variation of 33%, 23% and 34%. Multiple linear regression models indicated that four farm management variables had a significant impact on the size of the carbon footprint of finished lamb. Irrespective of farm category, these were the number of lambs reared per ewe (head/ewe), lamb growth rate (g/day), the percentage of ewe and replacement ewe lamb flock not mated (%), and concentrate use (kg/livestock unit). Dominance analysis indicated that, of these, the number of lambs reared per ewe mated and lamb growth rate were the most influential. Productivity improvements are arguably most problematic for extensive hill farms; however, the top performing hill farms in this study outperformed the mean lowland and upland farms. The results suggest that, at a national level, the emphasis for reducing the carbon footprint of lamb should be on closing the productivity gap between poor and top performing farms. (C) 2013 Elsevier Ltd. All rights reserved.</t>
  </si>
  <si>
    <t>[Jones, A. K.; Jones, D. L.; Cross, P.] Bangor Univ, Sch Environm Nat Resources &amp; Geog, Bangor LL57 2UW, Gwynedd, Wales</t>
  </si>
  <si>
    <t>Bangor University</t>
  </si>
  <si>
    <t>Jones, AK (corresponding author), Bangor Univ, Sch Environm Nat Resources &amp; Geog, Bangor LL57 2UW, Gwynedd, Wales.</t>
  </si>
  <si>
    <t>a.k.jones@bangor.ac.uk</t>
  </si>
  <si>
    <t>jones, davey/C-7411-2011; Jones, Davey/C-7411-2011</t>
  </si>
  <si>
    <t>Jones, Davey/0000-0002-1482-4209</t>
  </si>
  <si>
    <t>EBLEX; Hybu Cig Cymru</t>
  </si>
  <si>
    <t>This work was funded through a grant provided by EBLEX and Hybu Cig Cymru.</t>
  </si>
  <si>
    <t>0308-521X</t>
  </si>
  <si>
    <t>1873-2267</t>
  </si>
  <si>
    <t>AGR SYST</t>
  </si>
  <si>
    <t>Agric. Syst.</t>
  </si>
  <si>
    <t>10.1016/j.agsy.2013.09.006</t>
  </si>
  <si>
    <t>285VI</t>
  </si>
  <si>
    <t>WOS:000329422700010</t>
  </si>
  <si>
    <t>Luo, WL; Xu, SM; Luo, T; Shi, R; Ye, YJ; Zhu, NM</t>
  </si>
  <si>
    <t>Luo, Weilin; Xu, Shuming; Luo, Tao; Shi, Rui; Ye, Yangjie; Zhu, Nengmin</t>
  </si>
  <si>
    <t>Carbon Emissions and Economic Cost of Different Collection, Storage, and Transportation Models for Crop Straw Off-Field Utilization</t>
  </si>
  <si>
    <t>Synergistic optimization; Collection scenarios; Town scaled straw transfer site; Unit carbon emission; Co-benefits; Mechanization</t>
  </si>
  <si>
    <t>FUEL DELIVERY-SYSTEMS; SIMULATION-MODEL; RICE STRAW; SHAM</t>
  </si>
  <si>
    <t>The off-field utilization of crop straw requires a highly efficient collection, storage, and transportation system, focusing on the synergistic optimization of efficiency, cost, and carbon emissions. Four typical scenarios are selected to identify co-benefits in the town scaled straw transfer site: all-manual collection (I), 50% manual collection (II), small-scale machinery collection (III), and large-scale machinery collection (IV). The results indicate that, while achieving collection efficiency within 30 days, the scenario I exhibited the highest collection costs (460.9 CNY/ton) and carbon emissions (65.4 kg CO2/ton). In contrast, Scenario II, III, and IV achieved reduction in collection costs by 34.4%, 54.1%, and 60.3%, respectively, while carbon emissions reducing by 25.3%, 55.2%, and 65.9%. The transportation process would play an important role in cost reduction, wherein baled straws could lead to an average reduction in transportation costs of 66.1%. The pretreatment processing in straw transfer site is the determined factor to decline the carbon emissions, with the Scenario I and II accounting for an average of 59.2% of the total emissions. According to the analysis, further improving mechanization level in straw collection, storage, and transportation process, optimization of transportation tools and strategies, and equipment performance improvement could be a viable pathway to achieve the synergistic optimization of efficiency, cost, and carbon emissions.</t>
  </si>
  <si>
    <t>[Luo, Weilin; Shi, Rui] Chengdu Univ Technol, Key Lab Geohazard Prevent &amp; Geoenvironm Protect, Chengdu 610059, Peoples R China; [Luo, Weilin; Luo, Tao; Ye, Yangjie; Zhu, Nengmin] Minist Agr &amp; Rural Affairs, Biogas Inst, Chengdu 610041, Sichuan, Peoples R China; [Xu, Shuming] Dingnan Cty Agr &amp; Rural Bur, Agr Technol Extens Ctr, Ganzhou 341900, Jiangxi, Peoples R China</t>
  </si>
  <si>
    <t>Chengdu University of Technology; Chinese Academy of Agricultural Sciences; Biogas Institute of Ministry of Agriculture, CAAS</t>
  </si>
  <si>
    <t>Luo, T (corresponding author), Minist Agr &amp; Rural Affairs, Biogas Inst, Chengdu 610041, Sichuan, Peoples R China.</t>
  </si>
  <si>
    <t>18782012718@163.com</t>
  </si>
  <si>
    <t>, luo/0000-0001-8773-3503</t>
  </si>
  <si>
    <t>Sichuan Provincial Science and Technology Projects [23ZDYF0252]; Central Public-interest Scientific Institution Basal Research Fund [1610012022008_03102]</t>
  </si>
  <si>
    <t>Sichuan Provincial Science and Technology Projects; Central Public-interest Scientific Institution Basal Research Fund</t>
  </si>
  <si>
    <t>This study was funded by Sichuan Provincial Science and Technology Projects (23ZDYF0252), Central Public-interest Scientific Institution Basal Research Fund (1610012022008_03102)</t>
  </si>
  <si>
    <t>10.1007/s12649-023-02370-7</t>
  </si>
  <si>
    <t>OD3Y6</t>
  </si>
  <si>
    <t>WOS:001118293800001</t>
  </si>
  <si>
    <t>Zhang, BQ; Guo, CQ; Lin, T; Faaij, APC</t>
  </si>
  <si>
    <t>Zhang, Bingquan; Guo, Changqiang; Lin, Tao; Faaij, Andre P. C.</t>
  </si>
  <si>
    <t>Economic optimization for a dual-feedstock lignocellulosic-based sustainable biofuel supply chain considering greenhouse gas emission and soil carbon stock</t>
  </si>
  <si>
    <t>BIOFUELS BIOPRODUCTS &amp; BIOREFINING-BIOFPR</t>
  </si>
  <si>
    <t>biofuel supply chain optimization; GHG emission; lignocellulosic biomass; mixed integer linear programming; soil organic carbon; sustainable</t>
  </si>
  <si>
    <t>TRANSPORTATION FUELS; BIOMASS ASSESSMENT; LOGISTICS SYSTEM; OPTIMAL-DESIGN; ENERGY; GASIFICATION; PERFORMANCE; MISCANTHUS; UNCERTAINTY; GENERATION</t>
  </si>
  <si>
    <t>Environmental factors, including greenhouse gas (GHG) emissions and soil organic carbon (SOC), should be considered when building a sustainable biofuel supply chain. This work developed a three-step optimization approach integrating a geographical information system-based mixed-integer linear programming model to economically optimize the biofuel supply chain on the premise of meeting certain GHG emission criteria. The biomass supply grid cell was considered first, based on a maximum level of GHG emissions, prior to economic optimization. The optimization simultaneously considered dual-feedstock sourcing, selection between distributed and centralized configurations, and the impact of maintaining SOC balance in agricultural soil on biomass availability. The applicability of the modeling approach was demonstrated through a case study that optimized a dual-feedstock renewable jet fuel supply chain via a gasification-Fischer-Tropsch (gasification-FT) conversion pathway in 2050 under three biomass availability scenarios. The case study results show that the differences in procurement costs and GHG emissions between energy crops and agricultural residues have a large impact on the layout of the supply chain. The supply-chain configuration tends to be more centralized with large-scale biorefineries when a supply region has an intensive and centralized distribution of biomass resources. The cost-supply curves demonstrated the technical potential of biofuels that could be obtained at a certain level of cost. Additionally, sensitivity analysis shows that the GHG emission credit from producing extra electricity during the gasification-FT process will be significantly reduced with a rising share of renewable electricity generation in the future. (c) 2022 The Authors. Biofuels, Bioproducts and Biorefining published by Society of Industrial Chemistry and John Wiley &amp; Sons Ltd.</t>
  </si>
  <si>
    <t>[Zhang, Bingquan; Faaij, Andre P. C.] Univ Groningen, Energy &amp; Sustainabil Res Inst Groningen, Groningen, Netherlands; [Zhang, Bingquan] Yale Univ, Ctr Ind Ecol, 380 Edwards St, New Haven, CT 06511 USA; [Guo, Changqiang; Lin, Tao] Zhejiang Univ, Coll Biosyst Engn &amp; Food Sci, Hangzhou, Peoples R China; [Faaij, Andre P. C.] Netherlands Org Appl Sci Res TNO Energy Transit, Utrecht, Netherlands</t>
  </si>
  <si>
    <t>University of Groningen; Yale University; Zhejiang University</t>
  </si>
  <si>
    <t>Zhang, BQ (corresponding author), Yale Univ, Ctr Ind Ecol, 380 Edwards St, New Haven, CT 06511 USA.;Lin, T (corresponding author), Zhejiang Univ, Coll Biosyst Engn &amp; Food Sci, Hangzhou, Peoples R China.</t>
  </si>
  <si>
    <t>bingquan.zhang@yale.edu; lintao1@zju.edu.cn</t>
  </si>
  <si>
    <t>Faaij, André/AAE-7253-2019; Lin, Tao/AAB-3023-2020; Zhang, Bingquan/ABE-6453-2021</t>
  </si>
  <si>
    <t>Zhang, Bingquan/0000-0003-3129-1851; Lin, Tao/0000-0001-9721-5363</t>
  </si>
  <si>
    <t>China Scholarship Council (CSC); China National Key Research and Development Plan [2017YFD0700605]; National Natural Science Foundation of China [31701316]</t>
  </si>
  <si>
    <t>China Scholarship Council (CSC)(China Scholarship Council); China National Key Research and Development Plan; National Natural Science Foundation of China(National Natural Science Foundation of China (NSFC))</t>
  </si>
  <si>
    <t>This study was partially supported by the China Scholarship Council (CSC), the China National Key Research and Development Plan under Grant Number 2017YFD0700605, and the National Natural Science Foundation of China under Grant Number 31701316.</t>
  </si>
  <si>
    <t>1932-104X</t>
  </si>
  <si>
    <t>1932-1031</t>
  </si>
  <si>
    <t>BIOFUEL BIOPROD BIOR</t>
  </si>
  <si>
    <t>Biofuels Bioprod. Biorefining</t>
  </si>
  <si>
    <t>10.1002/bbb.2347</t>
  </si>
  <si>
    <t>APR 2022</t>
  </si>
  <si>
    <t>Biotechnology &amp; Applied Microbiology; Energy &amp; Fuels</t>
  </si>
  <si>
    <t>1M8JR</t>
  </si>
  <si>
    <t>Green Submitted, hybrid</t>
  </si>
  <si>
    <t>WOS:000780115900001</t>
  </si>
  <si>
    <t>Wang, CQ; Zhang, LL; Liu, D; Li, M; Faiz, MA; Li, TX; Cui, S; Khan, MI</t>
  </si>
  <si>
    <t>Wang, Chunqing; Zhang, Liangliang; Liu, Dong; Li, Mo; Faiz, Muhammad Abrar; Li, Tianxiao; Cui, Song; Khan, Muhammad Imran</t>
  </si>
  <si>
    <t>Hybrid Gaussian process regression-based harmony assessment in a water-land-energy-food-carbon-emission coupled system</t>
  </si>
  <si>
    <t>JOURNAL OF HYDROLOGY</t>
  </si>
  <si>
    <t>Harmony theory; Hybrid optimization; Gaussian process regression; Water-land-energy-food-carbon-emission; coupled system; System dynamic development</t>
  </si>
  <si>
    <t>IMPACTS; BASIN; MODEL</t>
  </si>
  <si>
    <t>Harmonization between production factors and the external environment is crucial for sustainable agricultural development. However, discussions on the harmony of water-land-energy-food-carbon-emission (WLEFC) coupled systems remain limited, resulting in its operational status and constraints being unclear. This study used harmony theory to examine WLEFC systems. We also developed a harmony analysis framework and enhanced its evaluation index system. An improved Gaussian process regression model (AOA-L-BFGS-GPR) combining an arithmetic optimization algorithm with a limited-memory BFGS algorithm was developed. This model evaluated the dynamic development of WLEFC harmony in Heilongjiang Province, China. We identified key challenges and analyzed the trends. The streamlined index system allowed for precise measurements. The AOA-L-BFGS-GPR model demonstrated improved accuracy, stability, and reasonability. From 1994 to 2023, the WLEFC system harmony in Heilongjiang increased from 3.085 to 3.527. The water resource subsystem consistently remained the main obstacle, with its barrier degree remaining above 10%. Later in the period, rural population decline and slow progress in energy conservation became significant hindering factors. Daxing'anling and Heihe experienced severe rural hollowing, with the agricultural population barrier degrees reaching 20.99% and 17.43%, respectively. Meanwhile, northeastern cities faced two challenges: low energy efficiency and high carbon emissions. Scenario analysis showed that the SSP126 pathway provided better potential for green agricultural development than SSP245, SSP370, and SSP585. Under the SSP126 pathway, the system harmony was expected to reach 3.923 by 2055. This study offers new insights and methods for analyzing WLEFC systems, supporting environmentally sustainable agriculture.</t>
  </si>
  <si>
    <t>[Wang, Chunqing; Zhang, Liangliang; Liu, Dong; Li, Mo; Faiz, Muhammad Abrar; Li, Tianxiao; Cui, Song] Northeast Agr Univ, Sch Water Conservancy &amp; Civil Engn, Harbin 150030, Heilongjiang, Peoples R China; [Liu, Dong] Northeast Agr Univ, Joint Int Res Lab Habitat Hlth Black Soil Cold Reg, Minist Educ, Harbin 150030, Heilongjiang, Peoples R China; [Liu, Dong] Northeast Agr Univ, Key Lab Effect Utilizat Agr Water Resources, Minist Agr &amp; Rural Affairs, Harbin 150030, Heilongjiang, Peoples R China; [Liu, Dong] Northeast Agr Univ, Heilongjiang Prov Key Lab Water Resources &amp; Water, Harbin 150030, Heilongjiang, Peoples R China; [Cui, Song] Northeast Agr Univ, Res Ctr Ecoenvironm Protect Songhua River Basin, Harbin 150030, Heilongjiang, Peoples R China; [Khan, Muhammad Imran] Univ Agr Faisalabad, Dept Irrigat &amp; Drainage, Faisalabad, Pakistan</t>
  </si>
  <si>
    <t>Northeast Agricultural University - China; Northeast Agricultural University - China; Northeast Agricultural University - China; Northeast Agricultural University - China; Northeast Agricultural University - China; University of Agriculture Faisalabad</t>
  </si>
  <si>
    <t>Liu, D; Li, M (corresponding author), Northeast Agr Univ, Sch Water Conservancy &amp; Civil Engn, Harbin 150030, Heilongjiang, Peoples R China.;Liu, D (corresponding author), Northeast Agr Univ, Joint Int Res Lab Habitat Hlth Black Soil Cold Reg, Minist Educ, Harbin 150030, Heilongjiang, Peoples R China.</t>
  </si>
  <si>
    <t>wcq960525@163.com; zhangliangliang@neau.edu.cn; liudong@neau.edu.cn; limo0828@neau.edu.cn; faiz_ma@neau.edu.cn; litianxiao@neau.edu.cn; cuisong-bq@neau.edu.cn; imrankhan7792@yahoo.com</t>
  </si>
  <si>
    <t>Faiz, Muhammad Abrar/I-3994-2019; Khan, Dr. Muhammad Imran/ABF-1487-2021</t>
  </si>
  <si>
    <t>National Natural Science Foundation of China [52179008, 52309012, 51579044, 41071053]; National Science Fund for Distinguished Young Scholars [51825901]; Joint fund of the National Natural Science Foundation of China [U20A20318]; Natural Science Foundation of Heilongjiang Province [LH2023E003]</t>
  </si>
  <si>
    <t>National Natural Science Foundation of China(National Natural Science Foundation of China (NSFC)); National Science Fund for Distinguished Young Scholars(National Natural Science Foundation of China (NSFC)National Science Fund for Distinguished Young Scholars); Joint fund of the National Natural Science Foundation of China(National Natural Science Foundation of China (NSFC)); Natural Science Foundation of Heilongjiang Province(Natural Science Foundation of Heilongjiang Province)</t>
  </si>
  <si>
    <t>This study is supported by the National Natural Science Foundation of China (No. 52179008, No. 52309012, No. 51579044, No. 41071053) , National Science Fund for Distinguished Young Scholars (No. 51825901) , Joint fund of the National Natural Science Foundation of China (No. U20A20318) , and the Natural Science Foundation of Heilongjiang Province (No. LH2023E003) .</t>
  </si>
  <si>
    <t>0022-1694</t>
  </si>
  <si>
    <t>1879-2707</t>
  </si>
  <si>
    <t>J HYDROL</t>
  </si>
  <si>
    <t>J. Hydrol.</t>
  </si>
  <si>
    <t>A</t>
  </si>
  <si>
    <t>10.1016/j.jhydrol.2025.134408</t>
  </si>
  <si>
    <t>OCT 2025</t>
  </si>
  <si>
    <t>Engineering, Civil; Geosciences, Multidisciplinary; Water Resources</t>
  </si>
  <si>
    <t>Engineering; Geology; Water Resources</t>
  </si>
  <si>
    <t>8WM7P</t>
  </si>
  <si>
    <t>WOS:001599004300005</t>
  </si>
  <si>
    <t>Ye, CX; Yuan, Z; Chen, XH; Zhong, RD; Huang, L</t>
  </si>
  <si>
    <t>Ye, Changxin; Yuan, Ze; Chen, Xiaohong; Zhong, Ruida; Huang, Lie</t>
  </si>
  <si>
    <t>Revealing Climate-Induced Patterns in Crop Yields and the Water-Energy-Food-Carbon Nexus: Insights from the Pearl River Basin</t>
  </si>
  <si>
    <t>WATER</t>
  </si>
  <si>
    <t>AquaCrop model; NSGA-II method; Sobol sensitivity analysis; machine learning; climate change</t>
  </si>
  <si>
    <t>PROCESS-BASED MODEL; AQUACROP MODEL; RICE PRODUCTION; CHINA; MAIZE; IRRIGATION; DEMAND; TEMPERATURE; VALIDATION; MANAGEMENT</t>
  </si>
  <si>
    <t>In the context of growing concerns over food security and climate change, research on sustainable agricultural development increasingly emphasizes the interconnections within agricultural systems. This study developed a regionally integrated optimization and prediction agricultural model to systematically analyze the impacts of climate change on agricultural systems and their feedback mechanisms from a water-energy-food-carbon (WEFC) nexus perspective. Applied to the Pearl River Basin, the model evaluates future trends in grain yield, water use, energy consumption, and carbon emissions under various climate scenarios throughout this century. The results indicate that rising temperatures significantly reduce crop yields, particularly in the western basin, increasing the environmental footprint per unit of grain produced. However, the CO2 fertilization effect substantially offsets these negative impacts. Under the SSP585 scenario, CO2 concentrations rising from 599.77 ppm to 1135.21 ppm by the century's end led to a shift in crop yield trends from negative (Z = -7.03) to positive (Z = 11.01). This also reduces water, energy, and carbon footprints by 12.82%, 10.62%, and 10.59%, respectively. These findings highlight the critical importance of adaptive management strategies, including precision irrigation, optimized fertilizer use, and climate-resilient practices, to ensure sustainable agricultural production. Despite these insights, the model has limitations. Future research should incorporate uncertainty analysis, diverse adaptation pathways, and advanced technologies such as machine learning and remote sensing to improve predictive accuracy and applicability. This study offers valuable guidance for mitigating the adverse impacts of climate change on the WEFC nexus, supporting sustainable agricultural practices and science-based policy development.</t>
  </si>
  <si>
    <t>[Ye, Changxin; Yuan, Ze; Chen, Xiaohong; Zhong, Ruida; Huang, Lie] Sun Yat Sen Univ, Sch Civil Engn, Zhuhai 519082, Peoples R China; [Ye, Changxin; Yuan, Ze; Chen, Xiaohong; Zhong, Ruida; Huang, Lie] Southern Marine Sci &amp; Engn Guangdong Lab Zhuhai, Zhuhai 519082, Peoples R China; [Ye, Changxin; Yuan, Ze; Chen, Xiaohong; Zhong, Ruida; Huang, Lie] Sun Yat Sen Univ, Guangdong Engn Technol Res Ctr Water Secur Regulat, Guangzhou 510275, Peoples R China; [Ye, Changxin; Yuan, Ze; Chen, Xiaohong; Zhong, Ruida; Huang, Lie] Sun Yat Sen Univ, Guangdong High Educ Inst, Key Lab Water Cycle &amp; Water Secur Southern China, Guangzhou 510275, Peoples R China</t>
  </si>
  <si>
    <t>Sun Yat Sen University; Southern Marine Science &amp; Engineering Guangdong Laboratory; Southern Marine Science &amp; Engineering Guangdong Laboratory (Zhuhai); Sun Yat Sen University; Sun Yat Sen University</t>
  </si>
  <si>
    <t>Chen, XH (corresponding author), Sun Yat Sen Univ, Sch Civil Engn, Zhuhai 519082, Peoples R China.;Chen, XH (corresponding author), Southern Marine Sci &amp; Engn Guangdong Lab Zhuhai, Zhuhai 519082, Peoples R China.;Chen, XH (corresponding author), Sun Yat Sen Univ, Guangdong Engn Technol Res Ctr Water Secur Regulat, Guangzhou 510275, Peoples R China.;Chen, XH (corresponding author), Sun Yat Sen Univ, Guangdong High Educ Inst, Key Lab Water Cycle &amp; Water Secur Southern China, Guangzhou 510275, Peoples R China.</t>
  </si>
  <si>
    <t>yechx7@mail2.sysu.edu.cn; yuanz8@mail2.sysu.edu.cn; eescxh@mail.sysu.edu.cn; zhongrd3@mail3.sysu.edu.cn; lieh1993@163.com</t>
  </si>
  <si>
    <t>chen, xiaohong/0000-0003-0809-5297</t>
  </si>
  <si>
    <t>National Key R&amp;D Program of China; National Natural Science Foundation of China [U1911204]; Zhuhai City of China [SML2023SP213]; [2021YFC3001000]</t>
  </si>
  <si>
    <t>National Key R&amp;D Program of China; National Natural Science Foundation of China(National Natural Science Foundation of China (NSFC)); Zhuhai City of China;</t>
  </si>
  <si>
    <t>The research is financially supported by National Key R&amp;D Program of China (2021YFC3001000), National Natural Science Foundation of China (Grant No. U1911204), Quick warning and prevention for flood-tide-waterlogging compound disaster in Zhuhai City of China (SML2023SP213).</t>
  </si>
  <si>
    <t>2073-4441</t>
  </si>
  <si>
    <t>WATER-SUI</t>
  </si>
  <si>
    <t>Water</t>
  </si>
  <si>
    <t>10.3390/w16243693</t>
  </si>
  <si>
    <t>Environmental Sciences; Water Resources</t>
  </si>
  <si>
    <t>Environmental Sciences &amp; Ecology; Water Resources</t>
  </si>
  <si>
    <t>Q9K5W</t>
  </si>
  <si>
    <t>WOS:001387777000001</t>
  </si>
  <si>
    <t>Rehman, A; Ozturk, I; Zhang, DY</t>
  </si>
  <si>
    <t>Rehman, Abdul; Ozturk, Ilhan; Zhang, Deyuan</t>
  </si>
  <si>
    <t>The Causal Connection between CO2 Emissions and Agricultural Productivity in Pakistan: Empirical Evidence from an Autoregressive Distributed Lag Bounds Testing Approach</t>
  </si>
  <si>
    <t>APPLIED SCIENCES-BASEL</t>
  </si>
  <si>
    <t>Pakistan; agriculture production; CO2 emission; climate change; energy use; food grains</t>
  </si>
  <si>
    <t>GREENHOUSE-GAS EMISSIONS; RENEWABLE ENERGY-CONSUMPTION; ECONOMIC-GROWTH; CARBON-DIOXIDE; GRANGER CAUSALITY; TIME-SERIES; SECTOR; MITIGATION; CHINA; COINTEGRATION</t>
  </si>
  <si>
    <t>The rapid agricultural development and mechanization of agronomic diligence has led to a significant growth in energy consumption and CO2 emission. Agriculture has a dominant contribution to boosting the economy of any country. In this paper, we demonstrate carbon dioxide emissions' association with cropped area, energy use, fertilizer offtake, gross domestic product per capita, improved seed distribution, total food grains and water availability in Pakistan for the period of 1987-2017. We employed Augmented Dickey-Fuller and Phillips-Perron unit root tests to examine the variables' stationarity. An autoregressive distributed lag (ARDL) bounds testing technique to cointegration was applied to demonstrate the causality linkage among study variables from the evidence of long-run and short-run analyses. The long-run evidence reveals that cropped area, energy usage, fertilizer offtake, gross domestic product per capita and water availability have a positive and significant association with carbon dioxide emissions, while the analysis results of improved seed distribution and total food grains have a negative association with carbon dioxide emissions in Pakistan. Overall, the long-run effects are stronger than the short-run dynamics, in terms of the impact of explanatory variables on carbon dioxide emission, thus making the findings heterogeneous. Possible initiatives should be taken by the government of Pakistan to improve the agriculture sector and also introduce new policies to reduce the emissions of carbon dioxide.</t>
  </si>
  <si>
    <t>[Rehman, Abdul; Zhang, Deyuan] Anhui Univ, Res Ctr Agr Rural Peasants, Hefei 230039, Anhui, Peoples R China; [Ozturk, Ilhan] Cag Univ, Fac Econ &amp; Adm Sci, TR-33800 Mersin, Turkey</t>
  </si>
  <si>
    <t>Anhui University; Cag University - Turkey</t>
  </si>
  <si>
    <t>Rehman, A (corresponding author), Anhui Univ, Res Ctr Agr Rural Peasants, Hefei 230039, Anhui, Peoples R China.</t>
  </si>
  <si>
    <t>abdlrehman@ahu.edu.cn; ilhanozturk@cag.edu.tr; zdyuan@ahu.edu.cn</t>
  </si>
  <si>
    <t>Ozturk, Ilhan/B-9431-2009; Rehman, Abdul/AAG-3676-2021</t>
  </si>
  <si>
    <t>Ozturk, Ilhan/0000-0002-6521-0901; Rehman, Abdul/0000-0001-7809-5124</t>
  </si>
  <si>
    <t>2076-3417</t>
  </si>
  <si>
    <t>APPL SCI-BASEL</t>
  </si>
  <si>
    <t>Appl. Sci.-Basel</t>
  </si>
  <si>
    <t>APR 2</t>
  </si>
  <si>
    <t>10.3390/app9081692</t>
  </si>
  <si>
    <t>Chemistry, Multidisciplinary; Engineering, Multidisciplinary; Materials Science, Multidisciplinary; Physics, Applied</t>
  </si>
  <si>
    <t>Chemistry; Engineering; Materials Science; Physics</t>
  </si>
  <si>
    <t>HX3TS</t>
  </si>
  <si>
    <t>WOS:000467316400177</t>
  </si>
  <si>
    <t>Candemir, S; Agizan, K; Dogan, HG; Bayramoglu, Z</t>
  </si>
  <si>
    <t>Candemir, Serhan; Agizan, Kemalettin; Dogan, Hasan Gokhan; Bayramoglu, Zeki</t>
  </si>
  <si>
    <t>Evaluating Energy Efficiency and Carbon Emissions in Banana Cultivation: the Case of Antalya Province in Türkiye</t>
  </si>
  <si>
    <t>Fruit; Climate change; Environment; Sustainability; Food safety</t>
  </si>
  <si>
    <t>GREENHOUSE-GAS EMISSIONS; APPLE PRODUCTION; GHG EMISSIONS; INPUT; AGRICULTURE; CONSUMPTION; FRUIT</t>
  </si>
  <si>
    <t>The aim of this study is to determine the energy efficiency of banana production and the carbon emissions during the production process. For this purpose, a survey study was conducted in Antalya Province, T &amp; uuml;rkiye, in the 2021-2022 agricultural production season. Within the scope of the survey study, the input elements and technical coefficients of banana producers were recorded, and the primary data of the study were collected. The research results revealed that a total of 69,045.29 MJ ha-1 energy input was used in banana production. It was calculated that the total energy input originated from 57,228.45 MJha-1 (82.89%) nitrogenous fertilizer, 5301.59 MJha-1 (7.68%) diesel input, 2147.54 MJha-1 (3.11%) machinery use, 1923.94 MJha-1 (2.79%) labor, and 1258.76 MJha-1 (1.82%) pesticide use. In total, 97.17% of the energy input is provided from non-renewable energy sources, and this result is a risk factor in terms of the sustainability of agriculture. The total carbon emission from banana production was calculated as 2371.23 kg CO2-eq for the entire production, and 0.047 kg CO2-eq per kilogram of banana. It was determined that 40.2% of the total emission was caused by nitrogenous fertilizers, 29.0% by labor, and 11.0% by diesel use. The research findings reveal that fertilization is the most important input in both energy use and carbon emissions. For the sustainability of agricultural production, it is suggested that technical norms be taken into consideration in chemical fertilizer applications and that monitoring processes be developed. In addition, directing efforts toward more environmentally friendly alternatives that can be equivalent to chemical fertilizers can be considered a solution.</t>
  </si>
  <si>
    <t>[Candemir, Serhan] Malatya Turgut Ozal Univ, Fac Agr, Dept Agr Econ, Malatya, Turkiye; [Agizan, Kemalettin] Aydin Adnan Menderes Univ, Fac Agr, Dept Agr Econ, Aydin, Turkiye; [Dogan, Hasan Gokhan] Kirsehir Ahi Evran Univ, Fac Agr, Dept Agr Econ, Kirsehir, Turkiye; [Bayramoglu, Zeki] Selcuk Univ, Fac Agr, Dept Agr Econ, Konya, Turkiye</t>
  </si>
  <si>
    <t>Malatya Turgut Ozal University; Adnan Menderes University; Kirsehir Ahi Evran University; Selcuk University</t>
  </si>
  <si>
    <t>Dogan, HG (corresponding author), Kirsehir Ahi Evran Univ, Fac Agr, Dept Agr Econ, Kirsehir, Turkiye.</t>
  </si>
  <si>
    <t>hg.dogan@ahievran.edu.tr</t>
  </si>
  <si>
    <t>DOĞAN, Hasan/JXX-2034-2024; Ağızan, Kemalettin/O-8422-2018; candemir, serhan/C-2485-2015; Bayramoğlu, Zeki/AAS-5972-2021; Bayramoglu, Zeki/AAS-5972-2021</t>
  </si>
  <si>
    <t>Ağızan, Kemalettin/0000-0002-2340-2614; CANDEMİR, Serhan/0000-0003-4248-7024; DOĞAN, Hasan Gökhan/0000-0002-5303-1770; Bayramoğlu, Zeki/0000-0003-3258-3848;</t>
  </si>
  <si>
    <t>10.1007/s10341-025-01322-w</t>
  </si>
  <si>
    <t>2HL7X</t>
  </si>
  <si>
    <t>WOS:001482753600002</t>
  </si>
  <si>
    <t>Ngoma, H; Mukamuri, B; Silva, JV; Baudron, F</t>
  </si>
  <si>
    <t>Ngoma, Hambulo; Mukamuri, Billy; Silva, Joao Vasco; Baudron, Frederic</t>
  </si>
  <si>
    <t>Heterogenous correlates of mechanization use and rural livelihoods in Zimbabwe: A quantile regression analysis</t>
  </si>
  <si>
    <t>FOOD POLICY</t>
  </si>
  <si>
    <t>Small-scale mechanization; Unconditional quantile regression; Small-scale farmers</t>
  </si>
  <si>
    <t>AFRICA</t>
  </si>
  <si>
    <t>The drive to mechanize and modernize African agriculture is in high gear, making the need for empirical evidence to guide mechanization investments critical. This paper assesses the heterogenous and distributional correlates of using mechanization and rural livelihoods in Chegutu and Zvimba districts of Zimbabwe, where a private sector company had the largest sales of different machinery across the country between 2019 and 2021. We used a quantile regression estimator and measured livelihoods using farm and household revenues. Based on survey data from 988 randomly selected households, we found that adoption was associated with rising land/ labor ratio, market access and wealth. The use of mechanization was associated with a median annual increase of USD 262 in revenue with a wide range from USD 103 at the 25th percentile to USD 2,900 at the 95th percentile per year. The largest revenue gains were associated with post-harvest and irrigation equipment use, and in the upper percentiles of the revenue distribution. These findings call for (i) wealth agnostic promotional efforts to ensure equitable mechanization benefits, (ii) better targeting of mechanization types to farmer needs, and (iii) concerted efforts to strengthen mechanization service provision models.</t>
  </si>
  <si>
    <t>[Ngoma, Hambulo; Silva, Joao Vasco; Baudron, Frederic] Int Maize &amp; Wheat Improvement Ctr CIMMYT, 12 5 Km Peg, Harare, Zimbabwe; [Mukamuri, Billy] Univ Zimbabwe, Dept Community &amp; Social Dev, Harare, Zimbabwe; [Baudron, Frederic] UPR AIDA, Ctr Cooperat Internatl Rech Agronveloppement CIRAD, F-34398 Montpellier, France; [Baudron, Frederic] Univ Montpellier, Agroecol &amp; Intensificat Durable Cultures Annuelles, CIRAD, Montpellier, France</t>
  </si>
  <si>
    <t>University of Zimbabwe; CIRAD; Universite de Montpellier</t>
  </si>
  <si>
    <t>Ngoma, H (corresponding author), Int Maize &amp; Wheat Improvement Ctr CIMMYT, 12 5 Km Peg, Harare, Zimbabwe.</t>
  </si>
  <si>
    <t>h.ngoma@cgiar.org</t>
  </si>
  <si>
    <t>; Silva, João/O-8426-2019</t>
  </si>
  <si>
    <t>Bauon, Frédéric/0000-0002-5648-2083; Ngoma, Hambulo/0000-0002-7050-9625;</t>
  </si>
  <si>
    <t>Australian Center for Interna-tional Agricultural Research (ACIAR) [CROP/2021/166]; USAID; CGIAR Regional Initiative; Ukama Ustawi; CGIAR's Agroecology Initiative: Transforming Food, Land, and Water Systems Across the global south</t>
  </si>
  <si>
    <t>Australian Center for Interna-tional Agricultural Research (ACIAR)(Australian Centre for International Agricultural Research); USAID(United States Agency for International Development (USAID)); CGIAR Regional Initiative; Ukama Ustawi; CGIAR's Agroecology Initiative: Transforming Food, Land, and Water Systems Across the global south</t>
  </si>
  <si>
    <t>We acknowledge funding from the Australian Center for International Agricultural Research (ACIAR) to the HAFIZ (Harnessing Appropriate-scale Farm mechanisation In Zimbabwe) project (CROP/2021/166) . We are grateful to the Zimbabwean Government officers, the University of Zimbabwe (UZ) and research assistants who facilitated fieldwork in Chegutu and Zvimba districts of Zimbabwe. The first author acknowledges additional financial support from the USAID funded Mechanization and Extension Activity, the CGIAR Regional Initiative, Ukama Ustawi and the CGIAR's Agroecology Initiative: Transforming Food, Land, and Water Systems Across the global south. We thank the Editor and three anonymous reviewers who provided detailed feedback over multiple rounds that helped improve the manuscript substantially. Authors are responsible for any errors and omissions.</t>
  </si>
  <si>
    <t>0306-9192</t>
  </si>
  <si>
    <t>1873-5657</t>
  </si>
  <si>
    <t>Food Policy</t>
  </si>
  <si>
    <t>10.1016/j.foodpol.2024.102795</t>
  </si>
  <si>
    <t>JAN 2025</t>
  </si>
  <si>
    <t>Agricultural Economics &amp; Policy; Economics; Food Science &amp; Technology; Nutrition &amp; Dietetics</t>
  </si>
  <si>
    <t>Agriculture; Business &amp; Economics; Food Science &amp; Technology; Nutrition &amp; Dietetics</t>
  </si>
  <si>
    <t>S5D3S</t>
  </si>
  <si>
    <t>WOS:001398422000001</t>
  </si>
  <si>
    <t>Shah, JA; Ullah, S; Chen, DY; Wu, JP</t>
  </si>
  <si>
    <t>Shah, Jawad Ali; Ullah, Saif; Chen, Deyun; Wu, Jianping</t>
  </si>
  <si>
    <t>Di-(2-ethylhexyl) phthalate (DEHP) contamination suppressed soil microbial biomass carbon and mitigated CO2 emissions against the background of alfalfa from different soils</t>
  </si>
  <si>
    <t>ECOTOXICOLOGY AND ENVIRONMENTAL SAFETY</t>
  </si>
  <si>
    <t>Di-(2-ethylhexyl) phthalate; Carbon dioxide emissions; Microbial biomass carbon; Alfalfa inclusion; Soil types</t>
  </si>
  <si>
    <t>AGRICULTURAL SOILS; CHINA</t>
  </si>
  <si>
    <t>Plastic mulching and organic amendments are prevalent agricultural practices worldwide. Plastic mulching has long been suspected as a significant source of DEHP contamination in terrestrial ecosystems. However, effects of DEHP contamination on greenhouse gas emissions and microbial biomass carbon (MBC) remain unclear. Here, a microcosm experiment was set up to assess the impact of DEHP exposure on MBC and carbon dioxide (CO2) emission in two different soils (acidic and alkaline) with the inclusion of alfalfa straw. The treatment includes: (i) control with no amendment (T1); (ii) alfalfa straw addition (20 g kg -1) (T2); (iii) DEHP (10 mg kg -1) + alfalfa straw (T3); and (iv) DEHP (100 mg kg - 1) + alfalfa straw (T4). Against the background of alfalfa inclusion, DEHP exposure led to a potential reduction in cumulative CO2 emissions by 16.35 % and 6.91 % in alkaline soil and 12.27 % and 13.65 % in acidic soil for T3 and T4, respectively. The addition of DEHP triggered CO2 emissions and manifested a detrimental negative priming effect in both soil types. In both soils, average CO2 emission fluxes were highest for the T2 treatment. The MBC fluctuated at around 80 mg kg - 1 for the control group, alfalfa straw alone (T2) treatment considerably enhanced MBC contents, whereas DEHP contamination in T3 and T4 treatments suppressed the stimulatory effect of alfalfa on MBC in both alkaline and acidic soils. Furthermore, a positive relationship was observed between soil CO2 emissions and MBC in both soils. Overall, these findings highlight the toxic impact of DEHP on MBC and its role in mitigating CO2 emissions in diverse soils. DEHP exposure counters the CO2 emissions induced by alfalfa straw. In addition, the inhibitory effect of DEHP on CO2 fluxes in alkaline soil is less pronounced than in acidic soil. Therefore, further cutting-edge research is crucial since DEHP contamination poses serious ecological threats to agroecosystems.</t>
  </si>
  <si>
    <t>[Shah, Jawad Ali; Ullah, Saif; Chen, Deyun; Wu, Jianping] Yunnan Univ, Yunnan Key Lab Plant Reprod Adaptat &amp; Evolutionary, Minist Educ Key Lab Transboundary Ecosecur Southwe, Kunming 650500, Peoples R China; [Shah, Jawad Ali; Ullah, Saif; Chen, Deyun; Wu, Jianping] Yunnan Univ, Inst Biodivers, Sch Ecol &amp; Environm Sci, Kunming 650500, Peoples R China; [Shah, Jawad Ali; Ullah, Saif; Chen, Deyun; Wu, Jianping] Yunnan Univ, Key Lab Soil Ecol &amp; Hlth Univ Yunnan Prov, Kunming 650500, Peoples R China; [Shah, Jawad Ali; Wu, Jianping] Yunnan Univ, Yunnan Key Lab Carbon Neutral &amp; Green Low Carbon T, Kunming 650500, Peoples R China; [Wu, Jianping] Yunnan Univ, Guozhong Bldg 4521, Kunming 650500, Peoples R China</t>
  </si>
  <si>
    <t>Yunnan University; Yunnan University; Yunnan University; Yunnan University; Yunnan University</t>
  </si>
  <si>
    <t>Wu, JP (corresponding author), Yunnan Univ, Guozhong Bldg 4521, Kunming 650500, Peoples R China.</t>
  </si>
  <si>
    <t>jianping.wu@ynu.edu.cn</t>
  </si>
  <si>
    <t>ULLAH, SAIF/AAC-2848-2022; Shah, Jawad Ali/HJJ-0762-2023</t>
  </si>
  <si>
    <t>, Saif Ullah/0009-0008-8287-3775;</t>
  </si>
  <si>
    <t>China Scholarship Council (CSC) [2017GXZ009607]; Xingdian Scholar Fund of Yunnan Province; Double Top University Fund of Yunnan University</t>
  </si>
  <si>
    <t>China Scholarship Council (CSC)(China Scholarship Council); Xingdian Scholar Fund of Yunnan Province; Double Top University Fund of Yunnan University</t>
  </si>
  <si>
    <t>This work was supported by the China Scholarship Council (CSC) through a scholarship No. (No.2017GXZ009607) , the Xingdian Scholar Fund of Yunnan Province, and the Double Top University Fund of Yunnan University.</t>
  </si>
  <si>
    <t>0147-6513</t>
  </si>
  <si>
    <t>1090-2414</t>
  </si>
  <si>
    <t>ECOTOX ENVIRON SAFE</t>
  </si>
  <si>
    <t>Ecotox. Environ. Safe.</t>
  </si>
  <si>
    <t>10.1016/j.ecoenv.2024.116073</t>
  </si>
  <si>
    <t>FEB 2024</t>
  </si>
  <si>
    <t>Environmental Sciences; Toxicology</t>
  </si>
  <si>
    <t>Environmental Sciences &amp; Ecology; Toxicology</t>
  </si>
  <si>
    <t>KR9K9</t>
  </si>
  <si>
    <t>WOS:001181809600001</t>
  </si>
  <si>
    <t>Zhao, YQ; Ning, SR; Yan, A; Jiang, PG; Ren, HP; Li, N; Huo, TT; Sheng, JD</t>
  </si>
  <si>
    <t>Zhao, Yiqi; Ning, Songrui; Yan, An; Jiang, Pingan; Ren, Huipeng; Li, Ning; Huo, Tingting; Sheng, Jiandong</t>
  </si>
  <si>
    <t>Analysis of Carbon Emissions and Ecosystem Service Value Caused by Land Use Change, and Its Coupling Characteristics in the Wensu Oasis, Northwest China</t>
  </si>
  <si>
    <t>land use carbon emissions; cultivated land; spatial autocorrelation; PLUS model; remote sensing; sensitivity analysis</t>
  </si>
  <si>
    <t>Oases in arid regions are crucial for sustaining agricultural production and ecological stability, yet few studies have simultaneously examined the coupled dynamics of land use/cover change (LUCC), carbon emissions, and ecosystem service value (ESV) at the oasis-agricultural scale. This gap limits our understanding of how different land use trajectories shape trade-offs between carbon processes and ecosystem services in fragile arid ecosystems. This study examines the spatiotemporal interactions between land use carbon emissions and ESV from 1990 to 2020 in the Wensu Oasis, Northwest China, and predicts their future trajectories under four development scenarios. Multi-period remote sensing data, combined with the carbon emission coefficient method, modified equivalent factor method, spatial autocorrelation analysis, the coupling coordination degree model, and the PLUS model, were employed to quantify LUCC patterns, carbon emission intensity, ESV, and its coupling relationships. The results indicated that (1) cultivated land, construction land, and unused land expanded continuously (by 974.56, 66.77, and 1899.36 km2), while grassland, forests, and water bodies declined (by 1363.93, 77.92, and 1498.83 km2), with the most pronounced changes occurring between 2000 and 2010; (2) carbon emission intensity increased steadily-from 23.90 x 104 t in 1990 to 169.17 x 104 t in 2020-primarily driven by construction land expansion-whereas total ESV declined by 46.37%, with water and grassland losses contributing substantially; (3) carbon emission intensity and ESV exhibited a significant negative spatial correlation, and the coupling coordination degree remained low, following a high in the north, low in the south distribution; and (4) scenario simulations for 2030-2050 suggested that this negative correlation and low coordination will persist, with only the ecological protection scenario (EPS) showing potential to enhance both carbon sequestration and ESV. Based on spatial clustering patterns and scenario outcomes, we recommend spatially differentiated land use regulation and prioritizing EPS measures, including glacier and wetland conservation, adoption of water-saving irrigation technologies, development of agroforestry systems, and renewable energy utilization on unused land. By explicitly linking LUCC-driven carbon-ESV interactions with scenario-based prediction and evaluation, this study provides new insights into oasis sustainability, offers a scientific basis for balancing agricultural production with ecological protection in the oasis of the arid region, and informs China's dual-carbon strategy, as well as the Sustainable Development Goals.</t>
  </si>
  <si>
    <t>[Zhao, Yiqi; Ning, Songrui; Ren, Huipeng; Li, Ning; Huo, Tingting] Xian Univ Technol, State Key Lab Water Engn Ecol &amp; Environm Arid Area, Xian 710048, Peoples R China; [Yan, An] Xinjiang Agr Univ, Coll Grassland Sci, Urumqi 830052, Peoples R China; [Jiang, Pingan; Sheng, Jiandong] Xinjiang Agr Univ, Coll Resources &amp; Environm, Urumqi 830052, Peoples R China</t>
  </si>
  <si>
    <t>Xi'an University of Technology; Xinjiang Agricultural University; Xinjiang Agricultural University</t>
  </si>
  <si>
    <t>Ning, SR (corresponding author), Xian Univ Technol, State Key Lab Water Engn Ecol &amp; Environm Arid Area, Xian 710048, Peoples R China.</t>
  </si>
  <si>
    <t>18103416163@163.com; ningsongrui@163.com; zryanan@163.com; jpa@xjau.edu.cn; 15664663950@163.com; 17590693657@163.com; 19803141320@163.com; sjd@xjau.edu.cn</t>
  </si>
  <si>
    <t>Huo, Tingting/KZU-2960-2024</t>
  </si>
  <si>
    <t>Ning, Songrui/0000-0001-5026-2509</t>
  </si>
  <si>
    <t>Key Research and Development Program of the Xinjiang Uygur Autonomous Region [2023A02002-2, 2024B03023-3]; Natural Science Foundation of Xinjiang Uygur Autonomous Region [2025D01D17]; National Natural Science Foundation of China [32160527]</t>
  </si>
  <si>
    <t>Key Research and Development Program of the Xinjiang Uygur Autonomous Region; Natural Science Foundation of Xinjiang Uygur Autonomous Region; National Natural Science Foundation of China(National Natural Science Foundation of China (NSFC))</t>
  </si>
  <si>
    <t>This research was funded by the Key Research and Development Program of the Xinjiang Uygur Autonomous Region (2023A02002-2 and 2024B03023-3), the National Natural Science Foundation of China (32160527), and the Natural Science Foundation of Xinjiang Uygur Autonomous Region (2025D01D17).</t>
  </si>
  <si>
    <t>SEP 29</t>
  </si>
  <si>
    <t>10.3390/agronomy15102307</t>
  </si>
  <si>
    <t>9BG3G</t>
  </si>
  <si>
    <t>WOS:001602227100001</t>
  </si>
  <si>
    <t>Liu, CY; Liu, ZL; Cui, BF; Yang, HQ; Gao, CD; Chang, MM; Liu, YP</t>
  </si>
  <si>
    <t>Liu, Chenyu; Liu, Zhiling; Cui, Bofei; Yang, Haiqing; Gao, Chengda; Chang, Mingming; Liu, Yueping</t>
  </si>
  <si>
    <t>Effects of returning peach branch waste to fields on soil carbon cycle mediated by soil microbial communities</t>
  </si>
  <si>
    <t>FRONTIERS IN MICROBIOLOGY</t>
  </si>
  <si>
    <t>peach branch waste; soil chemical property; soil organic carbon; CO2 fluxes; soil microbial community</t>
  </si>
  <si>
    <t>ORGANIC-CARBON; FERTILIZER; BIOMASS</t>
  </si>
  <si>
    <t>In recent years, the rise in greenhouse gas emissions from agriculture has worsened climate change. Efficiently utilizing agricultural waste can significantly mitigate these effects. This study investigated the ecological benefits of returning peach branch waste to fields (RPBF) through three innovative strategies: (1) application of peach branch organic fertilizer (OF), (2) mushroom cultivation using peach branches as a substrate (MC), and (3) surface mulching with peach branches (SM). Conducted within a peach orchard ecosystem, our research aimed to assess these resource utilization strategies' effects on soil properties, microbial community, and carbon cycle, thereby contributing to sustainable agricultural practices. Our findings indicated that all RPBF treatments enhance soil nutrient content, enriching beneficial microorganisms, such as Humicola, Rhizobiales, and Bacillus. Moreover, soil AP and AK were observed to regulate the soil carbon cycle by altering the compositions and functions of microbial communities. Notably, OF and MC treatments were found to boost autotrophic microorganism abundance, thereby augmenting the potential for soil carbon sequestration and emission reduction. Interestingly, in peach orchard soil, fungal communities were found to contribute more greatly to SOC content than bacterial communities. However, SM treatment resulted in an increase in the presence of bacterial communities, thereby enhancing carbon emissions. Overall, this study illustrated the fundamental pathways by which RPBF treatment affects the soil carbon cycle, providing novel insights into the rational resource utilization of peach branch waste and the advancement of ecological agriculture.</t>
  </si>
  <si>
    <t>[Liu, Chenyu; Liu, Zhiling; Cui, Bofei; Chang, Mingming; Liu, Yueping] Beijing Univ Agr, Coll Biosci &amp; Resource Environm, Beijing, Peoples R China; [Yang, Haiqing] Fruit Ind Serve Ctr Pinggu Dist, Beijing, Peoples R China; [Gao, Chengda] Beijing Univ Agr, Coll Humanities &amp; Urban Rural Dev, Beijing, Peoples R China; [Liu, Yueping] Beijing Univ Agr, Key Lab Northern Urban Agr, Minist Agr &amp; Rural Affairs, Beijing, Peoples R China</t>
  </si>
  <si>
    <t>Beijing University of Agriculture; Beijing University of Agriculture; Beijing University of Agriculture</t>
  </si>
  <si>
    <t>Chang, MM; Liu, YP (corresponding author), Beijing Univ Agr, Coll Biosci &amp; Resource Environm, Beijing, Peoples R China.;Liu, YP (corresponding author), Beijing Univ Agr, Key Lab Northern Urban Agr, Minist Agr &amp; Rural Affairs, Beijing, Peoples R China.</t>
  </si>
  <si>
    <t>changmingming@bua.edu.cn; liuyueping@bua.edu.cn</t>
  </si>
  <si>
    <t>Cui, BF/MDS-6658-2025; liu, chenyu/LSL-1934-2024</t>
  </si>
  <si>
    <t>Deloitte Charity Foundation - Demonstration of Low-Carbon Circular Agriculture in Pinggu District [202101226]</t>
  </si>
  <si>
    <t>Deloitte Charity Foundation - Demonstration of Low-Carbon Circular Agriculture in Pinggu District</t>
  </si>
  <si>
    <t>The author(s) declare that financial support was received for the research, authorship, and/or publication of this article. This study was supported by the Deloitte Charity Foundation - Demonstration of Low-Carbon Circular Agriculture in Pinggu District (202101226).r The author(s) declare that financial support was received for the research, authorship, and/or publication of this article. This study was supported by the Deloitte Charity Foundation - Demonstration of Low-Carbon Circular Agriculture in Pinggu District (202101226).</t>
  </si>
  <si>
    <t>1664-302X</t>
  </si>
  <si>
    <t>FRONT MICROBIOL</t>
  </si>
  <si>
    <t>Front. Microbiol.</t>
  </si>
  <si>
    <t>JUN 18</t>
  </si>
  <si>
    <t>10.3389/fmicb.2024.1406661</t>
  </si>
  <si>
    <t>Microbiology</t>
  </si>
  <si>
    <t>XF2O1</t>
  </si>
  <si>
    <t>WOS:001260204800001</t>
  </si>
  <si>
    <t>Shaaban, M; Peng, Q; Hu, RR; Lin, S; Wu, YP; Ullah, B; Zhao, JS; Liu, SR; Li, YY</t>
  </si>
  <si>
    <t>Shaaban, Muhammad; Peng, Qian; Hu, Ronggui; Lin, Shan; Wu, Yupeng; Ullah, Bashir; Zhao, Jinsong; Liu, Shurong; Li, Yayu</t>
  </si>
  <si>
    <t>Dissolved Organic Carbon and Nitrogen Mineralization Strongly Affect CO2 Emissions Following Lime Application to Acidic Soil</t>
  </si>
  <si>
    <t>JOURNAL OF THE CHEMICAL SOCIETY OF PAKISTAN</t>
  </si>
  <si>
    <t>Carbon dioxide emission; Soil pH; Dissolved organic carbon; N mineralization; Acidic soil</t>
  </si>
  <si>
    <t>PH; MATTER; TEMPERATURE</t>
  </si>
  <si>
    <t>Emission of greenhouse gases from agricultural soils has main contribution to the climatic change and global warming. Dynamics of dissolved organic carbon (DOC) and nitrogen mineralization can affect CO2 emission from soils. Influence of DOC and nitrogen mineralization on CO2 emissions following lime application to acidic soil was investigated in current study. Laboratory experiment was conducted under aerobic conditions with 25% moisture contents (66% water-filled pore space) at 25 degrees C in the dark conditions. Different treatments of lime were applied to acidic soil as follows: CK (control), L (low rate of lime: 0.2g lime / 100 g soil) and H (high rate of lime: 0.5g lime / 100g soil). CO2 emissions were measured by gas chromatography and dissolved organic carbon, NH4+-N, NO3--N and soil pH were measured during incubation study. Addition of lime to acidic soil significantly increased the concentration of DOC and N mineralization rate. Higher concentrations of DOC and N mineralization, consequently, increased the CO2 emissions from lime treated soils. Cumulative CO2 emission was 75% and 71% higher from L and H treatments as compared to CK. The results of current study suggest that DOC and N mineralization are critical in controlling gaseous emissions of CO2 from acidic soils following lime application.</t>
  </si>
  <si>
    <t>[Shaaban, Muhammad; Peng, Qian; Hu, Ronggui; Lin, Shan; Wu, Yupeng; Ullah, Bashir; Zhao, Jinsong; Li, Yayu] Huazhong Agr Univ, Coll Resources &amp; Environm, Wuhan 430070, Peoples R China; [Liu, Shurong] Forschungszentrum Julich, Agrosphere IBG 3, D-52425 Julich, Germany</t>
  </si>
  <si>
    <t>Huazhong Agricultural University; Helmholtz Association; Julich Research Centre</t>
  </si>
  <si>
    <t>Hu, RR (corresponding author), Huazhong Agr Univ, Coll Resources &amp; Environm, Wuhan 430070, Peoples R China.</t>
  </si>
  <si>
    <t>shaaban41@gmail.com; rghu@mail.hzau.edu.cn</t>
  </si>
  <si>
    <t>Shaaban, Muhammad/F-7466-2013; Wu, Yupeng/O-4706-2015; Zhao, Jinsong/D-2181-2009</t>
  </si>
  <si>
    <t>Shaaban, Muhammad/0000-0002-2314-7983; Wu, Yupeng/0000-0002-3034-0677; Zhao, Jinsong/0000-0002-8289-2326</t>
  </si>
  <si>
    <t>National Basic Research Program of China [2012CB417106]; National Natural Science Foundation of China [41171212]; Program for Changjiang Scholars and Innovative Research Team in University [IRT1247]</t>
  </si>
  <si>
    <t>National Basic Research Program of China(National Basic Research Program of China); National Natural Science Foundation of China(National Natural Science Foundation of China (NSFC)); Program for Changjiang Scholars and Innovative Research Team in University(Program for Changjiang Scholars &amp; Innovative Research Team in University (PCSIRT))</t>
  </si>
  <si>
    <t>This research work was supported by the National Basic Research Program of China (2012CB417106), National Natural Science Foundation of China (41171212), and also by Program for Changjiang Scholars and Innovative Research Team in University (IRT1247).</t>
  </si>
  <si>
    <t>CHEM SOC PAKISTAN</t>
  </si>
  <si>
    <t>KARACHI</t>
  </si>
  <si>
    <t>HEJ RES INST CHEM UNIV KARACHI, 75270 KARACHI, PAKISTAN</t>
  </si>
  <si>
    <t>0253-5106</t>
  </si>
  <si>
    <t>J CHEM SOC PAKISTAN</t>
  </si>
  <si>
    <t>J. Chem. Soc. Pak.</t>
  </si>
  <si>
    <t>Chemistry, Multidisciplinary</t>
  </si>
  <si>
    <t>Chemistry</t>
  </si>
  <si>
    <t>CB2DC</t>
  </si>
  <si>
    <t>WOS:000349435900015</t>
  </si>
  <si>
    <t>Sun, Q; Ebersole, C; Wong, DP; Curtis, K</t>
  </si>
  <si>
    <t>Sun, Qun; Ebersole, Craig; Wong, Deborah Parker; Curtis, Karley</t>
  </si>
  <si>
    <t>The Impact of Vineyard Mechanization on Grape and Wine Phenolics, Aroma Compounds, and Sensory Properties</t>
  </si>
  <si>
    <t>FERMENTATION-BASEL</t>
  </si>
  <si>
    <t>Review</t>
  </si>
  <si>
    <t>vineyard mechanization; phenolics; aroma compounds; sensory properties</t>
  </si>
  <si>
    <t>VITIS-VINIFERA L.; MECHANICAL CANOPY MANAGEMENT; LEAF REMOVAL; CABERNET-SAUVIGNON; ULTRAVIOLET-RADIATION; FRUIT; SYRAH; BERRY; ATTRIBUTES; QUALITY</t>
  </si>
  <si>
    <t>Grapes are one of the most valuable fruit crops in the United States and can be processed into a variety of products. The grape and wine industry contributes to and impacts the U.S. agricultural economy. However, rising labor costs and global competition pose challenges for the grape and wine industry. Vineyard mechanization is a promising strategy to increase efficiency and address the labor shortage and cost issues. Recent studies have focused on the impact of vineyard mechanization on general grape and wine quality. Wine phenolics, aroma compounds, and sensory characteristics are the key indicators of wine quality and consumer preference. This article aims to review the impact of vineyard mechanization, specifically mechanical harvesting, mechanical leaf removal, mechanical shoot thinning, cluster thinning, and mechanical pruning on grape and wine phenolics, and aroma compounds and sensory profile. Studies have shown that vineyard mechanization significantly affects phenolic and aroma compounds, especially grape-derived aroma compounds such as volatile thiols, terpenes, C13-norpentadiene, and methoxypyrazine. Mechanically processed grapes can produce wines of the same or better quality than wines made from hand-operated grapes. Vineyard mechanization could be a promising strategy for grape growers to reduce operating costs and maintain or improve grape and wine quality. Future research directions in the area of vineyard mechanization were discussed. It provides a comprehensive view and information on the topic to both grape growers and winemakers in the application of vineyard mechanization.</t>
  </si>
  <si>
    <t>[Sun, Qun; Ebersole, Craig; Wong, Deborah Parker; Curtis, Karley] Calif State Univ Fresno, Dept Viticulture &amp; Enol, 2360 E Barstow Ave, Fresno, CA 93740 USA</t>
  </si>
  <si>
    <t>California State University System; California State University Fresno</t>
  </si>
  <si>
    <t>Sun, Q (corresponding author), Calif State Univ Fresno, Dept Viticulture &amp; Enol, 2360 E Barstow Ave, Fresno, CA 93740 USA.</t>
  </si>
  <si>
    <t>qsun@csufresno.edu; ebersole@mail.fresnostate.edu; deborahparkerwong@mail.fresnostate.edu; knicole@mail.fresnostate.edu</t>
  </si>
  <si>
    <t>Sun, Qun/HJY-4591-2023; PARKER WONG, DEBORAH/HLP-7081-2023</t>
  </si>
  <si>
    <t>2311-5637</t>
  </si>
  <si>
    <t>FERMENTATION</t>
  </si>
  <si>
    <t>10.3390/fermentation8070318</t>
  </si>
  <si>
    <t>Biotechnology &amp; Applied Microbiology; Food Science &amp; Technology</t>
  </si>
  <si>
    <t>3J2WC</t>
  </si>
  <si>
    <t>WOS:000833259700001</t>
  </si>
  <si>
    <t>Angnes, G; Diotto, AV; Rodias, E; Romanelli, TL</t>
  </si>
  <si>
    <t>Angnes, Graciele; Diotto, Adriano Valentim; Rodias, Efthymios; Romanelli, Thiago Liborio</t>
  </si>
  <si>
    <t>Water and Carbon Footprints of Biomass Production Assets: Drip and Center Pivot Irrigation Systems</t>
  </si>
  <si>
    <t>sustainability; life-cycle assessment; environmental analyses; environmental impacts; environmental footprints; agricultural engineering</t>
  </si>
  <si>
    <t>LIFE-CYCLE; ENERGY; EMISSIONS</t>
  </si>
  <si>
    <t>Studies on the environmental footprints of agricultural production have strong links with 4 out of the 17 Sustainable Development Goals (SDG) established by the United Nations. Irrigation systems are essential tools for increasing agricultural yields, particularly in arid regions. However, the production and assembly of these systems can have significant environmental impacts, including excessive water consumption and greenhouse gas emissions. Although studies have approached biomass production, few of them have provided data about asset depreciation, such as irrigation systems, machinery, etc. Trying to fill this gap, this study aimed at determining the water and carbon footprints of two commonly used irrigation systems: center pivot and drip. Several variables, including the irrigated area, pump power, filter type, system flow, and pipe length, were analyzed to determine the carbon and water footprints of each component of the irrigation systems. The results reveal that the materials used for pipes and filters had the most significant impact on the water and carbon footprints, with galvanized steel pipes and sand filters having the highest footprints. Additionally, the irrigated area affected the center pivot and drip systems differently, with the depreciation of the irrigation systems being a significant variable for both water and carbon footprints. These results can support the development of sustainable irrigation practices that reduce environmental impacts while enhancing agricultural yields. Decision-makers can use this information to establish a life-cycle database and evaluate the impact of irrigation systems on water and carbon footprints.</t>
  </si>
  <si>
    <t>[Angnes, Graciele; Romanelli, Thiago Liborio] Univ Sao Paulo, Luiz de Queiroz Coll Agr, Dept Biosyst Engn, Lab Syst Management &amp; Sustainabil, BR-13418900 Piracicaba, Brazil; [Diotto, Adriano Valentim] Fed Univ Lavras UFLA, Coll Engn, Dept Water Resources, BR-37203202 Lavras, Brazil; [Rodias, Efthymios] Ctr Res &amp; Technol Hellas CERTH, Inst Bioecon &amp; Agritechnol iBO, Athens 11527, Greece</t>
  </si>
  <si>
    <t>Universidade de Sao Paulo; Centre for Research &amp; Technology Hellas</t>
  </si>
  <si>
    <t>Romanelli, TL (corresponding author), Univ Sao Paulo, Luiz de Queiroz Coll Agr, Dept Biosyst Engn, Lab Syst Management &amp; Sustainabil, BR-13418900 Piracicaba, Brazil.</t>
  </si>
  <si>
    <t>romanelli@usp.br</t>
  </si>
  <si>
    <t>Romanelli, Thiago/I-9361-2012; Diotto, Adriano/A-9297-2013; Diotto, Aiano Valentim/A-9297-2013</t>
  </si>
  <si>
    <t>Diotto, Aiano Valentim/0000-0002-4019-2444; Angnes, Graciele/0000-0002-7097-7429</t>
  </si>
  <si>
    <t>MAY 18</t>
  </si>
  <si>
    <t>10.3390/su15108199</t>
  </si>
  <si>
    <t>H6PC8</t>
  </si>
  <si>
    <t>WOS:000997150200001</t>
  </si>
  <si>
    <t>Dyer, JA; Vergé, XPC</t>
  </si>
  <si>
    <t>Dyer, James A.; Verge, Xavier P. C.</t>
  </si>
  <si>
    <t>The Role of Canadian Agriculture in Meeting Increased Global Protein Demand with Low Carbon Emitting Production</t>
  </si>
  <si>
    <t>livestock and pulse protein; greenhouse gas emissions; daily protein intake; performance indicators</t>
  </si>
  <si>
    <t>GREENHOUSE-GAS EMISSIONS; LIVESTOCK PRODUCTION; FOOTPRINT</t>
  </si>
  <si>
    <t>Although the demand on agriculture to produce food could double by 2050, changing diets will expand the global demand for protein even faster. Canadian livestock producers will likely expand in response to this market opportunity. Because of the high greenhouse gas (GHG) emissions from animal protein production, the portion of this protein demand that can be met by pulse crops must be considered. The protein basis for GHG emission intensity was assessed for 2006 using a multi-commodity GHG emissions inventory model. Because arable land is required for other agricultural products, protein production and GHG emissions were also assessed on the basis of the land use. GHG emissions per unit of protein are one or two orders of magnitude higher for protein from livestock, particularly ruminants, than for protein from pulses. The protein production from pulses was moderately higher per unit of land than the protein from livestock. This difference was greater when soybeans were the only pulse in the comparison. Protein from livestock, especially ruminants, resulted in much higher GHG emissions per unit of land than the protein from pulses. A shift towards more protein from pulses could assure a better global protein supply and reduce GHG emissions associated with that supply.</t>
  </si>
  <si>
    <t>Dyer, JA (corresponding author), 122 Hexam St, Cambridge, ON N3H 3Z9, Canada.</t>
  </si>
  <si>
    <t>jamesdyer@sympatico.ca; xavier_vrg@yahoo.fr</t>
  </si>
  <si>
    <t>10.3390/agronomy5040569</t>
  </si>
  <si>
    <t>DA2HE</t>
  </si>
  <si>
    <t>WOS:000367615100007</t>
  </si>
  <si>
    <t>Liu, J; Yasir, H; Tahir, H; Awan, AG</t>
  </si>
  <si>
    <t>Liu, Jia; Yasir, Hassa; Tahir, Haseeb; Awan, Abdul Ghafoor</t>
  </si>
  <si>
    <t>Full mechanization: a path to increased farm income, food security, and environmental quality in developing countries</t>
  </si>
  <si>
    <t>Agriculture mechanization; PSM-model; Impact evaluation; Farm income; Food sufficiency; Environmental quality</t>
  </si>
  <si>
    <t>Agriculture mechanization has been recognized as one of the significant pathways for ensuring high farm income and food security among farmers in developing countries. However, the adoption level of agricultural machinery is still very low in these countries due to some socio- economic limitations. Hence, agricultural mechanization concept is at the top of the policy, development and research agenda in developing countries and limited empirical evidence is available about farmer's adoption of agriculture mechanization and its impact on the farm income food security and environmental quality at household level in developing countries. For this purpose, cross-sectional data was collected by using multistage sampling technique from 370 farmers of Punjab, Pakistan. Propensity score matching (PSM) technique was used to assess the impact of mechanization adoption on farm income and food security. The results show that adopting the full mechanized strategy in every production stage of farming significantly and positively influences the farm income by 55% and ensures the in food scurity up to 125% as compared to semi mechanized strategy adopters. Furthermore, the logit model was employed to analyze the factors affecting farmer's adoption decision towards agriculture mechanization which shows that age, education, farming experience, operational land holding, extension service and access to credit significantly influences the adoption of full mechanization strategy. The adoption of full mechanization is cost-effective at every production stage of farming. Because implementing the machinery leads to the development of precision agriculture and prevents the input losses i.e. (seeds, pesticides, fertilizer). This insight will be helpful for policy makers to promote agriculture mechanization among farmers ultimately which will contribute in ensuring food availability at household level</t>
  </si>
  <si>
    <t>[Liu, Jia] Harbin Univ, Sch Econ &amp; Management, Harbin 150086, Heilongjiang, Peoples R China; [Yasir, Hassa; Tahir, Haseeb] Super Univ, Lahore, Pakistan; [Awan, Abdul Ghafoor] Inst Southern Punjab, Fac Management Sci, Multan, Pakistan</t>
  </si>
  <si>
    <t>Harbin University</t>
  </si>
  <si>
    <t>Awan, AG (corresponding author), Inst Southern Punjab, Fac Management Sci, Multan, Pakistan.</t>
  </si>
  <si>
    <t>liujia@hrbu.edu.cn; link2hussanyasir@gmail.com; meet_haseeb349@yahoo.com; drabdulghafoorawan@gmail.com</t>
  </si>
  <si>
    <t>Awan, Abdul Ghafoor/M-9196-2015; Awan, Dr Abdul Ghafoor/M-9196-2015</t>
  </si>
  <si>
    <t>Awan, Abdul Ghafoor/0000-0001-5767-6229;</t>
  </si>
  <si>
    <t>2025 JAN 20</t>
  </si>
  <si>
    <t>10.1007/s10668-024-05720-0</t>
  </si>
  <si>
    <t>U1U4J</t>
  </si>
  <si>
    <t>WOS:001409728500001</t>
  </si>
  <si>
    <t>Tang, JC; Li, CF; Tan, WF; Cao, CG; Zhang, WJ; Zhang, L; Hu, QY; Xiong, H; Luo, J; Song, WJ; Liu, TQ</t>
  </si>
  <si>
    <t>Tang, Jichao; Li, Chengfang; Tan, Wenfeng; Cao, Cougui; Zhang, Weijian; Zhang, Lu; Hu, Quanyi; Xiong, Hang; Luo, Jing; Song, Wenjie; Liu, Tianqi</t>
  </si>
  <si>
    <t>Introducing soil air injection device to reduce carbon footprint of rice production system in China</t>
  </si>
  <si>
    <t>Life cycle assessment; Rice field; Air injection for soil; Carbon footprint; Knowledge-attitude-practice; Economic output</t>
  </si>
  <si>
    <t>GREENHOUSE-GAS EMISSIONS; WATER-USE EFFICIENCY; NITROUS-OXIDE; AERATED IRRIGATION; CROP PRODUCTION; YIELD; RESPIRATION; OXYGATION; KNOWLEDGE; ATTITUDE</t>
  </si>
  <si>
    <t>Improving soil aeration in paddy fields using mechanical device reduces methane (CH4) emissions, whereas it also increases the contribution of other sources (device production, agricultural inputs, etc.). Here, this study applied the life cycle assessment (LCA) method to evaluate the carbon footprint of a soil air injection device (SAID) in rice field. We further analyzed the prospects of this device in promoting carbon emission reduction in China's main rice-producing areas, which was combined with economic benefit calculation and revised knowledge-attitude-practice (KAP) model. Results showed that the reduction of net carbon emissions from paddy fields under SAID treatment was 4.51-241.95% higher than the total carbon emissions from the production, transportation, operation, and recycling of SAID. The economic output of using SAID in rice fields could just offset the cost of it. With reasonable government subsidies (142.80-349.95 yuan SAID(-1) yr(-1)), SAID can reduce carbon emissions from Chinese rice fields by similar to 41.60 Tg CO2-eq yr(-1). This study suggests that using SAID in some rice planting areas in China may be an effective way to reduce carbon emissions.</t>
  </si>
  <si>
    <t>[Liu, Tianqi] Northeast Agr Univ, Sch Resources &amp; Environm, Harbin 150030, Peoples R China; [Tang, Jichao; Li, Chengfang; Cao, Cougui; Hu, Quanyi; Luo, Jing; Liu, Tianqi] Huazhong Agr Univ, Coll Plant Sci &amp; Technol, MOA Key Lab Crop Ecophysiol &amp; Farming Syst Middle, Wuhan 430070, Peoples R China; [Tan, Wenfeng; Liu, Tianqi] Huazhong Agr Univ, Coll Resources &amp; Environm, Wuhan 430070, Peoples R China; [Zhang, Weijian] Chinese Acad Agr Sci, Inst Crop Sci, Key Lab Crop Physiol &amp; Ecol, Minist Agr, Beijing 100081, Peoples R China; [Zhang, Lu; Xiong, Hang] Huazhong Agr Univ, Coll Econ &amp; Management, Wuhan 430070, Peoples R China; [Song, Wenjie] Yangtze Univ, Agr Coll, Hubei Collaborat Innovat Ctr Grain Ind, Jingzhou 434025, Peoples R China; [Liu, Tianqi] 600 Changjiang St, Harbin 150030, Heilongjiang, Peoples R China</t>
  </si>
  <si>
    <t>Northeast Agricultural University - China; Huazhong Agricultural University; Chinese Academy of Agricultural Sciences; Institute of Crop Sciences, CAAS; Huazhong Agricultural University; Yangtze University</t>
  </si>
  <si>
    <t>Liu, TQ (corresponding author), 600 Changjiang St, Harbin 150030, Heilongjiang, Peoples R China.</t>
  </si>
  <si>
    <t>cppc161@163.com</t>
  </si>
  <si>
    <t>Tan, Wenfeng/G-5736-2011; Xiong, Hang/JFB-1203-2023; Hu, Quanyi/JQW-6350-2023; song, wenjie/HKM-8755-2023</t>
  </si>
  <si>
    <t>Hu, Quanyi/0009-0002-1662-7118;</t>
  </si>
  <si>
    <t>National Key Research and Development Project of China [2021YFD1901205]; Key Research and Development Project of Hubei Province [2021BBA224]; China Postdoctoral Science Foundation [2020M672373]</t>
  </si>
  <si>
    <t>National Key Research and Development Project of China(National Key Research &amp; Development Program of China); Key Research and Development Project of Hubei Province; China Postdoctoral Science Foundation(China Postdoctoral Science Foundation)</t>
  </si>
  <si>
    <t>This work was funded by National Key Research and Development Project of China (2021YFD1901205) , Key Research and Development Project of Hubei Province (2021BBA224) , China Postdoctoral Science Foundation (2020M672373) .</t>
  </si>
  <si>
    <t>JUN 20</t>
  </si>
  <si>
    <t>10.1016/j.jclepro.2023.137068</t>
  </si>
  <si>
    <t>APR 2023</t>
  </si>
  <si>
    <t>F1JL0</t>
  </si>
  <si>
    <t>WOS:000979977400001</t>
  </si>
  <si>
    <t>Wang, J; Xue, DQ; Wang, M; Yan, WB</t>
  </si>
  <si>
    <t>Wang, Jian; Xue, Dongqian; Wang, Meng; Yan, Weibin</t>
  </si>
  <si>
    <t>Influencing Factors and Mechanism of Rural Carbon Emissions in Ecologically Fragile Energy Areas-Taking Ejin Horo Banner in Inner Mongolia as an Example</t>
  </si>
  <si>
    <t>rural carbon emissions; influencing factors; mechanism; Ejin Horo Banner</t>
  </si>
  <si>
    <t>To achieve carbon neutrality in our country, studying the carbon emissions of rural residents in ecologically fragile energy areas is an important way to scientifically explore a green and low-carbon development mechanism of rural regional systems. Taking Ejin Horo Banner as an example, and based on the survey data drawn from it, this paper analyzes the characteristics and mechanism of carbon emissions in rural regional systems by using the methods of the carbon emissions factor method and multiple stepwise regression. The result showed that: (1) in the total composition of carbon emissions in Ejin Horo Banner, the sources of rural carbon emissions had remarkable characteristics. Energy consumption and livestock and poultry breeding accounted for the largest proportion, 63.89% and 22.72%, respectively. (2) In the family attributes of the rural villages in Ejin Horo Banner, the two factors that had the greatest correlation with the total carbon emissions were age and income. In energy consumption, the largest correlation coefficient with carbon emissions was 0.804 for coal, and the lowest was 0.550 for gasoline. In agricultural inputs, chemical fertilizer had the strongest correlation with carbon emissions, with a correlation coefficient of 0.734, and irrigation had the weakest, with a correlation coefficient of 0.657. In livestock production, cattle had the strongest correlation with carbon emissions, with a correlation coefficient of 0.724. In family life, the factors of daily diet consumption had a strong correlation with carbon emissions, among which the highest was the liquor consumption at 0.784, and the lowest was wastewater treatment at 0.442. (3) The multiple stepwise regression result showed that in the three production and living sectors of energy consumption, agricultural and animal husbandry investment, and household life, 21 factors had a significant predictive power on the carbon emissions in the rural regional systems of Ejin Horo Banner. Through the analysis, it was found that accelerating the popularization of green energy-saving technology, promoting the transformation of rural traditional energy utilization, improving energy efficiency, and advocating a green lifestyle are the important ways to realize rural green development in ecologically fragile energy areas.</t>
  </si>
  <si>
    <t>[Wang, Jian; Yan, Weibin] Shaanxi Univ Technol, Sch Humanities, Hanzhong 723001, Peoples R China; [Wang, Jian] Inst Agr Resources &amp; Reg Planning, CAAS, Beijing 100081, Peoples R China; [Xue, Dongqian] Shaanxi Normal Univ, Sch Geog &amp; Tourism, Xian 710119, Peoples R China; [Wang, Meng] Shaanxi Univ Technol, Coll Chem &amp; Environm Sci, Hanzhong 723001, Peoples R China</t>
  </si>
  <si>
    <t>Shaanxi University of Technology; Chinese Academy of Agricultural Sciences; Shaanxi Normal University; Shaanxi University of Technology</t>
  </si>
  <si>
    <t>Xue, DQ (corresponding author), Shaanxi Normal Univ, Sch Geog &amp; Tourism, Xian 710119, Peoples R China.</t>
  </si>
  <si>
    <t>wjks1018@163.com; xuedq@snnu.edu.cn; mwang303@163.com; yanweibin_10@163.com</t>
  </si>
  <si>
    <t>yan, weibin/MCY-1193-2025</t>
  </si>
  <si>
    <t>Natural Science Foundation of Shaanxi Province of China [2022JQ-748]; Shaanxi University of Technology Talent Launch Project [SLGRC20]</t>
  </si>
  <si>
    <t>Natural Science Foundation of Shaanxi Province of China(Natural Science Foundation of Shaanxi Province); Shaanxi University of Technology Talent Launch Project</t>
  </si>
  <si>
    <t>This research was funded by the Natural Science Foundation of Shaanxi Province of China, grant number 2022JQ-748 and the Shaanxi University of Technology Talent Launch Project, grant number SLGRC20.</t>
  </si>
  <si>
    <t>10.3390/su14127126</t>
  </si>
  <si>
    <t>2L1JR</t>
  </si>
  <si>
    <t>WOS:000816779000001</t>
  </si>
  <si>
    <t>Singh-Peterson, L; De Daunton, F; Drysdale, A; Otto, L; Linström, W; Lyons, B</t>
  </si>
  <si>
    <t>Singh-Peterson, Lila; De Daunton, Fynn; Drysdale, Andrew; Otto, Lorinda; Linstrom, Wim; Lyons, Ben</t>
  </si>
  <si>
    <t>Diversifying Rural Economies: Identifying Factors That Discourage Primary Producers from Engaging in Emerging Carbon and Environmental Offsetting Markets in Queensland, Australia</t>
  </si>
  <si>
    <t>climate change; net zero; carbon farming; Australia; rural development</t>
  </si>
  <si>
    <t>Commitments to carbon neutrality at both international and national levels have spurred the development of market-based mechanisms that incentivize low-carbon technologies while penalizing emissions-intensive activities. These policies have wide ranging impacts for the Australian agricultural sector, and associated rural communities, where the majority of carbon credits and biodiversity credits are sourced in Australia. Undeniably, the introduction of carbon and environmental markets has created the opportunity for an expansion and diversification of local, rural economies beyond a traditional agricultural base. However, there is much complexity for the agricultural sector to navigate as environmental markets intersect and compete with food and fiber livelihoods, and entrenched ideologies of rural identity and purpose. As carbon and environmental markets focused on primary producers have expanded rapidly, there is little understanding of the associated situated and relational impacts for farming households and rural communities. Nor has there been much work to identify the barriers to engagement. This study explores these tensions through qualitative research in Stanthorpe and Roma, Queensland, offering insights into the barriers and benefits of market engagement. The findings inform policy development aimed at balancing climate goals with agricultural sustainability and rural community resilience.</t>
  </si>
  <si>
    <t>[Singh-Peterson, Lila] Univ Southern Queensland, Sch Agr &amp; Environm Sci, Toowoomba, Qld 4350, Australia; [Singh-Peterson, Lila] Univ Southern Queensland, Ctr Appl Climate Sci, Toowoomba, Qld 4350, Australia; [De Daunton, Fynn; Drysdale, Andrew; Lyons, Ben] Univ Southern Queensland, Ctr Rural Econ, Toowoomba, Qld 4350, Australia; [Otto, Lorinda] Univ Southern Queensland, Southern Queensland Landscapes, Toowoomba, Qld 4350, Australia; [Linstrom, Wim; Lyons, Ben] Univ Southern Queensland, Southern Queensland Northern New South Wales Innov, Toowoomba, Qld 4350, Australia</t>
  </si>
  <si>
    <t>University of Southern Queensland; University of Southern Queensland; University of Southern Queensland; University of Southern Queensland; University of Southern Queensland</t>
  </si>
  <si>
    <t>Singh-Peterson, L (corresponding author), Univ Southern Queensland, Sch Agr &amp; Environm Sci, Toowoomba, Qld 4350, Australia.;Singh-Peterson, L (corresponding author), Univ Southern Queensland, Ctr Appl Climate Sci, Toowoomba, Qld 4350, Australia.</t>
  </si>
  <si>
    <t>lila.singh-peterson@unisq.edu.au</t>
  </si>
  <si>
    <t>Singh-Peterson, Lila/R-9323-2019</t>
  </si>
  <si>
    <t>Lyons, Ben/0000-0001-5884-1572</t>
  </si>
  <si>
    <t>JUL 28</t>
  </si>
  <si>
    <t>10.3390/su17156847</t>
  </si>
  <si>
    <t>6BX4I</t>
  </si>
  <si>
    <t>WOS:001549685400001</t>
  </si>
  <si>
    <t>Booth, MS</t>
  </si>
  <si>
    <t>Booth, Mary S.</t>
  </si>
  <si>
    <t>Not carbon neutral: Assessing the net emissions impact of residues burned for bioenergy</t>
  </si>
  <si>
    <t>bioenergy; wood pellets; climate mitigation; residues; biomass; forest residues; carbon accounting</t>
  </si>
  <si>
    <t>GREENHOUSE-GAS EMISSIONS; LIFE-CYCLE ASSESSMENT; FOREST; ELECTRICITY; CO2; DECOMPOSITION; BIOMASS</t>
  </si>
  <si>
    <t>Climate mitigation requires emissions to peak then decline within two decades, but many mitigation models include 100 EJ or more of bioenergy, ignoring emissions from biomass oxidation. Treatment of bioenergy as 'low carbon' or carbon neutral often assumes fuels are agricultural or forestry residues that will decompose and emit CO2 if not burned for energy. However, for 'low carbon' assumptions about residues to be reasonable, two conditions must be met: biomass must genuinely be material left over from some other process; and cumulative net emissions, the additional CO2 emitted by burning biomass compared to its alternative fate, must be low or negligible in a timeframe meaningful for climate mitigation. This study assesses biomass use and net emissions from the US bioenergy and wood pellet manufacturing sectors. It defines the ratio of cumulative net emissions to combustion, manufacturing and transport emissions as the net emissions impact (NEI), and evaluates the NEI at year 10 and beyond for a variety of scenarios. The analysis indicates the US industrial bioenergy sector mostly burns black liquor and has an NEI of 20% at year 10, while the NEI for plants burning forest residues ranges from 41%-95%. Wood pellets have a NEI of 55%-79% at year 10, with net CO2 emissions of 14-20 tonnes for every tonne of pellets; by year 40, the NEI is 26%-54%. Net emissions may be ten times higher at year 40 if whole trees are harvested for feedstock. Projected global pellet use would generate around 1% of world bioenergy with cumulative net emissions of 2 Gt of CO2 by 2050. Using the NEI to weight biogenic CO2 for inclusion in carbon trading programs and to qualify bioenergy for renewable energy subsidies would reduce emissions more effectively than the current assumption of carbon neutrality.</t>
  </si>
  <si>
    <t>[Booth, Mary S.] Partnership Policy Integr, Pelham, MA 01002 USA</t>
  </si>
  <si>
    <t>Booth, MS (corresponding author), Partnership Policy Integr, Pelham, MA 01002 USA.</t>
  </si>
  <si>
    <t>mbooth@pfpi.net</t>
  </si>
  <si>
    <t>Packard Foundation; Tortuga Foundation</t>
  </si>
  <si>
    <t>Packard Foundation(The David &amp; Lucile Packard Foundation); Tortuga Foundation(ACEV Foundation)</t>
  </si>
  <si>
    <t>This work was supported by funding from the Packard Foundation and the Tortuga Foundation.</t>
  </si>
  <si>
    <t>10.1088/1748-9326/aaac88</t>
  </si>
  <si>
    <t>FX1TU</t>
  </si>
  <si>
    <t>WOS:000425835500001</t>
  </si>
  <si>
    <t>Timmermann, T; Yip, C; Yang, YY; Wemmer, KA; Chowdhury, A; Dores, D; Takayama, T; Nademanee, S; Traag, BA; Zamanian, K; Gonzalez, B; Breecker, DO; Fierer, N; Slessarev, EW; Fuenzalida-Meriz, GA</t>
  </si>
  <si>
    <t>Timmermann, Tania; Yip, Christopher; Yang, Yun-Ya; Wemmer, Kimberly A.; Chowdhury, Anupam; Dores, Daniel; Takayama, Taichi; Nademanee, Sharon; Traag, Bjorn A.; Zamanian, Kazem; Gonzalez, Bernardo; Breecker, Daniel O.; Fierer, Noah; Slessarev, Eric W.; Fuenzalida-Meriz, Gonzalo A.</t>
  </si>
  <si>
    <t>Harnessing Microbes to Weather Native Silicates in Agricultural Soils for Scalable Carbon Dioxide Removal</t>
  </si>
  <si>
    <t>agriculture; carbon dioxide removal (CDR); carbonate precipitation; microbial soil treatment; microbially-mediated silicate weathering; native silicate minerals; soil inorganic carbon (SIC)</t>
  </si>
  <si>
    <t>CALCIUM; MINERALS; IMPACT; STABILIZATION; PRECIPITATION; DISSOLUTION; BACTERIA; RATES</t>
  </si>
  <si>
    <t>Anthropogenic carbon emissions contribute significantly to the greenhouse effect, resulting in global warming and climate change. Thus, addressing this critical issue requires innovative and comprehensive solutions. Silicate weathering moderates atmospheric CO2 levels over geological time, but it occurs too slowly to counteract anthropogenic emissions effectively. Here, we show that the microorganism Bacillus subtilis strain MP1 promotes silicate weathering across different experimental setups with various levels of complexity. First, we found that MP1 was able to form a robust biofilm in the presence of feldspar and significantly increased (p &lt; 0.05) silicate dissolution rates, pH, and calcium carbonate formation in culture experiments. Second, in mesocosm experiments, we found that MP1 enhanced the silicate weathering rate in soil by more than six times compared to the untreated control. In addition, soil inorganic carbon increased by 20%, and the concentrations of ions, including calcium, magnesium, and iron, were also elevated under the MP1 treatment. More importantly, when applied as a seed treatment on eight soybean fields, we found that MP1 significantly (p &lt; 0.05) boosted soil inorganic carbon, leading to a gross accrual of 2.02 tonnes of inorganic carbon per hectare annually. Our findings highlight the potential of enhancing native silicate weathering with microorganisms in agricultural fields to increase soil inorganic carbon, contributing to climate change mitigation.</t>
  </si>
  <si>
    <t>[Timmermann, Tania; Yip, Christopher; Yang, Yun-Ya; Wemmer, Kimberly A.; Chowdhury, Anupam; Dores, Daniel; Takayama, Taichi; Nademanee, Sharon; Traag, Bjorn A.; Fuenzalida-Meriz, Gonzalo A.] Andes Ag Inc, Alameda, CA 94501 USA; [Zamanian, Kazem] Leibniz Univ Hannover, Inst Earth Syst Sci, Sect Soil Sci, Hannover, Germany; [Gonzalez, Bernardo] Univ Adolfo Ibanez, Fac Ingn &amp; Ciencias, Lab Bioingn, Santiago, Chile; [Breecker, Daniel O.] Univ Texas Austin, Dept Geol Sci, Austin, TX USA; [Fierer, Noah] Univ Colorado Boulder, Dept Ecol &amp; Evolutionary Biol, Boulder, CO USA; [Fierer, Noah] Univ Colorado Boulder, Cooperat Inst Res Environm Sci, Boulder, CO USA; [Slessarev, Eric W.] Yale Univ, Dept Ecol &amp; Evolutionary Biol, New Haven, CT USA; [Slessarev, Eric W.] Yale Univ, Yale Ctr Nat Carbon Capture, New Haven, CT USA</t>
  </si>
  <si>
    <t>Leibniz University Hannover; Universidad Adolfo Ibanez; University of Texas System; University of Texas Austin; University of Colorado System; University of Colorado Boulder; University of Colorado System; University of Colorado Boulder; Yale University; Yale University</t>
  </si>
  <si>
    <t>Fuenzalida-Meriz, GA (corresponding author), Andes Ag Inc, Alameda, CA 94501 USA.</t>
  </si>
  <si>
    <t>gonzalofuenzalida@gmail.com</t>
  </si>
  <si>
    <t>Fierer, Noah/ACC-1354-2022; zamanian, kazem/B-3032-2008; Breecker, Dan/B-4929-2011</t>
  </si>
  <si>
    <t>e70216</t>
  </si>
  <si>
    <t>10.1111/gcb.70216</t>
  </si>
  <si>
    <t>2EB2U</t>
  </si>
  <si>
    <t>WOS:001480440000001</t>
  </si>
  <si>
    <t>Bai, JM; Li, R; Jiang, Y; Zhang, JR; Li, DY; Cai, ZL; Zhang, Z</t>
  </si>
  <si>
    <t>Bai, Jiaming; Li, Rui; Jiang, Yu; Zhang, Jiarui; Li, Dayong; Cai, Zelin; Zhang, Zhi</t>
  </si>
  <si>
    <t>Efficient agricultural water research under elevated global carbon dioxide concentration - Based on bibliometric analysis</t>
  </si>
  <si>
    <t>AGRICULTURAL WATER MANAGEMENT</t>
  </si>
  <si>
    <t>Elevated carbon dioxide; Water stress; Photosynthesis; Yield; Bibliometric</t>
  </si>
  <si>
    <t>NET CO2 ASSIMILATION; STOMATAL CONDUCTANCE; ATMOSPHERIC CO2; GAS-EXCHANGE; GROWTH-RESPONSE; VAPOR EXCHANGE; CROP RESPONSES; PLANT; PHOTOSYNTHESIS; YIELD</t>
  </si>
  <si>
    <t>Freshwater resources are scarce globally, and the increase in carbon dioxide (CO2) concentration leads to both a decrease in soil moisture and arid climate, further limiting agricultural production. Therefore, it is critical to achieve water efficiency in agriculture under elevated CO2 concentration. A comprehensive analysis was conducted on the research topic of efficient agricultural water under elevated CO2 concentration using bibliometric methods. The results show that the number of papers on this research has changed from an accumulation phase (1992-2005, 395) to a growth phase (2006-2023, 963). Carbon dioxide, water-stress, growth, photosynthesis, yield, and other keywords have been the focus of past research in this area. Kimball BA and Ainsworth EA are the most influential authors in this area. Leakey's (2009) paper in Experimental Botany was the most contributing study, summarizing six lessons about the effects of CO2 enrichment on the relationship among carbon, nitrogen, and water in plants. The United States and China were the most influential countries. Over time, research has shifted from an early focus on atmospheric CO2 change itself to the response of crops to elevated CO2 in agricultural production. The efficient crop production strategy under the interaction of environmental factors is becoming a hot spot for future research, and the emission and use of greenhouse gases, the improvement of crop quality, and the efficient guidance of models are also worth exploring. Overall, this study presents a quantitative analysis and comprehensive review of past research conducted on the effect of water and fertilizer on agricultural production under CO2 enrichment. It also offers suggestions and expectations for future research on the hot spot direction of efficient crop production under climate change.</t>
  </si>
  <si>
    <t>[Bai, Jiaming; Li, Rui; Jiang, Yu; Zhang, Jiarui; Li, Dayong; Cai, Zelin; Zhang, Zhi] Northwest A&amp;F Univ, Coll Hort, Yangling 712100, Peoples R China; [Bai, Jiaming; Li, Rui; Jiang, Yu; Li, Dayong; Cai, Zelin; Zhang, Zhi] Minist Agr, Shaanxi Prov Facil Agr Engn Ctr, Key Lab Protected Hort Engn Northwest, Yangling 712000, Peoples R China</t>
  </si>
  <si>
    <t>Northwest A&amp;F University - China</t>
  </si>
  <si>
    <t>Zhang, Z (corresponding author), Northwest A&amp;F Univ, Coll Hort, Yangling 712100, Peoples R China.</t>
  </si>
  <si>
    <t>zhangzhione@126.com</t>
  </si>
  <si>
    <t>; rui, li/GYR-3791-2022</t>
  </si>
  <si>
    <t>Zhang, Zhi/0000-0001-5806-6924;</t>
  </si>
  <si>
    <t>Key Research and Development Program of Shaanxi in 373 China [2023-YBNY-275]; China Agriculture Research System of MOF and MARA [CARS-23-D06]; Xi'an 375 Science and Technology Program in China [21NYYF0031]</t>
  </si>
  <si>
    <t>Key Research and Development Program of Shaanxi in 373 China; China Agriculture Research System of MOF and MARA; Xi'an 375 Science and Technology Program in China</t>
  </si>
  <si>
    <t>This work was supported by the Key Research and Development Program of Shaanxi in 373 China [grant numbers 2023-YBNY-275] ; China Agriculture Research System of MOF and MARA [grant numbers CARS-23-D06] ; and the Xi'an 375 Science and Technology Program in China [grant numbers 21NYYF0031] .</t>
  </si>
  <si>
    <t>0378-3774</t>
  </si>
  <si>
    <t>1873-2283</t>
  </si>
  <si>
    <t>AGR WATER MANAGE</t>
  </si>
  <si>
    <t>Agric. Water Manage.</t>
  </si>
  <si>
    <t>10.1016/j.agwat.2024.108874</t>
  </si>
  <si>
    <t>Agronomy; Water Resources</t>
  </si>
  <si>
    <t>Agriculture; Water Resources</t>
  </si>
  <si>
    <t>C6Y6G</t>
  </si>
  <si>
    <t>WOS:001290810600001</t>
  </si>
  <si>
    <t>Treby, S; Carnell, PE; Trevathan-Tackett, SM; Bonetti, G; Macreadie, P</t>
  </si>
  <si>
    <t>Treby, Sarah; Carnell, Paul E.; Trevathan-Tackett, Stacey M.; Bonetti, Giuditta; Macreadie, Peter, I</t>
  </si>
  <si>
    <t>Assessing passive rehabilitation for carbon gains in rain-filled agricultural wetlands</t>
  </si>
  <si>
    <t>Carbon sequestration; Depressional; Freshwater wetland; 16S amplicon sequencing; Land use; Restoration</t>
  </si>
  <si>
    <t>GREENHOUSE-GAS EMISSIONS; FRESH-WATER WETLAND; 16S RIBOSOMAL-RNA; CH4 FLUXES; LONG-TERM; SOIL PROPERTIES; CLIMATE-CHANGE; ECOLOGICAL OUTCOMES; COMMUNITY STRUCTURE; METHANE EMISSIONS</t>
  </si>
  <si>
    <t>Wetland ecosystems have a disproportionally large influence on the global carbon cycle. They can act as carbon sinks or sources depending upon their location, type, and condition. Rehabilitation of wetlands is gaining popularity as a nature-based approach to helping mitigate climate change; however, few studies have empirically tested the carbon benefits of wetland restoration, especially in freshwater environments. Here we investigated the effects of passive rehabilitation (i.e. fencing and agricultural release) of 16 semi-arid rain-filled freshwater wetlands in southeastern Australia. Eight control sites were compared with older (&gt;10 year) or newer (2-5 year) rehabilitated sites, dominated by graminoids or eucalypts. Carbon stocks (soils and plant biomass), and emissions (carbon dioxide - CO2; and methane - CH4) were sampled across three seasons, representing natural filling and drawdown, and soil microbial communities were sampled in spring. We found no significant difference in soil carbon or greenhouse gas emissions between rehabilitated and control sites, however, plant biomass was significantly higher in older rehabilitated sites. Wetland carbon stocks were 19.21 t C-org h a(-1) and 2.84 t C-org ha(-1) for soils (top 20 cm; n = 137) and plant biomass (n = 288), respectively. Hydrology was a strong driver of wetland greenhouse gas emissions. Diffusive fluxes (n = 356) averaged 117.63 mmol CO2 m(2) d(-1) and 2.98 mmol CH4 m(2) d(-1) when wet, and 124.01 mmol CO2 m(2) d(-1) and -0.41 mmol CH4 m(2) d(-1) when dry. Soil microbial community richness was nearly 2-fold higher during the wet phase than the dry phase, including relative increases in Nitrososphaerales, Myxococcales and Koribacteraceae and methanogens Methanobacteriales. Vegetation type significantly influenced soil carbon, aboveground carbon, and greenhouse gas emissions. Overall, our results suggest that passive rehabilitation of rain-filled wetlands, while valuable for biodiversity and habitat provisioning, is ineffective for increasing carbon gains within 20 years. Carbon offsetting opportunities may be better in systems with faster sediment accretion. Active rehabilitation methods, particularly that reinstate the natural hydrology of drained wetlands, should also be considered.</t>
  </si>
  <si>
    <t>[Treby, Sarah; Carnell, Paul E.; Trevathan-Tackett, Stacey M.; Bonetti, Giuditta; Macreadie, Peter, I] Deakin Univ, Ctr Integrat Ecol, Sch Life &amp; Environm Sci, Geelong, Vic, Australia</t>
  </si>
  <si>
    <t>Deakin University</t>
  </si>
  <si>
    <t>Treby, S (corresponding author), Deakin Univ, Ctr Integrat Ecol, Sch Life &amp; Environm Sci, Geelong, Vic, Australia.</t>
  </si>
  <si>
    <t>s.treby@research.deakin.edu.au</t>
  </si>
  <si>
    <t>Trevathan-Tackett, Stacey/X-9178-2019</t>
  </si>
  <si>
    <t>Macreadie, Peter/0000-0001-7362-0882; Trevathan-Tackett, Stacey/0000-0002-4977-0757; Treby, Sarah/0000-0002-8905-9919; Bonetti, Giuditta/0000-0002-6434-4801</t>
  </si>
  <si>
    <t>Australian Research Council [LP160100061]; Murray Local Land Services; Australian Research Council [LP160100061] Funding Source: Australian Research Council</t>
  </si>
  <si>
    <t>Australian Research Council(Australian Research Council); Murray Local Land Services; Australian Research Council(Australian Research Council)</t>
  </si>
  <si>
    <t>This work was supported by funding from Murray Local Land Services and Australian Research Council Linkage Grant (LP160100061).Data collection at site TO4 was carried out under Scientific Licence SL102069, issued by the New South Wales Office of Environment and Heritage (National Parks and Wildlife Service).</t>
  </si>
  <si>
    <t>FEB 15</t>
  </si>
  <si>
    <t>10.1016/j.jenvman.2019.109971</t>
  </si>
  <si>
    <t>KN9XK</t>
  </si>
  <si>
    <t>WOS:000515200400034</t>
  </si>
  <si>
    <t>Yunusa, IAM; Blair, G; Zerihun, A; Yang, SJ; Wilson, SC; Young, IM</t>
  </si>
  <si>
    <t>Yunusa, Isa A. M.; Blair, Graeme; Zerihun, Ayalsew; Yang, Shenjiao; Wilson, Susan C.; Young, Iain M.</t>
  </si>
  <si>
    <t>Enhancing carbon sequestration in soil with coal combustion products: a technology for minimising carbon footprints in coal-power generation and agriculture</t>
  </si>
  <si>
    <t>FLY-ASH; NITROGEN; PH; EMISSIONS; IMPACT; GROWTH</t>
  </si>
  <si>
    <t>Coal-fired power generation and agriculture account for more than half of global greenhouse gas emissions, but the coal fly ash (CFA) produced in the former can be a resource for reducing emissions from agriculture to minimise environmental footprints in both industries. Our aim in this study was to test how acidic and alkaline CFA addition could minimise loss of C and N from acidic soil, with or without added manure. We determined composition and structural characteristics of acidic and alkaline CFA for their capacity to adsorb organic carbon, but observed poor adsorption because of low concentrations of cenospheres and unburnt carbon as the primary absorbents in the ash. Addition of CFA had no impact on the loss of carbon or nitrogen from unmanured soil in which concentrations of these nutrients were low. Loss of carbon from manured soil was reduced by 36 % with alkaline ashes and by 3-fold with acidic ashes; while loss of N was 30-50 % lower with acidic ashes, but 28 % higher with alkaline ashes, compared with no ash treatment. The increases in C sparing with CFA addition were achieved not by direct C absorption but by restraining microbial population and respiration, and potentially emissions. Alkaline CFA increased soil pH and if used to substitute just 10 % of lime for ameliorating soil acidity would reduce CO2 emission associated with the mining of the lime and its eventual dissolution in soil by 2.66 Tg or 2.8 % of Australia's annual agricultural emissions. High concentrations of oxides of phosphorus, silicon, titanium and clay particles in acidic ashes, and oxides of cations in alkaline ashes, were associated with potential for promoting C storage and acidity amelioration in soil.</t>
  </si>
  <si>
    <t>[Yunusa, Isa A. M.; Blair, Graeme; Yang, Shenjiao; Wilson, Susan C.; Young, Iain M.] Univ New England, Sch Environm &amp; Rural Sci, Armidale, NSW 2351, Australia; [Zerihun, Ayalsew] Curtin Univ, Dept Environm &amp; Agr, Bentley, WA 6102, Australia; [Yang, Shenjiao] Chinese Acad Agr Sci, Farmland Irrigat Res Inst, Xinxiang 453003, Henan, Peoples R China</t>
  </si>
  <si>
    <t>University of New England; Curtin University; Chinese Academy of Agricultural Sciences; Farmland Irrigation Research Institute, CAAS</t>
  </si>
  <si>
    <t>Yunusa, IAM (corresponding author), Univ New England, Sch Environm &amp; Rural Sci, Armidale, NSW 2351, Australia.</t>
  </si>
  <si>
    <t>isa.yunusa@une.edu.au</t>
  </si>
  <si>
    <t>Young, Iain/C-9210-2011; Yunusa, Isa/ABF-9614-2020</t>
  </si>
  <si>
    <t>Young, Iain/0000-0002-7588-9006; Yunusa, Isa/0000-0001-7456-3293; wilson, susan/0000-0002-3409-0847; Zerihun, Ayalsew/0000-0002-6021-9624</t>
  </si>
  <si>
    <t>ADAA; Australian Research Council [LP0455110]; Ash Development Association of Australia (ADAA); UNE Seed Grant; Australian Research Council [LP0455110] Funding Source: Australian Research Council</t>
  </si>
  <si>
    <t>ADAA; Australian Research Council(Australian Research Council); Ash Development Association of Australia (ADAA); UNE Seed Grant; Australian Research Council(Australian Research Council)</t>
  </si>
  <si>
    <t>Cenosphere analyses and adsorption experiments were undertaken by Prof Hongwei Hu, Dr Xiangpeng Gao, Prof Shaobin Wang and their teams at Curtin University; Prof Hu also commented on the manuscript. We acknowledge the assistance of Leanne Leslie, Michael Faint, Jan Carruthers, Gabrielle Ray and Ewan Paterson, and methodology advice by Drs S.M. Rabbi, Rebecca Hailing and V. Manoharan, and Assoc Prof Brian Wilson. We thank the reviewers for their helpful comments, and the power stations and the Ash Development Association of Australia (ADAA) for their support. This study was supported with UNE Seed Grant, and evolved from an earlier project funded by ADAA and the Australian Research Council (LP0455110).</t>
  </si>
  <si>
    <t>10.1007/s10584-015-1388-0</t>
  </si>
  <si>
    <t>CN1KR</t>
  </si>
  <si>
    <t>WOS:000358179400008</t>
  </si>
  <si>
    <t>Zhang, PY; He, JJ; Hong, X; Zhang, W; Qin, CZ; Pang, B; Li, YY; Liu, Y</t>
  </si>
  <si>
    <t>Zhang, Pengyan; He, Jianjian; Hong, Xin; Zhang, Wei; Qin, Chengzhe; Pang, Bo; Li, Yanyan; Liu, Yu</t>
  </si>
  <si>
    <t>Regional-Level Carbon Emissions Modelling and Scenario Analysis: A STIRPAT Case Study in Henan Province, China</t>
  </si>
  <si>
    <t>carbon emissions; energy consumption; STIRPAT model; driving factors; scenario predictions</t>
  </si>
  <si>
    <t>CO2 EMISSIONS; ENERGY-CONSUMPTION; ECONOMIC-GROWTH; FINANCIAL DEVELOPMENT; EMPIRICAL-RESEARCH; DIOXIDE EMISSIONS; CLIMATE-CHANGE; IMPACT FACTORS; URBANIZATION; DECOMPOSITION</t>
  </si>
  <si>
    <t>Global warming has brought increased attention to the relationship between carbon emissions and economic development. Research on the driving factors of carbon emissions from energy consumption can provide a scientific basis for regional energy savings, as well as emissions reduction and sustainable development. Henan Province is a major agricultural province in China, and it is one of most populous provinces. Industrial development and population growth are the causes of carbon emissions. The STIRPAT model was conducted for analyzing carbon emissions and the driving factors for future carbon emission in Henan Province. The results show that: carbon emissions and energy consumption in Henan Province presented a rising trend from 1995 to 2014; Energy consumption due to population growth is the main contributor to carbon emissions in Henan Province. As every 1% increase in the population, GDP per-capita, energy intensity, and the level of urbanization development will contribute to the growth of emissions by 1.099, 0.193, 0.043, and 0.542%, respectively. The optimization of the industrial structure can reduce carbon emissions in Henan Province, as suggested by the results, when the tertiary sector increased by more than 1%, the total energy consumption of carbon emissions reduced by 1.297%. The future pattern of carbon emissions in Henan Province is predicted to increase initially and then follows by a decreasing trend, according to scenario analysis; and maintaining a low population growth rate, and a high growth rate of GDP per-capita and technical level is the best mode for social and economic development.</t>
  </si>
  <si>
    <t>[Zhang, Pengyan; He, Jianjian; Pang, Bo; Li, Yanyan] Henan Univ, Coll Environm &amp; Planning, Kaifeng 475004, Henan, Peoples R China; [Zhang, Pengyan] Collaborat Innovat Ctr Urban Rural Coordinat Dev, Zhengzhou 450046, Henan, Peoples R China; [Zhang, Pengyan; Hong, Xin] Kent State Univ, Dept Geog, Kent, OH 42240 USA; [Zhang, Wei] Chinese Acad Environm Planning, State Environm Protect Key Lab Environm Planning, Beijing 100012, Peoples R China; [Qin, Chengzhe] Univ Texas Dallas, Sch Econ Polit &amp; Policy Sci, Richardson, TX 75080 USA; [Liu, Yu] Chinese Acad Sci, Inst Sci &amp; Dev, Beijing 100190, Peoples R China; [Liu, Yu] Univ Chinese Acad Sci, Sch Publ Policy &amp; Management, Beijing 100049, Peoples R China</t>
  </si>
  <si>
    <t>Henan University; University System of Ohio; Kent State University; Kent State University Salem; Kent State University Kent; Chinese Academy of Environmental Planning; University of Texas System; University of Texas Dallas; Chinese Academy of Sciences; Chinese Academy of Sciences; University of Chinese Academy of Sciences, CAS</t>
  </si>
  <si>
    <t>Zhang, W (corresponding author), Chinese Acad Environm Planning, State Environm Protect Key Lab Environm Planning, Beijing 100012, Peoples R China.;Liu, Y (corresponding author), Chinese Acad Sci, Inst Sci &amp; Dev, Beijing 100190, Peoples R China.;Liu, Y (corresponding author), Univ Chinese Acad Sci, Sch Publ Policy &amp; Management, Beijing 100049, Peoples R China.</t>
  </si>
  <si>
    <t>pengyanzh@126.com; JJHe0401@163.com; xhong1@kent.edu; zhangwei@caep.org.cn; cxq160030@utdallas.edu; pangbo0831@163.com; yyli1109@163.com; Liuyu@casipm.ac.cn</t>
  </si>
  <si>
    <t>; H, Jianjian/LDG-6945-2024; Pang, Bo/AAW-5381-2021; Hong, Xin/GRO-6693-2022; Li, Yanyan/ABH-5034-2020</t>
  </si>
  <si>
    <t>Hong, Xin/0000-0001-9266-9307;</t>
  </si>
  <si>
    <t>National Key Research and Development Program of China [2016YFA0602500]; National Natural Science Foundation of China [41601175]; key scientific research project of Henan province [16A610001]; Program for Innovative Research Team (in Science and Technology) in University of Henan Province [16IRTSTHN012]</t>
  </si>
  <si>
    <t>National Key Research and Development Program of China(National Key Research &amp; Development Program of China); National Natural Science Foundation of China(National Natural Science Foundation of China (NSFC)); key scientific research project of Henan province; Program for Innovative Research Team (in Science and Technology) in University of Henan Province</t>
  </si>
  <si>
    <t>This paper was supported by the National Key Research and Development Program of China (2016YFA0602500), National Natural Science Foundation of China (41601175), The key scientific research project of Henan province (16A610001), and Supported by Program for Innovative Research Team (in Science and Technology) in University of Henan Province (16IRTSTHN012). Its content does not represent the official position of the Chinese government and is entirely the responsibility of the authors.</t>
  </si>
  <si>
    <t>10.3390/su9122342</t>
  </si>
  <si>
    <t>FR7FA</t>
  </si>
  <si>
    <t>WOS:000419231500188</t>
  </si>
  <si>
    <t>Alkahtani, M; Omair, M; Khalid, QS; Hussain, G; Sarkar, B</t>
  </si>
  <si>
    <t>Alkahtani, Mohammed; Omair, Muhammad; Khalid, Qazi Salman; Hussain, Ghulam; Sarkar, Biswajit</t>
  </si>
  <si>
    <t>An Agricultural Products Supply Chain Management to Optimize Resources and Carbon Emission Considering Variable Production Rate: Case of Nonperishable Corps</t>
  </si>
  <si>
    <t>PROCESSES</t>
  </si>
  <si>
    <t>agri-supply chain management; variable production rate; optimal resources; imperfect production; eco-efficient production</t>
  </si>
  <si>
    <t>PRODUCTION-INVENTORY MODEL; LEAN PRODUCTION SYSTEM; OPTIMAL BATCH QUANTITY; LOT-SIZE MODEL; IMPERFECT QUALITY; DEMAND; CAPACITY; POLICY; COSTS</t>
  </si>
  <si>
    <t>The management of the man-machine interaction is essential to achieve a competitive advantage among production firms and is more highlighted in the processing of agricultural products. The agricultural industry is underdeveloped and requires a transformation in technology. Advances in processing agricultural products (agri-product) are essential to achieve a smart production rate with good quality and to control waste. This research deals with modelling of a controllable production rate by a combination of the workforce and machines to minimize the total cost of production. The optimization of the carbon emission variable and management of the imperfection in processing makes the model eco-efficient. The perishability factor in the model is ignored due to the selection of a single sugar processing firm in the supply chain with a single vendor for the pragmatic application of the proposed research. A non-linear production model is developed to provide an economic benefit to the firms in terms of the minimum total cost with variable cycle time, workforce, machines, and plant production rate. A numerical experiment is performed by utilizing the data set of the agri-processing firm. A derivative free approach, i.e., algebraic approach, is utilized to find the best solution. The sensitivity analysis is performed to support the managers for the development of agricultural product supply chain management (Agri-SCM).</t>
  </si>
  <si>
    <t>[Alkahtani, Mohammed] King Saud Univ, Dept Ind Engn, Coll Engn, POB 800, Riyadh 11421, Saudi Arabia; [Omair, Muhammad; Khalid, Qazi Salman] Univ Engn &amp; Technol, Dept Ind Engn, Jalozai Campus, Peshawar 25000, Pakistan; [Hussain, Ghulam] GIK Inst Engn Sci &amp; Technol, Fac Mech Engn, Topi 23460, Pakistan; [Sarkar, Biswajit] Yonsei Univ, Dept Ind Engn, 50 Yonsei Ro, Seoul 03722, South Korea</t>
  </si>
  <si>
    <t>King Saud University; University of Engineering &amp; Technology Peshawar; GIK Institute Engineering Science &amp; Technology; Yonsei University</t>
  </si>
  <si>
    <t>Alkahtani, M (corresponding author), King Saud Univ, Dept Ind Engn, Coll Engn, POB 800, Riyadh 11421, Saudi Arabia.;Sarkar, B (corresponding author), Yonsei Univ, Dept Ind Engn, 50 Yonsei Ro, Seoul 03722, South Korea.</t>
  </si>
  <si>
    <t>moalkahtani@ksu.edu.sa; muhamad.omair87@gmail.com; qazisalman@uetpeshawar.edu.pk; gh_ghumman@hotmail.com; bsarkar@yonsei.ac.kr</t>
  </si>
  <si>
    <t>Sarkar, Biswajit/E-9458-2012; Khalid, Qazi/O-1843-2019; Omair, Muhammad/ABA-9010-2021; ALKAHTANI, MOHAMMED/J-3352-2016; Hussain, G/HNQ-6427-2023; Hussain, Ghulam/HNQ-6427-2023</t>
  </si>
  <si>
    <t>Sarkar, Biswajit/0000-0002-6583-8416; Khalid, Qazi Salman/0000-0003-2455-1336; Omair, Muhammad/0000-0003-0389-9173; ALKAHTANI, MOHAMMED/0000-0001-7343-9098; Hussain, G/0000-0002-9642-0303;</t>
  </si>
  <si>
    <t>King Saud University, Riyadh, Saudi Arabia [RSP-2020/274]</t>
  </si>
  <si>
    <t>King Saud University, Riyadh, Saudi Arabia(King Saud University)</t>
  </si>
  <si>
    <t>This work was supported by Researchers Supporting Project Number (RSP-2020/274), King Saud University, Riyadh, Saudi Arabia.</t>
  </si>
  <si>
    <t>2227-9717</t>
  </si>
  <si>
    <t>Processes</t>
  </si>
  <si>
    <t>10.3390/pr8111505</t>
  </si>
  <si>
    <t>Engineering, Chemical</t>
  </si>
  <si>
    <t>Engineering</t>
  </si>
  <si>
    <t>OX8NB</t>
  </si>
  <si>
    <t>WOS:000593813500001</t>
  </si>
  <si>
    <t>Daum, T; Adegbola, YP; Kamau, G; Kergna, AO; Daudu, C; Zossou, RC; Crinot, GF; Houssou, P; Mose, L; Ndirpaya, Y; Wahab, AA; Kirui, O; Oluwole, FA</t>
  </si>
  <si>
    <t>Daum, Thomas; Adegbola, Ygue Patrice; Kamau, Geoffrey; Kergna, Alpha Oumar; Daudu, Christogonus; Zossou, Roch Cedrique; Crinot, Geraud Fabrice; Houssou, Paul; Mose, Lawrence; Ndirpaya, Yarama; Wahab, A. A.; Kirui, Oliver; Oluwole, Fatunbi Abiodun</t>
  </si>
  <si>
    <t>Perceived effects of farm tractors in four African countries, highlighted by participatory impact diagrams</t>
  </si>
  <si>
    <t>AGRONOMY FOR SUSTAINABLE DEVELOPMENT</t>
  </si>
  <si>
    <t>Agricultural mechanization; Rural transformation; Tractors; Yields; Employment; Soil fertility; Deforestation; Gender; Africa</t>
  </si>
  <si>
    <t>SUB-SAHARAN AFRICA; AGRICULTURAL MECHANIZATION; LABOR; NUTRITION; INSIGHTS; PROJECT</t>
  </si>
  <si>
    <t>Agricultural mechanization is on the rise in Africa. A widespread replacement of manual labor and animal traction will change the face of African agriculture. Despite this potentially transformative role, only a few studies have looked at the effects of mechanization empirically, mostly focusing on yields and labor alone. This is the first paper that explores perceived agronomic, environmental, and socioeconomic effects together, thereby revealing linkages and trade-offs, some of which have been hitherto unknown. Data were collected using a novel data collection method called participatory impact diagrams in four countries: Benin, Kenya, Nigeria, and Mali. In 129 gendered focus group discussions, 1330 respondents from 87 villages shared their perceptions on the positive and negative effects of agricultural mechanization, and developed causal impact chains. The results suggest that mechanization is likely to have more far-reaching agronomic, environmental, and socioeconomic consequences than commonly assumed. Most perceived effects were positive, suggesting that mechanization can help to reduce poverty and enhance food security but other effects were negative such as deforestation, soil erosion, land-use conflicts, and gender inequalities. Accompanying research and policy efforts, which reflect variations in local agro-ecological and socioeconomic conditions, are needed to ensure that mechanization contributes to an African agricultural transformation that is sustainable from a social, economic, and environmental perspective.</t>
  </si>
  <si>
    <t>[Daum, Thomas] Univ Hohenheim, Hans Ruthenberg Inst Agr Sci Trop, Wollgraweg 43, D-70599 Stuttgart, Germany; [Adegbola, Ygue Patrice; Zossou, Roch Cedrique; Crinot, Geraud Fabrice; Houssou, Paul] Inst Natl Rech Agr Benin INRAB, Cotonou, Benin; [Kamau, Geoffrey; Mose, Lawrence] Kenyan Agr &amp; Livestock Res Org KALRO, Nairobi, Kenya; [Kergna, Alpha Oumar] Inst Econ Rurale IER, Bamako, Mali; [Daudu, Christogonus; Ndirpaya, Yarama] Agr Res Council Nigeria ARCN, Abuja, Nigeria; [Wahab, A. A.] Natl Agr Extens Res &amp; Liaison Serv, Zaria, Nigeria; [Kirui, Oliver] Ctr Dev Res ZEF, Bonn, Germany; [Oluwole, Fatunbi Abiodun] Forum Agr Res Africa FARA, Accra, Ghana</t>
  </si>
  <si>
    <t>University Hohenheim; University of Bonn</t>
  </si>
  <si>
    <t>Daum, T (corresponding author), Univ Hohenheim, Hans Ruthenberg Inst Agr Sci Trop, Wollgraweg 43, D-70599 Stuttgart, Germany.</t>
  </si>
  <si>
    <t>thomas.daum@uni-hohenheim.de</t>
  </si>
  <si>
    <t>ZOSSOU, SEGLA/AAO-8170-2020</t>
  </si>
  <si>
    <t>Zossou, Segla Roch Ceique/0000-0003-3932-2165; Kirui, Oliver/0000-0002-5218-6324</t>
  </si>
  <si>
    <t>Program of Accompanying Research for Agricultural Innovation (PARI) - German Federal Ministry of Economic Cooperation and Development (BMZ) [2014.0690.9]; Projekt DEAL</t>
  </si>
  <si>
    <t>Program of Accompanying Research for Agricultural Innovation (PARI) - German Federal Ministry of Economic Cooperation and Development (BMZ); Projekt DEAL</t>
  </si>
  <si>
    <t>The study was funded by the Program of Accompanying Research for Agricultural Innovation (PARI), which is funded by the German Federal Ministry of Economic Cooperation and Development (BMZ) under grant number 2014.0690.9. Open Access funding enabled and organized by Projekt DEAL.</t>
  </si>
  <si>
    <t>SPRINGER FRANCE</t>
  </si>
  <si>
    <t>PARIS</t>
  </si>
  <si>
    <t>22 RUE DE PALESTRO, PARIS, 75002, FRANCE</t>
  </si>
  <si>
    <t>1774-0746</t>
  </si>
  <si>
    <t>1773-0155</t>
  </si>
  <si>
    <t>AGRON SUSTAIN DEV</t>
  </si>
  <si>
    <t>Agron. Sustain. Dev.</t>
  </si>
  <si>
    <t>10.1007/s13593-020-00651-2</t>
  </si>
  <si>
    <t>Agronomy; Green &amp; Sustainable Science &amp; Technology</t>
  </si>
  <si>
    <t>OV0ZC</t>
  </si>
  <si>
    <t>WOS:000591948100001</t>
  </si>
  <si>
    <t>Zou, BL; Chen, YD; Mishra, AK; Hirsch, S</t>
  </si>
  <si>
    <t>Zou, Baoling; Chen, Yudan; Mishra, Ashok K.; Hirsch, Stefan</t>
  </si>
  <si>
    <t>Agricultural mechanization and the performance of the local Chinese economy</t>
  </si>
  <si>
    <t>Gross domestic product; Grain crops; Regional development; Rural households; Instrumental variable</t>
  </si>
  <si>
    <t>CROP DIVERSIFICATION; RICE PRODUCTION; SERVICE SECTOR; IMPACT; MIGRATION; GROWTH; PRODUCTIVITY; INCOME; WAGE</t>
  </si>
  <si>
    <t>In this study, we analyze the impact of agricultural mechanization on the local Chinese economy from 2010 to 2020. Findings based on panel data and instrumental variable methods show that agricultural mechanization led to a significant decline in the local gross domestic product. In particular, agricultural mechanization changes the sector's production and lowers its output value. Agricultural mechanization has reduced the need for labor to such an extent that young Chinese tend to seek jobs in the non-farming sector, leading to a fall in the local agricultural labor supply and household consumption, adversely affecting the development of local industries and service sectors. Mechanization has also led to cash crops being increasingly replaced by grain crops, reducing the total agricultural output. Finally, this paper presents some policy suggestions for agricultural production and rural development.</t>
  </si>
  <si>
    <t>[Zou, Baoling; Chen, Yudan] Southwest Univ, Coll Econ &amp; Management, Chongqing, Peoples R China; [Mishra, Ashok K.] Arizona State Univ, WP Carey Sch Business, Tempe, AZ USA; [Hirsch, Stefan] Univ Hohenheim, Dept Management Agribusiness, Schwerzstr 42, D-70599 Stuttgart, Germany</t>
  </si>
  <si>
    <t>Southwest University - China; Arizona State University; Arizona State University-Tempe; University Hohenheim</t>
  </si>
  <si>
    <t>Hirsch, S (corresponding author), Univ Hohenheim, Dept Management Agribusiness, Schwerzstr 42, D-70599 Stuttgart, Germany.</t>
  </si>
  <si>
    <t>zoubaoling@swu.edu.cn; Ashok.K.Mishra@asu.edu; s.hirsch@uni-hohenheim.de</t>
  </si>
  <si>
    <t>Mishra, Ashok/J-7228-2019; Hirsch, Stefan/H-3552-2018; zou, baoling/AAZ-6300-2021</t>
  </si>
  <si>
    <t>Mishra, Ashok K/0000-0002-0988-1428; Hirsch, Stefan/0000-0003-2668-6824;</t>
  </si>
  <si>
    <t>Optimized Regulation of Cultivated Land Use Transformation in Hilly Mountainous Areas-Taking Southwest China [42301249, 2035, SWUPilotPlan028]</t>
  </si>
  <si>
    <t>Optimized Regulation of Cultivated Land Use Transformation in Hilly Mountainous Areas-Taking Southwest China</t>
  </si>
  <si>
    <t>The project was funded by the National Natural Science Foundation of China (NSFC) Youth Project Study on Driving Mechanism and Optimized Regulation of Cultivated Land Use Transformation in Hilly Mountainous Areas-Taking Southwest China as an Example (No. 42301249) and Innovation Research 2035 Pilot Plan of Southwest University Study on capitalisation of rural asset valorisation (SWUPilotPlan028) .r Optimized Regulation of Cultivated Land Use Transformation in Hilly Mountainous Areas-Taking Southwest China as an Example (No. 42301249) and Innovation Research 2035 Pilot Plan of Southwest University Study on capitalisation of rural asset valorisation (SWUPilotPlan028) .</t>
  </si>
  <si>
    <t>10.1016/j.foodpol.2024.102648</t>
  </si>
  <si>
    <t>TD6M3</t>
  </si>
  <si>
    <t>WOS:001239362900001</t>
  </si>
  <si>
    <t>Zhang, QQ; Gao, XX; Hu, YJ; He, ZW; Li, XJ</t>
  </si>
  <si>
    <t>Zhang, Qiangqiang; Gao, Xixi; Hu, Yujie; He, Zhongwei; Li, Xiaojing</t>
  </si>
  <si>
    <t>Spatial and temporal evolution characteristics of apple carbon emissions in China, 1991-2020</t>
  </si>
  <si>
    <t>Apple carbon emissions; Temporal characteristics; Regional differences; Spatial effects; China</t>
  </si>
  <si>
    <t>AGRICULTURAL SECTOR; ECONOMIC-GROWTH; TILLAGE; FLUX</t>
  </si>
  <si>
    <t>Articulating the spatial and temporal features of apple carbon emissions in China across different years and areas is critical for developing an appropriate and acceptable apple carbon reduction program. This paper builds a provincial-level database (1991-2020) of apple carbon emissions in China, covering six primary sources: chemical fertilizers, pesticides, plastic films, machinery, irrigation, and tillage. By using the LMDI approach, spatial autocorrelation analysis, and barycenter analysis, we find that (1) China's apple carbon emissions exhibited an M-shaped fluctuation pattern, with a 1.38-fold increase during the study period, while apple carbon intensity increased 67.01%. (2) Chemical fertilizers were the largest contributor (55%) to apple carbon emissions, followed by plastic films, irrigation, pesticides, machinery, and tillage. (3) Apple carbon emissions showed significant regional heterogeneity, with a spatial pattern of the Bohai Bay production area as the largest in terms of carbon emissions and carbon intensity. While chemical fertilizers were the primary contributor in the other four production areas, plastic films had a disproportionately high impact in Bohai Bay production area. Moreover, 13 provinces increased their carbon emissions, while 9 provinces reduced. Chemical fertilizers, plastic films and irrigation were dominant contributing factors in 14, 5, and 3 provinces, respectively. (4) There is no significant spatial association between surrounding provinces in apple carbon emissions. Spatial correlations reveal a high-low or low-high agglomeration of negative values during certain individual years. In 2020, the barycenter of apple carbon emissions migrated southwestward 451.69 km, reaching Shaanxi Province. This article recommends promoting organic fertilizers, water-fertilizer integration, mulch recycling, straw mulching, and drip irrigation to minimize apple carbon emissions. Additionally, region-specific emission reduction strategies should be developed, with particular emphasis on Shaanxi and Gansu, considering their distinct spatial and temporal characteristics.</t>
  </si>
  <si>
    <t>[Zhang, Qiangqiang; He, Zhongwei] Beijing Univ Agr, Coll Econ &amp; Management, Beijing Res Ctr Rural Revitalizat, Beijing 102206, Peoples R China; [Gao, Xixi] Univ Chinese Acad Social Sci, Fac Appl Econ, Beijing 102488, Peoples R China; [Hu, Yujie] Univ Leeds, Sch Business, Leeds, England; [Li, Xiaojing] Yantai Univ, Sch Econ &amp; Management, Yantai 264005, Peoples R China</t>
  </si>
  <si>
    <t>Beijing University of Agriculture; Chinese Academy of Social Sciences; University of Chinese Academy of Social Sciences; University of Leeds; Yantai University</t>
  </si>
  <si>
    <t>He, ZW (corresponding author), Beijing Univ Agr, Coll Econ &amp; Management, Beijing Res Ctr Rural Revitalizat, Beijing 102206, Peoples R China.;Gao, XX (corresponding author), Univ Chinese Acad Social Sci, Fac Appl Econ, Beijing 102488, Peoples R China.;Li, XJ (corresponding author), Yantai Univ, Sch Econ &amp; Management, Yantai 264005, Peoples R China.</t>
  </si>
  <si>
    <t>gaoxixi@ucass.edu.cn; hzw28@126.com; ydlxj@ytu.edu.cn</t>
  </si>
  <si>
    <t>Zhang, Qiangqiang/C-9357-2016</t>
  </si>
  <si>
    <t>Beijing Municipal Education Science '14th Five-Year Plan' 2024 Subjects [BCDA24141] Funding Source: Medline; 2023 Beijing Social Science Foundation Key Project [23JCB027] Funding Source: Medline; the Industry-university-research Collaborative Project for 2023 by Yan'an University of Rural Development Institute [YDRDI202301] Funding Source: Medline; Young Innovation Team of Shandong Higher Education Institutions [2024KJL029] Funding Source: Medline; the Humanities and Social Sciences Youth Foundation, Ministry of Education of China [22YJC790164] Funding Source: Medline; Prosperous Social Science Action Plan Project of Beijing University of Agriculture [FRSK-2024-005] Funding Source: Medline; the Promotion Plan of Young Teachers' Scientific Research and Innovation Ability in Beijing University of Agriculture [QJKC-2023020] Funding Source: Medline</t>
  </si>
  <si>
    <t>Beijing Municipal Education Science '14th Five-Year Plan' 2024 Subjects; 2023 Beijing Social Science Foundation Key Project; the Industry-university-research Collaborative Project for 2023 by Yan'an University of Rural Development Institute; Young Innovation Team of Shandong Higher Education Institutions; the Humanities and Social Sciences Youth Foundation, Ministry of Education of China; Prosperous Social Science Action Plan Project of Beijing University of Agriculture; the Promotion Plan of Young Teachers' Scientific Research and Innovation Ability in Beijing University of Agriculture</t>
  </si>
  <si>
    <t>MAY 27</t>
  </si>
  <si>
    <t>10.1038/s41598-025-02419-8</t>
  </si>
  <si>
    <t>3DT3Z</t>
  </si>
  <si>
    <t>WOS:001497915300010</t>
  </si>
  <si>
    <t>Guo, CY; Bai, ZH; Wang, XZ; Zhang, WS; Chen, XJ; Lakshmanan, P; Ma, L; Lu, JW; Liu, B; Shi, XJ; Chen, XP</t>
  </si>
  <si>
    <t>Guo, Chaoyi; Bai, Zhaohai; Wang, Xiaozhong; Zhang, Wushuai; Chen, Xuanjing; Lakshmanan, Prakash; Ma, Lin; Lu, Jianwei; Liu, Bin; Shi, Xiaojun; Chen, Xinping</t>
  </si>
  <si>
    <t>Spatio-temporal assessment of greenhouse gas emission from rapeseed production in China by coupling nutrient flows model with LCA approach</t>
  </si>
  <si>
    <t>FOOD AND ENERGY SECURITY</t>
  </si>
  <si>
    <t>climate change; food security; mitigation potentials; optimized nutrient management; spatial adjustment</t>
  </si>
  <si>
    <t>BRASSICA-NAPUS L.; WINTER RAPESEED; N MANAGEMENT; NITROGEN; EFFICIENCY; CARBON; FOOTPRINT; SYSTEMS; GROWTH; YIELD</t>
  </si>
  <si>
    <t>Rapeseed (Brassica napus L.) production experienced a considerable increase during the past decades, and there is growing concern about how to realize the dual objectives of meeting the increasing demand for rapeseed and reducing the associated greenhouse gas (GHG) emissions. Most reported studies on crop-sourced GHG emissions to date were aimed at optimizing crop management to reduce emission, but often without a detailed spatio-temporal assessment of GHG emissions for layout management practices. Herein, we used a newly developed modelling approach that integrates the NUtrient Flows in food chains, Environment, and Resource use (NUFER) model with a dynamic reactive nitrogen (Nr) loss module for rapeseed and Life Cycle Assessment (LCA) approach to assess the GHG emissions from rapeseed production in China, where produces 18% of the world's rapeseed. Results showed that the GHG emissions from rapeseed production in China increased by 1.90% yearly from 2004 to 2018, largely due to increased inputs of agricultural materials, especially diesel. Further, carbon footprints of rapeseed production were found vary greatly between production regions, due to diverse climatic conditions, field management practices and the level of mechanization. Scenario analysis showed that adoption of both optimized nutrient and layout management practice is required to mitigate the current resource and environmental burdens. and to achieve edible oil security. Thus, our study provides new insights for policymakers on the formulation of management practices to reduce crop-sourced GHG emissions, going along with an increase of food demand in the future.</t>
  </si>
  <si>
    <t>[Guo, Chaoyi; Wang, Xiaozhong; Zhang, Wushuai; Chen, Xuanjing; Liu, Bin; Shi, Xiaojun; Chen, Xinping] Southwest Univ, Coll Resources &amp; Environm, Chongqing 400715, Peoples R China; [Guo, Chaoyi; Wang, Xiaozhong; Zhang, Wushuai; Chen, Xuanjing; Liu, Bin; Shi, Xiaojun; Chen, Xinping] Southwest Univ, Acad Agr Sci, Chongqing 400715, Peoples R China; [Guo, Chaoyi; Wang, Xiaozhong; Zhang, Wushuai; Chen, Xuanjing; Lakshmanan, Prakash; Ma, Lin; Liu, Bin; Shi, Xiaojun; Chen, Xinping] Southwest Univ, Interdisciplinary Res Ctr Agr Green Dev Yangtze R, Chongqing, Peoples R China; [Bai, Zhaohai; Ma, Lin] Chinese Acad Sci, Inst Genet &amp; Dev Biol, Ctr Agr Resources Res, Key Lab Agr Water Resources, Shijiazhuang, Hebei, Peoples R China; [Lakshmanan, Prakash] Guangxi Acad Agr Sci, Sugarcane Res Inst, Nanning, Peoples R China; [Lakshmanan, Prakash] Univ Queensland, Queensland Alliance Agr &amp; Food Innovat, St Lucia, Qld, Australia; [Lu, Jianwei] Huazhong Agr Univ, Coll Resources &amp; Environm, Wuhan, Peoples R China</t>
  </si>
  <si>
    <t>Southwest University - China; Southwest University - China; Southwest University - China; Chinese Academy of Sciences; Institute of Genetics &amp; Developmental Biology, CAS; Center for Agricultural Resources Research, Institute of Genetic &amp; Developmental Biology, CAS; Guangxi Academy of Agricultural Sciences; University of Queensland; Huazhong Agricultural University</t>
  </si>
  <si>
    <t>Chen, XP (corresponding author), Southwest Univ, Coll Resources &amp; Environm, Chongqing 400715, Peoples R China.;Chen, XP (corresponding author), Southwest Univ, Acad Agr Sci, Chongqing 400715, Peoples R China.</t>
  </si>
  <si>
    <t>chenxp2017@swu.edu.cn</t>
  </si>
  <si>
    <t>Zhang, Wushuai/AFG-6878-2022; Bai, Zhaohai/A-4959-2018; Xinping, Chen/F-7305-2013; Chen, Xuanjing/LGY-1719-2024</t>
  </si>
  <si>
    <t>Bai, Zhaohai/0000-0001-7685-5441; Zhang, Wushuai/0000-0002-2203-1719;</t>
  </si>
  <si>
    <t>National Natural Science Foundation of China [U20A2047]; Changjiang Scholarship, Ministry of Education, China; State Cultivation Base of Eco-agriculture for Southwest Mountainous Land, Southwest University</t>
  </si>
  <si>
    <t>National Natural Science Foundation of China(National Natural Science Foundation of China (NSFC)); Changjiang Scholarship, Ministry of Education, China; State Cultivation Base of Eco-agriculture for Southwest Mountainous Land, Southwest University</t>
  </si>
  <si>
    <t>We thank the National Natural Science Foundation of China (U20A2047); Changjiang Scholarship, Ministry of Education, China; and State Cultivation Base of Eco-agriculture for Southwest Mountainous Land, Southwest University. We also thank Ruoling Tang (Wageningen University) and Min Lu (Zhejiang University) for valuable comments and language editing assistance.</t>
  </si>
  <si>
    <t>2048-3694</t>
  </si>
  <si>
    <t>FOOD ENERGY SECUR</t>
  </si>
  <si>
    <t>Food Energy Secur.</t>
  </si>
  <si>
    <t>e398</t>
  </si>
  <si>
    <t>10.1002/fes3.398</t>
  </si>
  <si>
    <t>JUN 2022</t>
  </si>
  <si>
    <t>Agronomy; Plant Sciences; Food Science &amp; Technology</t>
  </si>
  <si>
    <t>Agriculture; Plant Sciences; Food Science &amp; Technology</t>
  </si>
  <si>
    <t>3Z1MD</t>
  </si>
  <si>
    <t>WOS:000812702100001</t>
  </si>
  <si>
    <t>Diao, XS; Cossar, F; Houssou, N; Kolavalli, S</t>
  </si>
  <si>
    <t>Diao, Xinshen; Cossar, Frances; Houssou, Nazaire; Kolavalli, Shashidhara</t>
  </si>
  <si>
    <t>Mechanization in Ghana: Emerging demand, and the search for alternative supply models</t>
  </si>
  <si>
    <t>Agricultural mechanization policy; Agricultural intensification; Agribusiness; Ghana</t>
  </si>
  <si>
    <t>Influential studies in the 1980s and early 1990s drew on the Boserup-Ruthenberg theories of farming systems evolution to argue that African countries were not yet ready for widespread agricultural mechanization. Through applying the theories of farming systems evolution and of induced innovation in technical change, this paper shows that demand for certain mechanized farming operations particularly plowing has emerged even among smallholders, suggesting that supply issues may now be the main constraint to successful mechanization. We therefore adopt a supply chain approach to analyze two types of mechanization practices in Ghana, i.e., a recent state-led mechanization program and the private sector-led service hiring market, against an international perspective by drawing on three Asian supply models. We identify two major flaws in existing policies. First, the agricultural mechanization service centers that the government promotes fail to use tractors services with sufficient intensity. Second, direct importation of agricultural machinery by the government inhibits imports of appropriate and affordable machinery. In contrast, the development of mechanized service hiring market in which medium and large scale farmers who are tractor owners provide hiring-out services to small-scale farmers represents a promising model for sustainable mechanization in Ghana. This private sector-led second model is consistent with international experiences. (C) 2014 Published by Elsevier Ltd.</t>
  </si>
  <si>
    <t>[Diao, Xinshen; Cossar, Frances; Houssou, Nazaire] Int Food Policy Res Inst, Dev Strategy &amp; Governance Div, Washington, DC 20036 USA; [Kolavalli, Shashidhara] Int Food Policy Res Inst, Ghana Strategy Support Program, Dev Strategy &amp; Governance Div, Accra, Ghana</t>
  </si>
  <si>
    <t>CGIAR; International Food Policy Research Institute (IFPRI); CGIAR; International Food Policy Research Institute (IFPRI)</t>
  </si>
  <si>
    <t>Diao, XS (corresponding author), Int Food Policy Res Inst, Dev Strategy &amp; Governance Div, Washington, DC 20036 USA.</t>
  </si>
  <si>
    <t>x.diao@cgiar.org; f.cossar@cgiar.org; n.houssou@cgiar.org; s.kolavalli@cgiar.org</t>
  </si>
  <si>
    <t>Cossar, Frances/M-1935-2019</t>
  </si>
  <si>
    <t>Warren, Frances/0000-0003-0836-547X</t>
  </si>
  <si>
    <t>10.1016/j.foodpol.2014.05.013</t>
  </si>
  <si>
    <t>AO0IA</t>
  </si>
  <si>
    <t>WOS:000340991100013</t>
  </si>
  <si>
    <t>Majebele, JJ; Yang, ML; Mateen, M; Tola, AA</t>
  </si>
  <si>
    <t>Majebele, James Jackson; Yang, Minli; Mateen, Muhammad; Tola, Abreham Arebe</t>
  </si>
  <si>
    <t>Mechanization and Maize Productivity in Tanzania's Ruvuma Region: A Python-Based Analysis on Adoption and Yield Impact</t>
  </si>
  <si>
    <t>agricultural mechanization; maize productivity; smallholder farmers; yield gaps; adoption constraints; innovation diffusion theory</t>
  </si>
  <si>
    <t>This study investigates the influence of agricultural mechanization on maize productivity in Tanzania's Ruvuma region, a major maize-producing area vital to national food security. It addresses gaps in understanding the cumulative effects of mechanization across the maize production cycle and identifies region-specific barriers to adoption among smallholder farmers. Focusing on five key stages-land preparation, planting, plant protection, harvesting, and drying-this research evaluated mechanization uptake at each stage and its relationship with yield disparities. Statistical analyses using Python libraries included regression modeling, ANOVA, and hypothesis testing to quantify mechanization-yield relationships, controlling for farm size and socioeconomic factors, revealing a strong positive correlation between mechanization and maize yields (r = 0.86; p &lt; 0.01). Mechanized land preparation, planting, and plant protection significantly boosted productivity (beta = 0.75-0.35; p &lt; 0.001). However, harvesting and drying mechanization showed negligible impacts (p &gt; 0.05), likely due to limited adoption by smallholders combined with statistical constraints arising from the small sample size of large-scale farms (n = 20). Large-scale farms achieved 45% higher yields than smallholders (2.9 vs. 2.0 tons/acre; p &lt; 0.001), reflecting systemic inequities in access. These inequities are underscored by the barriers faced by smallholders, who constitute 70% of farmers yet encounter challenges, including high equipment costs, limited credit access, and insufficient technical knowledge. This study advances innovation diffusion theory by demonstrating how inequitable resource access perpetuates low mechanization uptake in smallholder systems. It underscores the need for context-specific, equity-focused interventions. These include cooperative mechanization models for high-impact stages (land preparation and planting); farmer training programs; and policy measures such as targeted subsidies for harvesting equipment and expanded rural credit systems. Public-private partnerships could democratize mechanization access, bridging yield gaps and enhancing food security. These findings advocate for strategies prioritizing smallholder inclusion to sustainably improve Tanzania's maize productivity.</t>
  </si>
  <si>
    <t>[Majebele, James Jackson; Yang, Minli; Mateen, Muhammad; Tola, Abreham Arebe] China Agr Univ, Coll Engn, Beijing 100083, Peoples R China; [Yang, Minli] China Agr Univ, China Res Ctr Agr Mechanizat Dev, Beijing 100083, Peoples R China</t>
  </si>
  <si>
    <t>China Agricultural University; China Agricultural University</t>
  </si>
  <si>
    <t>Yang, ML (corresponding author), China Agr Univ, Coll Engn, Beijing 100083, Peoples R China.;Yang, ML (corresponding author), China Agr Univ, China Res Ctr Agr Mechanizat Dev, Beijing 100083, Peoples R China.</t>
  </si>
  <si>
    <t>hameshackson@outlook.com; qyang@cau.edu.cn; abromateen.112@gmail.com; abreabrish@gmail.com</t>
  </si>
  <si>
    <t>Mateen, Muhammad/0009-0001-1447-2506</t>
  </si>
  <si>
    <t>10.3390/agriculture15131412</t>
  </si>
  <si>
    <t>4UT2P</t>
  </si>
  <si>
    <t>WOS:001527144200001</t>
  </si>
  <si>
    <t>Smith, J; Nayak, DR; Smith, P</t>
  </si>
  <si>
    <t>Smith, Jo; Nayak, Dali Rani; Smith, Pete</t>
  </si>
  <si>
    <t>Wind farms on undegraded peatlands are unlikely to reduce future carbon emissions</t>
  </si>
  <si>
    <t>ENERGY POLICY</t>
  </si>
  <si>
    <t>Wind farms; Carbon; Peatlands</t>
  </si>
  <si>
    <t>CO2 EMISSIONS; UK; POWER</t>
  </si>
  <si>
    <t>Onshore wind energy is a key component of the renewable energies used by governments to reduce carbon emissions from electricity production, but will carbon emissions be reduced when wind farms are located on carbon-rich peatands? Wind farms are often located in uplands because most are of low agricultural value, are distant from residential areas, and are windy. Many UK uplands are peatlands, with layers of accumulated peat that represent a large stock of soil carbon. When peatlands are drained for construction there is a higher risk of net carbon loss than for mineral soils. Previous work suggests that wind farms sited on peatlands can reduce net carbon emissions if strictly managed for maximum retention of carbon. Here we show that, whereas in 2010, most sites had potential to provide net carbon savings, by 2040 most sites will not reduce carbon emissions even with careful management. This is due to projected changes in the proportion of fossil fuels used to generate electricity. The results suggest future policy should avoid constructing wind farms on undegraded peatlands unless drainage of peat is minimal and the volume excavated in foundations can be significantly reduced compared to energy output. (C) 2013 Elsevier Ltd. All rights reserved.</t>
  </si>
  <si>
    <t>[Smith, Jo; Nayak, Dali Rani; Smith, Pete] Univ Aberdeen, Inst Biol &amp; Environm Sci, Aberdeen AB24 3UU, Scotland</t>
  </si>
  <si>
    <t>University of Aberdeen</t>
  </si>
  <si>
    <t>Smith, J (corresponding author), Univ Aberdeen, Inst Biol &amp; Environm Sci, 23 St Machar Dr, Aberdeen AB24 3UU, Scotland.</t>
  </si>
  <si>
    <t>jo.smith@abdn.ac.uk</t>
  </si>
  <si>
    <t>Smith, Pete/G-1041-2010; Smith, Pete/G-1041-2010; Smith, Joanne/F-7763-2012; Smith, Jo/F-7763-2012</t>
  </si>
  <si>
    <t>Smith, Pete/0000-0002-3784-1124; Smith, Pete/0000-0002-3784-1124; Nayak, Dali Rani/0000-0003-0653-0662; Smith, Joanne/0000-0001-6984-6766;</t>
  </si>
  <si>
    <t>Scottish Government (RERAD); Scottish Government</t>
  </si>
  <si>
    <t>We are very grateful to the Scottish Government (RERAD) for funding this work. PS is a Royal Society-Wolfson Research Merit Award holder. This research contributes to the work of the Scottish Government funded ClimateXChange.</t>
  </si>
  <si>
    <t>0301-4215</t>
  </si>
  <si>
    <t>1873-6777</t>
  </si>
  <si>
    <t>ENERG POLICY</t>
  </si>
  <si>
    <t>Energy Policy</t>
  </si>
  <si>
    <t>10.1016/j.enpol.2013.10.066</t>
  </si>
  <si>
    <t>Economics; Energy &amp; Fuels; Environmental Sciences; Environmental Studies</t>
  </si>
  <si>
    <t>Business &amp; Economics; Energy &amp; Fuels; Environmental Sciences &amp; Ecology</t>
  </si>
  <si>
    <t>AB9SL</t>
  </si>
  <si>
    <t>WOS:000332135900053</t>
  </si>
  <si>
    <t>Wu, HY; Sipiläinen, T; He, Y; Huang, HJ; Luo, LX; Chen, WK; Meng, Y</t>
  </si>
  <si>
    <t>Wu, Haoyue; Sipilainen, Timo; He, Yu; Huang, Hanjiao; Luo, Luxi; Chen, Wenkuan; Meng, Yue</t>
  </si>
  <si>
    <t>Performance of cropland low-carbon use in China: Measurement, spatiotemporal characteristics, and driving factors</t>
  </si>
  <si>
    <t>Cropland use efficiency; Carbon emissions; Carbon sequestration; Slack-based measurement; Global benchmark; Spatial Durbin model</t>
  </si>
  <si>
    <t>LAND-USE EFFICIENCY; GREENHOUSE-GAS EMISSIONS; FOOTPRINT; PRODUCTIVITY; SEQUESTRATION; SYSTEMS; IMPACT; FLUXES; GROWTH; CO2</t>
  </si>
  <si>
    <t>Low-carbon cropland use is of significant importance in addressing global warming. Most research has paid attention to measuring cropland use efficiency under carbon emission constraints to reconcile carbon mitigation and food security. However, there are limitations with carbon accounting, approach selection, and subsequent regression. To extend existing research, this study aimed to evaluate the performance of cropland low-carbon use (PCW) and determine the driving factors. In this study, carbon emissions and sequestration of cropland use in Chinese provinces from 2000 to 2019 were calculated. Based on the carbon accounting, an extended slack-based efficiency measurement was applied to evaluate the provincial PCLU. Besides, spatiotemporal characteristics of the PCLU were portrayed. Owing to spatial correlation, the spatial Durbin model was employed to elucidate the driving factors. The results indicate that: (1) cropland use systems acted as net carbon sinks in China with sequestration and emissions of 5.624 t/hm(2) and 1.980 t/hm(2), respectively. (2) In China, the average PCLU was 0.727, whereas the provinces had values ranging from 0.2-1.2, with significant gaps. (3) PCLU evolved stably in northeastern China and fluctuated in the other three regions. Meanwhile, provinces with high PCLU shifted from the south to the north of the country during the study period. The global Moran's index demonstrated that a positive spatial correlation existed. (4) Agricultural structure adjustment and urbanization can promote PCW, whereas investment and disaster can undermine it. PCLU of a province would be affected by the agricultural structure and disaster in its nearby provinces owing to spillover effects. Consequently, it is suggested that emissions in provinces should be mitigated according to the local carbon structure. Harnessing the key factors and spatial interactions can potentially help achieve regional low-carbon cropland use. (C) 2021 Elsevier B.V. All rights reserved.</t>
  </si>
  <si>
    <t>[Wu, Haoyue; He, Yu; Luo, Luxi; Chen, Wenkuan] Sichuan Agr Univ, Coll Management, Chengdu 611130, Peoples R China; [Wu, Haoyue; Sipilainen, Timo] Univ Helsinki, Fac Agr &amp; Forestry, Helsinki 00014, Finland; [Huang, Hanjiao] Northwest A&amp;F Univ, Coll Forestry, Xianyang 712100, Peoples R China; [Meng, Yue] Sichuan Agr Univ, Coll Business &amp; Tourism, Dujiangyan 611830, Peoples R China</t>
  </si>
  <si>
    <t>Sichuan Agricultural University; University of Helsinki; Northwest A&amp;F University - China; Sichuan Agricultural University</t>
  </si>
  <si>
    <t>Wu, HY; Meng, Y (corresponding author), 211 Huimin Rd, Chengdu, Sichuan, Peoples R China.</t>
  </si>
  <si>
    <t>tsuld710064315@163.com; mengyue@sicau.edu.cn</t>
  </si>
  <si>
    <t>Sipiläinen, Timo/0000-0001-9332-6541</t>
  </si>
  <si>
    <t>Young Scientists Fund of the National Natural Science Foundation of China [71704127]; China scholarship council</t>
  </si>
  <si>
    <t>Young Scientists Fund of the National Natural Science Foundation of China(National Natural Science Foundation of China (NSFC)); China scholarship council(China Scholarship Council)</t>
  </si>
  <si>
    <t>This research was funded by the Young Scientists Fund of the National Natural Science Foundation of China (71704127) and the China scholarship council. All the authors are very grateful to the anonymous reviewers and editors for the careful review and critical comments. Additionally, Haoyue Wu especially wishes to appreciate Kalafina, whose songs have always given her powerful spiritual support over the past decade.</t>
  </si>
  <si>
    <t>DEC 15</t>
  </si>
  <si>
    <t>10.1016/j.scitotenv.2021.149552</t>
  </si>
  <si>
    <t>AUG 2021</t>
  </si>
  <si>
    <t>WA4MD</t>
  </si>
  <si>
    <t>WOS:000702859900013</t>
  </si>
  <si>
    <t>Jiang, CM; Yu, WT; Ma, Q; Xu, YG; Zou, H</t>
  </si>
  <si>
    <t>Jiang, C. M.; Yu, W. T.; Ma, Q.; Xu, Y. G.; Zou, H.</t>
  </si>
  <si>
    <t>Alleviating global warming potential by soil carbon sequestration: A multi-level straw incorporation experiment from a maize cropping system in Northeast China</t>
  </si>
  <si>
    <t>Straw incorporation; Greenhouse gas; Soil C sequestration; Net global warming potential</t>
  </si>
  <si>
    <t>GREENHOUSE-GAS EMISSIONS; NITROUS-OXIDE EMISSIONS; TERM NO-TILLAGE; ORGANIC-CARBON; FERTILIZER APPLICATION; AGRICULTURAL SOILS; DYNAMICS; RESIDUE; SATURATION; MANAGEMENT</t>
  </si>
  <si>
    <t>Straw incorporation exerts important roles on greenhouse gas emissions and soil carbon (C) sequestration. However, few studies have comprehensively assessed the effects of straw incorporation on net global warming potential (NGWP) considering both emissions of greenhouse gas (GHG) and accumulation of SOC in Northeast China, the most important agricultural regions across the nation. An ongoing straw incorporation experiment was initiated in a maize cropping system of Northeast China from 2010, including three treatments: no straw incorporation (CK), incorporation of maize straw at a low level of 4000 kg ha(-1) (S-4), and at a high level of 8000 kg ha(-1) (S-8). At 2015, the crop yield was significantly elevated (11% and 21% for S4 and S-8, respectively) by the straw additions resulting from improved soil fertility. During the growing season of 2015, we found that the straw additions did not affect seasonal patterns of the N(2)0 and CH4, but changed their seasonal magnitudes. Averaged over this period, CH4 flux was very low based on its GWP, and straw incorporation tended to reduce the CH4 emissions (6.6, 3.6 and 4.3 kg CO2 eq ha(-1) for CK, S-4 and S-8, respectively); while straw incorporation significantly enhanced N(2)0 emissions with the value of 429, 590 and 746 kg CO2 eq ha(-1) for CK, S-4 and S-8, respectively. On the other hand, a significantly linear relationship (SOC sequestration rate = 0.29 x annual C input-0.57, R-2= 0.99, P &lt; 0.05) was detected between annual straw C input and SOC sequestration rate over the 5-year cycles, indicating the soil we studied was still not C-saturated at least during the experimental interval. More notably, the C conversion rate (29%, the slope of the equation) was generally larger than the values reported in other region of China. These results implied and confirmed that the soil of Northeast China possessed greater potentials to sequestrate external C. Taken together, the SOC accumulation accounted for major portion of the NGWP and counteracted the extra emissions of GHGs (492, 1183 and 3040 kg CO2 eq ha(-1) for NGWP of CK, S-4 and S-8, respectively). Therefore, the agricultural practise of straw incoporation was strongly recommended to be adopted in Northeat China to improve the soil productivity and simultaneously mitigate the negative influence of GHG emissions. (C) 2017 Elsevier B.V. All rights reserved.</t>
  </si>
  <si>
    <t>[Jiang, C. M.; Yu, W. T.; Ma, Q.; Xu, Y. G.; Zou, H.] Chinese Acad Sci, Inst Appl Ecol, Shenyang 110016, Peoples R China; [Jiang, C. M.; Yu, W. T.; Ma, Q.; Xu, Y. G.; Zou, H.] Chinese Acad Sci, Inst Appl Ecol, Soil Nutr Recycling Grp, Shenyang 110016, Peoples R China</t>
  </si>
  <si>
    <t>Chinese Academy of Sciences; Shenyang Institute of Applied Ecology, CAS; Chinese Academy of Sciences; Shenyang Institute of Applied Ecology, CAS</t>
  </si>
  <si>
    <t>Jiang, CM; Yu, WT (corresponding author), Chinese Acad Sci, Inst Appl Ecol, Shenyang 110016, Peoples R China.</t>
  </si>
  <si>
    <t>jchmjchm@163.com; wtyu@iae.ac.cn</t>
  </si>
  <si>
    <t>National Natural Science Foundation of China [41171242, 41471250]; Pioneer Initiative of Chinese Academy of Sciences [TSS20150103]; National Key Technology R D Program [2012BADO5B01]</t>
  </si>
  <si>
    <t>National Natural Science Foundation of China(National Natural Science Foundation of China (NSFC)); Pioneer Initiative of Chinese Academy of Sciences; National Key Technology R D Program(National Key Technology R&amp;D Program)</t>
  </si>
  <si>
    <t>This study was financially supported by National Natural Science Foundation of China (No. 41171242 and 41471250), Pioneer Initiative of Chinese Academy of Sciences (No. TSS20150103) and the National Key Technology R &amp; D Program (No. 2012BADO5B01). We are grateful to everyone who assisted with field and laboratory work. We specially thank to the anonymous reviewers for their valuable comments on earlier versions of the manuscript which greatly improved this manuscript.</t>
  </si>
  <si>
    <t>10.1016/j.still.2017.03.003</t>
  </si>
  <si>
    <t>EZ9MX</t>
  </si>
  <si>
    <t>WOS:000405055600009</t>
  </si>
  <si>
    <t>Huang, BB; Kong, H; Yu, JH; Zhang, XY</t>
  </si>
  <si>
    <t>Huang, Bingbing; Kong, Hui; Yu, Jinhong; Zhang, Xiaoyou</t>
  </si>
  <si>
    <t>A Study on the Impact of Low-Carbon Technology Application in Agriculture on the Returns of Large-Scale Farmers</t>
  </si>
  <si>
    <t>INTERNATIONAL JOURNAL OF ENVIRONMENTAL RESEARCH AND PUBLIC HEALTH</t>
  </si>
  <si>
    <t>agricultural low-carbon technologies; large-scale farmers; returns; Jiangxi Province</t>
  </si>
  <si>
    <t>EFFICIENCY; ADOPTION; SOIL; MANAGEMENT; FERTILIZER; EMISSIONS; SYSTEMS; CHINA; SIZE</t>
  </si>
  <si>
    <t>The relationship and mechanism between agricultural low-carbon technology application and farm household returns are not yet clear, especially the lack of evidence from developing countries. This paper takes large-scale farming households in Jiangxi Province, China, from 2019 to 2020 as the research object, and obtains relevant data from field research to explore the intrinsic impact of agricultural low-carbon technology application on the returns of large-scale farming households. Based on the relevant theoretical analysis, the division dimensions of agricultural low-carbon technologies were proposed, and agricultural low-carbon technologies were subdivided into ten specific low-carbon technologies according to six dimensions: tillage system, breeding, fertilization, irrigation, medicine application, and waste treatment. Relevant questions were designed and researched to obtain data on the application status of low-carbon technologies in agriculture and the income cost status of large-scale farmers. Based on the theoretical analysis, the research hypotheses were proposed, and an empirical analysis was conducted based on the obtained data from large-scale farmers. The application of seven low-carbon technologies in agriculture: conservation tillage system, direct sowing technology, selection of compound fertilizer/organic fertilizer/controlled-release fertilizer, soil formula fertilization technology, deep fertilization/irrigation fertilization, sprinkler/drip irrigation/wet irrigation/intermittent irrigation, and straw resourceization significantly improved the income level of large-scale farmers. Furthermore, the application of biodegradable agricultural membranes, biopesticides, and new pesticide-controlled release technologies did not have significant effects on the income level of large-scale farmers, due to their low application and penetration rate. Based on the findings of the paper, the government should strengthen the promotion and subsidies of agricultural low-carbon technologies, especially those technologies that have no significant impact on large-scale farmers' income, such as biodegradable agricultural membranes, biopesticides, and new pesticide controlled-release technologies, so as to achieve a win-win situation of reducing carbon emissions and increasing farmers' income.</t>
  </si>
  <si>
    <t>[Huang, Bingbing] Renmin Univ China, Renmin Business Sch, Beijing 100872, Peoples R China; [Kong, Hui] Beijing Inst Technol, Sch Mech Engn, Beijing 100081, Peoples R China; [Yu, Jinhong; Zhang, Xiaoyou] Jiangxi Agr Univ, Sch Econ &amp; Management, Nanchang 330045, Jiangxi, Peoples R China</t>
  </si>
  <si>
    <t>Renmin University of China; Beijing Institute of Technology; Jiangxi Agricultural University</t>
  </si>
  <si>
    <t>Kong, H (corresponding author), Beijing Inst Technol, Sch Mech Engn, Beijing 100081, Peoples R China.;Zhang, XY (corresponding author), Jiangxi Agr Univ, Sch Econ &amp; Management, Nanchang 330045, Jiangxi, Peoples R China.</t>
  </si>
  <si>
    <t>konghui2020@bit.edu.cn; zhangxy_jxau@mail.jxau.edu.cn</t>
  </si>
  <si>
    <t>; 黄, 冰冰/AAE-5613-2022</t>
  </si>
  <si>
    <t>Huang, bingbing/0000-0002-7036-2635;</t>
  </si>
  <si>
    <t>National Natural Science Foundation of China [71563018, 52006124]</t>
  </si>
  <si>
    <t>This work was funded by the National Natural Science Foundation of China (No. 71563018, No. 52006124): Research on incentive mechanisms and support policies for low-carbon technology application in agriculture-empirical evidence based on Jiangxi scale farmers (No. 71563018), and Study on energy efficiency improvement mechanism and method of splitting H2O/CO2 into H2/CO by concentrated solar thermochemical cycle (No. 52006124).</t>
  </si>
  <si>
    <t>1660-4601</t>
  </si>
  <si>
    <t>INT J ENV RES PUB HE</t>
  </si>
  <si>
    <t>Int. J. Environ. Res. Public Health</t>
  </si>
  <si>
    <t>10.3390/ijerph191610177</t>
  </si>
  <si>
    <t>4C5XF</t>
  </si>
  <si>
    <t>WOS:000846525200001</t>
  </si>
  <si>
    <t>Yang, WP; Mou, MG; Mu, L; Zeng, XW</t>
  </si>
  <si>
    <t>Yang, Wanping; Mou, Muge; Mu, Lan; Zeng, Xuanwen</t>
  </si>
  <si>
    <t>Are farmers willing to pay for low-carbon agriculture? Evidence from China</t>
  </si>
  <si>
    <t>Climate change; Low-carbon agriculture; Willingness-to-pay; Choice experiments; Sustainable agricultural management</t>
  </si>
  <si>
    <t>TO-PAY; CLIMATE-CHANGE; ADOPTION; BEHAVIOR; MANAGEMENT; MODEL</t>
  </si>
  <si>
    <t>PurposeReducing carbon emissions in agriculture is vital for fostering sustainable agricultural growth and promoting ecological well-being in rural areas. The adoption of Low-Carbon Agriculture (LCA) by farmers holds great potential to accomplish substantial reductions in carbon emissions. The purpose of this study is to explore the farmers' preference and willingness to engage in LCA.Design/methodology/approachThis study employs the Choice Experiment (CE) method to examine farmers' preferences and willingness to adopt LCA, using field survey data of 544 rural farmers in the Weihe River Basin between June and July 2023. We further investigate differences in willingness to pay (WTP) and personal characteristics among different farmer categories.FindingsThe empirical results reveal that farmers prioritize government-led initiatives providing pertinent technical training as a key aspect of the LCA program. Farmers' decisions to participate in LCA are influenced by factors including age, gender, education and the proportion of farm income in household income, with their evaluations further shaped by subjective attitudes and habits. Notably, we discovered that nearly half of the farmers exhibit indifference towards LCA attributes.Originality/valueTo the best of the authors' knowledge, this study is the first to investigate farmers' attitudes toward LCA from their own perspectives and to analyze the factors influencing them from both subjective and objective standpoints. This study presents a fresh perspective for advocating LCA, bolstering rural ecology and nurturing sustainable development in developing nations.</t>
  </si>
  <si>
    <t>[Yang, Wanping; Mou, Muge] Xi An Jiao Tong Univ, Sch Econ &amp; Finance, Xian, Peoples R China; [Mu, Lan; Zeng, Xuanwen] Shaanxi Normal Univ, Northwest Inst Hist Environm &amp; Socioecon Dev, Xian, Peoples R China</t>
  </si>
  <si>
    <t>Xi'an Jiaotong University; Shaanxi Normal University</t>
  </si>
  <si>
    <t>Mu, L (corresponding author), Shaanxi Normal Univ, Northwest Inst Hist Environm &amp; Socioecon Dev, Xian, Peoples R China.</t>
  </si>
  <si>
    <t>mulan820706@163.com</t>
  </si>
  <si>
    <t>National Natural Science Foundation of China [42001221]; Post-Funded Project of the National Social Science Foundation of China [22FJLB028]</t>
  </si>
  <si>
    <t>National Natural Science Foundation of China(National Natural Science Foundation of China (NSFC)); Post-Funded Project of the National Social Science Foundation of China</t>
  </si>
  <si>
    <t>This work was financially supported by the National Natural Science Foundation of China (42001221) and the Post-Funded Project of the National Social Science Foundation of China (22FJLB028).</t>
  </si>
  <si>
    <t>SEP 30</t>
  </si>
  <si>
    <t>10.1108/CAER-03-2024-0090</t>
  </si>
  <si>
    <t>SEP 2024</t>
  </si>
  <si>
    <t>G9H2Y</t>
  </si>
  <si>
    <t>WOS:001302593000001</t>
  </si>
  <si>
    <t>Medina, JCL; Concepción, VH; Pino, CAM; Zerpa, FL</t>
  </si>
  <si>
    <t>Medina, Juan Carlos Lozano; Concepcion, Vicente Henriquez; Pino, Carlos A. Mendieta; Zerpa, Federico Leon</t>
  </si>
  <si>
    <t>Bioethanol from canary banana waste as an energy source to reduce the carbon footprint of island electricity systems</t>
  </si>
  <si>
    <t>FUEL</t>
  </si>
  <si>
    <t>Canarian banana; Bioethanol; Energy policy; Renewable energy; Island electricity systems (IESs)</t>
  </si>
  <si>
    <t>Energy sovereignty and carbon footprint mitigation are challenges faced by island electricity systems (IES), along with the promotion of renewable generation systems. One of the aspects that can improve this is the development of specific actions in the recovery of agricultural waste as biofuels. Among them, the banana residue stands out, as it is the majority in agricultural production in the Canary Islands. On the other hand, biofuels are alternatives to fossil fuels that contribute to reducing greenhouse gas emissions. This article studies the potential of waste, the transformation of the existing sugars in the fruit waste of the Canarian banana to transform it into a 100% renewable fuel, bioethanol and, therefore, the environmental impact that it has on banana production, its new carbon footprint.</t>
  </si>
  <si>
    <t>[Medina, Juan Carlos Lozano; Concepcion, Vicente Henriquez; Pino, Carlos A. Mendieta; Zerpa, Federico Leon] Univ Las Palmas Gran Canaria, Las Palmas Gran Canaria, Spain</t>
  </si>
  <si>
    <t>Universidad de Las Palmas de Gran Canaria</t>
  </si>
  <si>
    <t>Pino, CAM (corresponding author), Univ Las Palmas Gran Canaria, Las Palmas Gran Canaria, Spain.</t>
  </si>
  <si>
    <t>juancarlos.lozano@ulpgc.es; vicente.henriquez@ulpgc.es; carlos.mendieta@ulpgc.es; federico.leon@ulpgc.es</t>
  </si>
  <si>
    <t>; Mendieta Pino, Carlos Alberto/AAC-4435-2021; Leon, Federico/LKN-7445-2024</t>
  </si>
  <si>
    <t>Henríquez Concepción, Vicente/0009-0007-5397-4473; Lozano Medina, Juan Carlos/0009-0005-4985-9339; LEON ZERPA, FEDERICO ANTONIO/0000-0003-2284-8400</t>
  </si>
  <si>
    <t>INTERREG V-A Cooperation, Spain-Portugal MAC (Madeira-Azores-Canaries) program, MITIMAC project [MAC2/1.1a/263]</t>
  </si>
  <si>
    <t>INTERREG V-A Cooperation, Spain-Portugal MAC (Madeira-Azores-Canaries) program, MITIMAC project</t>
  </si>
  <si>
    <t>This research was cofunded by the INTERREG V-A Cooperation, Spain-Portugal MAC (Madeira-Azores-Canaries) 2014-2020 program, MITIMAC project (MAC2/1.1a/263).</t>
  </si>
  <si>
    <t>0016-2361</t>
  </si>
  <si>
    <t>1873-7153</t>
  </si>
  <si>
    <t>Fuel</t>
  </si>
  <si>
    <t>SEP 1</t>
  </si>
  <si>
    <t>10.1016/j.fuel.2024.131848</t>
  </si>
  <si>
    <t>Energy &amp; Fuels; Engineering, Chemical</t>
  </si>
  <si>
    <t>Energy &amp; Fuels; Engineering</t>
  </si>
  <si>
    <t>K7I0U</t>
  </si>
  <si>
    <t>WOS:001345563100001</t>
  </si>
  <si>
    <t>Rehn, A; Berndes, G; Cederberg, C; Englund, O</t>
  </si>
  <si>
    <t>Rehn, Andreas; Berndes, Goran; Cederberg, Christel; Englund, Oskar</t>
  </si>
  <si>
    <t>Carbon removal potentials in agricultural systems - participatory scenario modelling with farmers in Sweden</t>
  </si>
  <si>
    <t>Climate change mitigation; soil carbon; carbon dioxide removal potentials; agricultural systems; crop rotation; biochar</t>
  </si>
  <si>
    <t>CROP RESIDUES; DAIRY FARMS; SOIL; SEQUESTRATION; STORAGE</t>
  </si>
  <si>
    <t>Estimates of theoretical climate change mitigation potentials in agriculture need to be complemented with investigations of factors that influence deployment. This study introduces a framework for landscape-level assessment of climate change mitigation in agriculture that accounts for existing land uses, soil carbon stocks, and farmers' preferences concerning specific mitigation options. The framework is used in an assessment of the deployment potentials for selected mitigation options in an agricultural landscape in Sweden, in which arable land covers approximately one-third of the land area. Three options were found to be preferable by farmers: biochar as soil amendment, cover crops, and (an increased) cultivation of ley crops in crop rotations. Cultivation of cover crops and leys was found to increase SOC stocks by 1.9 and 1.6 MgC ha-1 over three decades, respectively. About 10.2 MgC ha-1 is sequestered in soils over three decades when biochar is added as a soil amendment, if 50% of available residues are collected and utilized. This can be compared with GHG emissions from agriculture from the studied area, estimated at 1.6 Mg CO2-eq ha-1 yr-1 (GWP100). The framework was found useful for assessing mitigation options in the agriculture sector, underlining farmer involvement to identify actionable strategies.</t>
  </si>
  <si>
    <t>[Rehn, Andreas; Berndes, Goran; Cederberg, Christel] Chalmers Univ Technol, Dept Space Earth &amp; Environm, Div Phys Resource Theory, Gothenburg, Sweden; [Englund, Oskar] Mid Sweden Univ, Dept Ecotechnol &amp; Sustainable Bldg Engn, Ostersund, Sweden</t>
  </si>
  <si>
    <t>Chalmers University of Technology; Mid-Sweden University</t>
  </si>
  <si>
    <t>Rehn, A (corresponding author), Chalmers Univ Technol, Div Phys Resource Theory Space Earth &amp; Environm, S-41296 Gothenburg, Sweden.</t>
  </si>
  <si>
    <t>andreas.rehn@chalmers.se</t>
  </si>
  <si>
    <t>Rehn, Aneas/0000-0002-1380-1849</t>
  </si>
  <si>
    <t>Kamprad Family Foundation Entrepreneurship, Research Charity</t>
  </si>
  <si>
    <t>This publication is the result of a research project financed by The Kamprad Family Foundation Entrepreneurship, Research &amp; Charity.</t>
  </si>
  <si>
    <t>10.1080/17583004.2024.2436872</t>
  </si>
  <si>
    <t>O7Q9A</t>
  </si>
  <si>
    <t>WOS:001373037900001</t>
  </si>
  <si>
    <t>Lu, F; Meng, JX; Cheng, BD</t>
  </si>
  <si>
    <t>Lu, Feng; Meng, Jixian; Cheng, Baodong</t>
  </si>
  <si>
    <t>How does improving agricultural mechanization affect the green development of agriculture? Evidence from China</t>
  </si>
  <si>
    <t>Agricultural mechanization; Agricultural green total factor productivity; Channel analysis; Agricultural modernization; Green development</t>
  </si>
  <si>
    <t>TOTAL FACTOR PRODUCTIVITY; SLACKS-BASED MEASURE; EFFICIENCY; GROWTH; WAGE</t>
  </si>
  <si>
    <t>Over the past two decades, China has actively pursued a green, low-carbon economy in response to climate change. Amidst rapid economic development, China's green total factor productivity-a key metric reflecting the nation's green development-has notably risen. As a developing country with a population exceeding 1.4 billion, agriculture plays a key role in China. China has persistently strived to comprehensively promote the scale and scope of agricultural mechanization, recognizing it as a crucial gauge to enhance agricultural productivity, thereby facilitating agricultural modernization and ensuring food security. However, can elevating the agricultural mechanization level improve China's green development within the agricultural sector? Specifically, how does agricultural mechanization (AM) affect agricultural green total factor productivity (AGTFP)? To address these questions, we assess the effects of agricultural mechanization on agricultural green total factor productivity and examine its channels using panel data from 30 provinces in China spanning from 2000 to 2021. Additionally, we investigate the heterogeneous effects under different levels of economic development, agricultural economic development, environmental regulation intensity, and agricultural technology. The results indicate that: First, the development of agricultural mechanization promotes the agricultural green total factor productivity. Second, channel analysis indicates that agricultural mechanization can bolster agricultural green total factor productivity through three channels: enhancing agricultural management level, improving agricultural factor efficiency, and fostering diversification of agricultural industrial structure. Third, heterogeneous analysis suggests that agricultural mechanization exerts a more pronounced impact on agricultural green total factor productivity in provinces characterized by lower levels of economic development, more backward agricultural economic development, higher environmental regulation intensity, and more advanced agricultural technology. This article is anticipated to furnish empirical evidence from China for developing nations seeking to foster agricultural green sustainable development through the widespread adoption of agricultural mechanization, thereby contributing significantly to global efforts to mitigate climate change.</t>
  </si>
  <si>
    <t>[Lu, Feng; Meng, Jixian; Cheng, Baodong] Beijing Forestry Univ, Sch Econ &amp; Management, Beijing 100083, Peoples R China; [Cheng, Baodong] Beijing Forestry Univ, Natl Acad Econ &amp; Trade Forestry &amp; Grassland, Beijing 100083, Peoples R China</t>
  </si>
  <si>
    <t>Beijing Forestry University; Beijing Forestry University</t>
  </si>
  <si>
    <t>Meng, JX; Cheng, BD (corresponding author), 35 Tsinghua East Rd, Beijing 100083, Peoples R China.</t>
  </si>
  <si>
    <t>lfzjtz@bjfu.edu.cn; mengjx@bjfu.edu.cn; baodongcheng@163.com</t>
  </si>
  <si>
    <t>National Natural Science Foundation of China [72101253, 72073012]; Fundamental Research Funds for the Central Universities [2024SKQ05, BLX202125, 2023SKY20]; National Forestry and Grassland Administration of China [202300901]</t>
  </si>
  <si>
    <t>National Natural Science Foundation of China(National Natural Science Foundation of China (NSFC)); Fundamental Research Funds for the Central Universities(Fundamental Research Funds for the Central Universities); National Forestry and Grassland Administration of China</t>
  </si>
  <si>
    <t>This work was supported by the National Natural Science Foundation of China (Grant No. 72101253; 72073012) and the Fundamental Research Funds for the Central Universities (2024SKQ05; BLX202125; 2023SKY20) and the National Forestry and Grassland Administration of China (202300901) . The authors are grateful to the anonymous re-viewers and the editors.</t>
  </si>
  <si>
    <t>SEP 25</t>
  </si>
  <si>
    <t>10.1016/j.jclepro.2024.143298</t>
  </si>
  <si>
    <t>E3H1A</t>
  </si>
  <si>
    <t>WOS:001301933400001</t>
  </si>
  <si>
    <t>Sun, YM; Wang, ML</t>
  </si>
  <si>
    <t>Sun, Yumeng; Wang, Mingli</t>
  </si>
  <si>
    <t>Spatiotemporal heterogeneity and its influencing factors: a perspective on the carbon emissions in China's beef cattle industry</t>
  </si>
  <si>
    <t>beef cattle industry; carbon emissions; spatial and temporal evolution; regional disparities; emission reduction pathways</t>
  </si>
  <si>
    <t>Based on panel data from 31 provinces in China covering the beef cattle industry from 2009 to 2022, this paper constructs a framework for carbon emission measurement and systematically analyzes the spatial and temporal evolution of carbon emissions, the spatial agglomeration effect, and its driving factors in the beef cattle industry using life cycle assessment, Kernel density estimation, Moran's index, and the spatial Durbin model. The study found that: (1) The total carbon emissions of China's beef cattle industry exhibit a steady growth trend, with significant regional distribution differences. Emissions grow at a slower rate in the eastern region, while the emission levels in the central and western regions, particularly in the western region, are significantly higher than the national average.1 (2) Carbon emissions exhibit high-high and low-low spatial agglomeration patterns. Emission reduction is effective in the eastern region, while the central region is gradually catching up. The western region remains the core of high emissions. (3) Carbon emission dynamics indicate a trend of spreading from high-emission regions to peripheral areas, with medium- and small-scale farming regions having greater potential for emission reduction. (4) Improvements in environmental governance, mechanization, and education significantly reduce carbon emissions per unit of beef, driving emission reductions in neighboring regions through spatial spillover effects. Large-scale farming and urban-rural income disparities positively impact carbon emissions, while the role of scientific research inputs in emission reduction remains insignificant in the short term. This study provides a theoretical basis for promoting low-carbon development and regional synergy in the beef industry, suggesting the strengthening of research, development, and promotion of low-carbon technologies, improving the mechanism for regional synergy in emission reduction, and promoting the development of integrated crop-livestock systems to support the realization of the dual-carbon goal and the high-quality development of agriculture in the future.</t>
  </si>
  <si>
    <t>[Sun, Yumeng; Wang, Mingli] Chinese Acad Agr Sci, Inst Agr Econ &amp; Dev, Beijing, Peoples R China</t>
  </si>
  <si>
    <t>Chinese Academy of Agricultural Sciences; Institute of Agricultural Economics &amp; Development, CAAS</t>
  </si>
  <si>
    <t>Wang, ML (corresponding author), Chinese Acad Agr Sci, Inst Agr Econ &amp; Dev, Beijing, Peoples R China.</t>
  </si>
  <si>
    <t>wangmingli@caas.cn</t>
  </si>
  <si>
    <t>National Natural Science Foundation of China [72033009]; Science and Technology Innovation Project of Chinese Academy of Agricultural Sciences [ASTIP-IAED-2025-01]</t>
  </si>
  <si>
    <t>National Natural Science Foundation of China(National Natural Science Foundation of China (NSFC)); Science and Technology Innovation Project of Chinese Academy of Agricultural Sciences</t>
  </si>
  <si>
    <t>The author(s) declare that financial support was received for the research and/or publication of this article. This work was supported by The Key Project of National Natural Science Foundation of China (grant no. 72033009) and Science and Technology Innovation Project of Chinese Academy of Agricultural Sciences (ASTIP-IAED-2025-01).</t>
  </si>
  <si>
    <t>MAY 12</t>
  </si>
  <si>
    <t>10.3389/fsufs.2025.1578081</t>
  </si>
  <si>
    <t>2YJ8R</t>
  </si>
  <si>
    <t>WOS:001494267500001</t>
  </si>
  <si>
    <t>Macdonald, A; Court, J; Meyer, R; Wootton, M; Kantor, E; Keenan, R; Stewart, H; Eckard, R</t>
  </si>
  <si>
    <t>Macdonald, A.; Court, J.; Meyer, R.; Wootton, M.; Kantor, E.; Keenan, R.; Stewart, H.; Eckard, R.</t>
  </si>
  <si>
    <t>Can soil and tree carbon sequestration maintain zero net emissions grazing?</t>
  </si>
  <si>
    <t>ANIMAL PRODUCTION SCIENCE</t>
  </si>
  <si>
    <t>agricultural systems; carbon account; carbon audit; global climate change; greenhouse gases; insetting; methane; nitrous oxide</t>
  </si>
  <si>
    <t>Context Goals set by countries and corporate entities in response to the Paris climate agreement (COP21) have put a focus on livestock producers to reduce greenhouse gas emissions (GHGe). However, methods to reduce emissions in livestock enterprises are limited. One option to reduce the balance of GHGe produced on farms is to sequester carbon in soils and trees within the farm boundary.Aims To assess the effectiveness of carbon sequestration in maintaining net zero emissions on a grazing enterprise (Jigsaw Farms). A previous study indicated that a single property in this enterprise (Hensley Park) achieved net zero status in 2014.Methods Net emissions produced by the enterprise across two properties (Melville Forrest and Hensley Park) were estimated by calculating on-farm and pre-farm emissions, using the IPCC-approved method, SB-GAFv2.3, FullCAM, and soil data provided by Jigsaw Farms. Emissions and vegetation sequestration results were validated through field data and farm records.Key results From 2010 to 2014, Jigsaw Farm's Hensley Park property sequestered more carbon in trees and soils than the equivalent GHGe produced. Trees, on average, provided 89% of the sequestration and soils provided 11%. After this, an increase in GHGe from higher animal numbers and declining sequestration rates meant the enterprise was no longer net zero. Emissions in 2021 were 10,870 t carbon dioxide equivalents (CO2-e), while vegetation sequestered 6704 t CO2-e. Data was insufficient to assess soil carbon sequestration. Although net emissions increased, the emissions intensity of products was halved due to sequestration.Conclusions Although increased woody vegetation on-farm enabled achievement of net zero emissions, maintaining this position using only sequestration has proven challenging. Other on-farm benefits of trees and shrubs, such as shade and shelter for animals from climatic extremes, conservation and aesthetic benefits, are important in decisions to integrate trees.Implications The level of emission reduction achieved by trees can be increased, and the period of emissions reduction extended, by expanding tree plantings, staging plantings over time, using faster-growing species or, in the longer term, harvesting trees for timber and accounting for carbon stored in long-lived products. However, relying on sequestration alone cannot indefinitely meet net zero emission objectives.</t>
  </si>
  <si>
    <t>[Macdonald, A.; Meyer, R.; Keenan, R.; Eckard, R.] Univ Melbourne, Sch Agr Food &amp; Ecosyst Sci, Parkville, Vic 3010, Australia; [Court, J.] Victoria State Govt, Dept Energy Environm &amp; Climate Act, East Melbourne, Vic 8002, Australia; [Wootton, M.; Kantor, E.] Jigsaw Farms, 1874 Hensley Pk Rd, Hensley Pk, Vic 3301, Australia; [Stewart, H.] Hugh Stewart Consulting, Barwon Heads, Vic 3227, Australia</t>
  </si>
  <si>
    <t>University of Melbourne</t>
  </si>
  <si>
    <t>Eckard, R (corresponding author), Univ Melbourne, Sch Agr Food &amp; Ecosyst Sci, Parkville, Vic 3010, Australia.</t>
  </si>
  <si>
    <t>Richard.Eckard@unimelb.edu.au</t>
  </si>
  <si>
    <t>Meyer, Rachelle/AAG-4854-2020; Eckard, Richard/M-9572-2014</t>
  </si>
  <si>
    <t>Eckard, Richard/0000-0002-4817-1517; Macdonald, Ainslie/0009-0000-7842-3087; Meyer, Rachelle/0000-0003-3331-894X</t>
  </si>
  <si>
    <t>Meat and Livestock Australia; Australian Government Department of Climate Change, Energy, the Environment and Water</t>
  </si>
  <si>
    <t>Meat and Livestock Australia(Meat &amp; Livestock Australia); Australian Government Department of Climate Change, Energy, the Environment and Water</t>
  </si>
  <si>
    <t>This study was funded by Meat and Livestock Australia, and The Australian Government Department of Climate Change, Energy, the Environment and Water. Neither Meat and Livestock Australia, nor the Department of Climate Change, Energy, the Environment and Water had a role in the design of the study, the collection of data, its analysis and interpretation, or of the writing of the manuscript.</t>
  </si>
  <si>
    <t>CLAYTON SOUTH</t>
  </si>
  <si>
    <t>Private Bag 10, CLAYTON SOUTH, VIC 3169, AUSTRALIA</t>
  </si>
  <si>
    <t>1836-0939</t>
  </si>
  <si>
    <t>1836-5787</t>
  </si>
  <si>
    <t>ANIM PROD SCI</t>
  </si>
  <si>
    <t>Anim. Prod. Sci.</t>
  </si>
  <si>
    <t>AN24346</t>
  </si>
  <si>
    <t>10.1071/AN24346</t>
  </si>
  <si>
    <t>Agriculture, Dairy &amp; Animal Science</t>
  </si>
  <si>
    <t>2CO8J</t>
  </si>
  <si>
    <t>WOS:001479436400001</t>
  </si>
  <si>
    <t>Wiesmeier, M; Mayer, S; Burmeister, J; Hübner, R; Kögel-Knabner, I</t>
  </si>
  <si>
    <t>Wiesmeier, Martin; Mayer, Stefanie; Burmeister, Johannes; Huebner, Rico; Koegel-Knabner, Ingrid</t>
  </si>
  <si>
    <t>Feasibility of the 4 per 1000 initiative in Bavaria: A reality check of agricultural soil management and carbon sequestration scenarios</t>
  </si>
  <si>
    <t>GEODERMA</t>
  </si>
  <si>
    <t>Soil organic carbon; Cover crops; Improved crop rotation; Organic farming; Agroforestry; Land-use change</t>
  </si>
  <si>
    <t>LAND-USE CHANGE; ORGANIC-CARBON; COVER CROPS; GRASSLAND MANAGEMENT; AGROFORESTRY SYSTEMS; SPATIAL-DISTRIBUTION; CLIMATE-CHANGE; NEW-ZEALAND; STOCKS; SATURATION</t>
  </si>
  <si>
    <t>An increase of soil organic carbon (SOC) stocks in agricultural soils does not only have positive effects on soil quality and soil resilience but may also contribute to climate change mitigation. The '4 per 1000' (4p1000) initiative launched at the 2015 United Nations Climate Change Conference in Paris aims at increasing global SOC stocks in 0-40 cm depth by annually 4 parts per thousand in order to compensate the increase of anthropogenic CO2 emissions. In this study we analysed the feasibility of this target for agricultural soils in Bavaria, Southeast Germany. Assuming a total organic carbon (OC) amount of 276 Tg currently stored in the upper 40 cm of agricultural soils in Bavaria (cropland and grassland), the 4p1000 goal corresponds to an annual carbon (C) sequestration of 1.1 Tg. Based on a site-specific analysis of present soil management, we developed spatially explicit C sequestration scenarios including five promising management practices (cover cropping, improved crop rotation, organic farming, agroforestry and conversion of arable land to grassland). The results revealed that the 4p1000 target is not feasible for Bavaria. The total potential of the five practices to sequester C resulted in increases in 0.3 to 0.4 Tg OC per year corresponding to around l parts per thousand of the present SOC stocks. Expansion of cover crops and agroforestry were identified as most promising options to increase SOC in agricultural soils. Although only around 1.5% of Bavaria's yearly GHG emissions would be compensated, this represents an essential contribution to climate change mitigation. Besides the need to develop new incentive systems (particularly for agroforestry), implementation of networks including farms and/or field trials that demonstrate improved soil management practices would be required to inform farmers and other stakeholders about the benefits of such practices. To maintain a resilient agriculture that withstands more extreme weather conditions in the future, healthy soils are needed. We therefore conclude that expected positive effects of a SOC stock increase on nutrient and water storage, soil erosion, biodiversity and food security are crucial for climate change adaptation.</t>
  </si>
  <si>
    <t>[Wiesmeier, Martin; Burmeister, Johannes] Bavarian State Res Ctr Agr, Inst Organ Farming Soil &amp; Resource Management, Freising Weihenstephan, Germany; [Wiesmeier, Martin; Mayer, Stefanie; Koegel-Knabner, Ingrid] Tech Univ Munich, TUM Sch Life Sci Weihenstephan, Chair Soil Sci, Freising Weihenstephan, Germany; [Huebner, Rico] Tech Univ Munich, TUM Sch Life Sci Weihenstephan, Chair Strateg Landscape Planning &amp; Management, Freising Weihenstephan, Germany; [Koegel-Knabner, Ingrid] Tech Univ Munich, Inst Adv Study, Garching, Germany</t>
  </si>
  <si>
    <t>Technical University of Munich; Technical University of Munich; Technical University of Munich</t>
  </si>
  <si>
    <t>Wiesmeier, M (corresponding author), Bavarian State Res Ctr Agr, Inst Organ Farming Soil &amp; Resource Management, Freising Weihenstephan, Germany.</t>
  </si>
  <si>
    <t>martin.wiesmeier@lfl.bayern.de</t>
  </si>
  <si>
    <t>; Wiesmeier, Martin/N-3066-2014; Kögel-Knabner, Ingrid/ITV-2701-2023; Burmeister, Johannes/AAT-7835-2020; Hübner, Rico/P-5931-2014</t>
  </si>
  <si>
    <t>Mayer, Stefanie/0000-0002-3541-8744; Kögel-Knabner, Ingrid/0000-0002-7216-8326;</t>
  </si>
  <si>
    <t>German Federal Ministry of Education and Research (BMBF) [031B0511C]</t>
  </si>
  <si>
    <t>German Federal Ministry of Education and Research (BMBF)(Federal Ministry of Education &amp; Research (BMBF))</t>
  </si>
  <si>
    <t>We would like to thank Haruki Sakamoto for GIS analyses and Robert Brandhuber and Annette Freibauer for helpful discussions. This work was funded by the German Federal Ministry of Education and Research (BMBF) in the framework of the funding measure Soil as a Sustainable Resource for the Bioeconomy - BonaRes, project BonaRes (Module B): BonaRes Centre for Soil Research (grant 031B0511C).</t>
  </si>
  <si>
    <t>0016-7061</t>
  </si>
  <si>
    <t>1872-6259</t>
  </si>
  <si>
    <t>Geoderma</t>
  </si>
  <si>
    <t>JUN 15</t>
  </si>
  <si>
    <t>10.1016/j.geoderma.2020.114333</t>
  </si>
  <si>
    <t>LB2IT</t>
  </si>
  <si>
    <t>WOS:000524458800005</t>
  </si>
  <si>
    <t>Daum, T</t>
  </si>
  <si>
    <t>Daum, Thomas</t>
  </si>
  <si>
    <t>Mechanization and sustainable agri-food system transformation in the Global South. A review</t>
  </si>
  <si>
    <t>Technological change; Tractors; Agricultural development; Sustainable development; Sustainability studies</t>
  </si>
  <si>
    <t>SUB-SAHARAN AFRICA; AGRICULTURAL INTENSIFICATION; CONSERVATION AGRICULTURE; WATER PRODUCTIVITY; RURAL-AREAS; LABOR; YIELD; SERVICES; GENDER; FARMS</t>
  </si>
  <si>
    <t>There is an urgent need for agri-food system transformation to achieve global sustainability goals. Innovations can play a key role in this transformation but often come with both sustainability synergies and trade-offs. One such innovation is agricultural mechanization, which is spreading rapidly in parts of the Global South and is high on the policy agenda in others. The rapid spread of mechanization is fundamentally changing the character of agri-food systems in the Global South, with both positive and negative effects. However, while some of these effects have been well explored, no study so far has systematically reviewed the sustainability synergies and trade-offs associated with mechanization, undermining necessary accompanying research and policy efforts. This review provides an overview of the progress toward mechanization across the Global South, identifies drivers and barriers, assesses sustainability synergies and trade-offs, and discusses options to maximize sustainability outcomes. The review is the first to holistically assess the potentials and risks of agricultural mechanization for the sustainable transformation of agri-food systems in the Global South, taking into account all pillars of sustainability. The review suggests that agricultural mechanization is needed to make agri-food systems more sustainable concerning various economic and social aspects, such as labor productivity, poverty reduction, food security, and health and well-being. However, there are also sustainability risks concerning environmental aspects such as biodiversity loss and land degradation, and economic and social concerns related to lacking inclusiveness and growing inequalities, among others. A wide range of technological and institutional solutions is identified to harness the potential of agricultural mechanization for sustainable agri-food system transformation, while at the same time minimizing the risks. However, more efforts are needed to implement such solutions at scale and ensure that mechanization contributes to agri-food systems that respect all pillars of sustainability.</t>
  </si>
  <si>
    <t>[Daum, Thomas] Univ Hohenheim, Hans Ruthenberg Inst Agr Sci Trop, Wollgrasweg 43, D-70599 Stuttgart, Germany</t>
  </si>
  <si>
    <t>University Hohenheim</t>
  </si>
  <si>
    <t>Daum, T (corresponding author), Univ Hohenheim, Hans Ruthenberg Inst Agr Sci Trop, Wollgrasweg 43, D-70599 Stuttgart, Germany.</t>
  </si>
  <si>
    <t>Daum, Thomas/0000-0001-7575-1763</t>
  </si>
  <si>
    <t>Projekt DEAL; Food and Agriculture Organisation (FAO) of the United Nations</t>
  </si>
  <si>
    <t>Open Access funding enabled and organized by Projekt DEAL. This work received financial support from the Food and Agriculture Organisation (FAO) of the United Nations.</t>
  </si>
  <si>
    <t>10.1007/s13593-023-00868-x</t>
  </si>
  <si>
    <t>8G9MM</t>
  </si>
  <si>
    <t>WOS:000920664900001</t>
  </si>
  <si>
    <t>Gu, JX; Yuan, MX; Liu, JX; Hao, YX; Zhou, YT; Qu, D; Yang, XY</t>
  </si>
  <si>
    <t>Gu, Jiangxin; Yuan, Mengxuan; Liu, Jixuan; Hao, Yaoxu; Zhou, Yingtian; Qu, Dong; Yang, Xueyun</t>
  </si>
  <si>
    <t>Trade-off between soil organic carbon sequestration and nitrous oxide emissions fromwinter wheat-summer maize rotations: Implications of a 25-year fertilization experiment in Northwestern China</t>
  </si>
  <si>
    <t>Agricultural soil; Global warming potential; Greenhouse gas mitigation; N2O; Organic amendment; SOC</t>
  </si>
  <si>
    <t>LONG-TERM-FERTILIZATION; N2O EMISSIONS; AGRICULTURAL SOILS; GREENHOUSE GASES; CROPPING SYSTEM; LOESS SOIL; FIELD; MANAGEMENT; DENITRIFICATION; SATURATION</t>
  </si>
  <si>
    <t>The primary aims of this study were to (i) quantify the variations in nitrous oxide (N2O) emissions and soil organic carbon (SOC) sequestration rates under winter wheat-summer maize cropping systems in Guanzhong Plain and (ii) evaluate the impact of organic amendments on greenhouse gasmitigation over a long-term period. We measured N2O fluxes during the maize season in 2015 under four fertilizer regimes in a long-term fertilization experiment. Soil was treated with only synthetic fertilizers in the maize season and with synthetic fertilizers, synthetic fertilizers plus crop residues and synthetic fertilizers plus low and high levels of dairy manure in the winter wheat season from 1990. The SOC content (0-20 cm) was collected annually at the same site between 1990 and 2015. Synthesis of our measurements and previous observations (between 2000 and 2009) within the investigated agricultural landscape revealed that cumulative N2O emissions increased with the SOC content following natural logarithm models during both the maize and winter wheat seasons (r(2) &gt; 0.77, p &lt; 0.001), implying a trade-off between N2O emissions and SOC sequestration. The SOC content increased under all fertilizer regimes, and the dynamics were well fitted by the linear and logistic regression models (r(2) &gt; 0.74, p &lt; 0.001), indicating that all the fertilizer treatments in this study sequestered SOC. By applying these regression models, we estimated that the twomanure-amended treatments accumulated a negative global warming potential (ranging from - 1.9 to - 12.9 t CO2-equivalent ha(-1)) over the past 25 years. However, this benefit would most likely be offset by high N2O emissions at saturated SOC levels before 2020. Our estimates suggest that organic amendments may not be efficient for greenhouse gas mitigation in Guanzhong Plain over a long-term period. We recommend efforts to inhibit N2O production via denitrification as being critical to resolving the conflict between SOC sequestration and N2O emissions. (C) 2017 Elsevier B.V. All rights reserved.</t>
  </si>
  <si>
    <t>[Gu, Jiangxin; Yang, Xueyun] Northwest A&amp;F Univ, Coll Nat Resources &amp; Environm, Yangling 712100, Peoples R China; Minist Agr, Key Lab Plant Nutr &amp; Agrienvironm Northwest China, Yangling 712100, Peoples R China</t>
  </si>
  <si>
    <t>Gu, JX; Yang, XY (corresponding author), Northwest A&amp;F Univ, Coll Nat Resources &amp; Environm, Yangling 712100, Peoples R China.</t>
  </si>
  <si>
    <t>gujiangxin@nwsuaf.edu.cn; xueyunyang@nwsuaf.edu.cn</t>
  </si>
  <si>
    <t>; Gu, Jiangxin/X-2503-2019</t>
  </si>
  <si>
    <t>Gu, Jiangxin/0000-0002-7008-9042;</t>
  </si>
  <si>
    <t>National Natural Science Foundation of China [41475128]; Natural Science Basic Research Plan in Shaanxi Province of China [2015JM4138]; Chinese Universities Scientific Fund [2014YB063]</t>
  </si>
  <si>
    <t>National Natural Science Foundation of China(National Natural Science Foundation of China (NSFC)); Natural Science Basic Research Plan in Shaanxi Province of China; Chinese Universities Scientific Fund</t>
  </si>
  <si>
    <t>This research was supported by National Natural Science Foundation of China (41475128), Natural Science Basic Research Plan in Shaanxi Province of China (2015JM4138) and Chinese Universities Scientific Fund (2014YB063).</t>
  </si>
  <si>
    <t>10.1016/j.scitotenv.2017.03.280</t>
  </si>
  <si>
    <t>EV2AZ</t>
  </si>
  <si>
    <t>WOS:000401556800037</t>
  </si>
  <si>
    <t>Zhao, DD; Zhou, H</t>
  </si>
  <si>
    <t>Zhao, Dandan; Zhou, Hong</t>
  </si>
  <si>
    <t>Livelihoods, Technological Constraints, and Low-Carbon Agricultural Technology Preferences of Farmers: Analytical Frameworks of Technology Adoption and Farmer Livelihoods</t>
  </si>
  <si>
    <t>carbon neutrality; farmers' livelihood; low-carbon technology; preference</t>
  </si>
  <si>
    <t>ROLES; SOIL</t>
  </si>
  <si>
    <t>In the context of achieving carbon neutrality, it is scientifically important to quantitatively explore the relationships among livelihoods, technological property constraints, and the selection of low-carbon technologies by farmers to promote agricultural modernization and carbon neutrality in the agricultural sector of China. Based on the scientific classifications of farmer capital and low-carbon agricultural technologies, a farmer technology selection theory model considering capital constraints was developed in this study. Microcosmic survey data were collected from farmers in the Jiangsu province for empirical testing and analyses. A total of four low-carbon technologies related to fertilizer usage and three types of farmers' livelihoods and their relationships were examined by using a logistic model. The results showed the existence of a significant coupling relationship between the intrinsic decision mechanism involved in selecting low-carbon agricultural technology and the properties of low-carbon agricultural technology for different types of farmers. Significant differences exist in the selection of different low-carbon technologies among large-scale farmers, mid-level part-time farmers, and low-level (generally small) part-time farmers. (1) When selecting technology, large-scale farmers are more inclined to accept capital-intensive, low-carbon technologies, such as new varieties, straw recycling, soil testing, and formulated fertilization. Mid-level part-time farmers are more inclined to accept capital intensive, labor saving, or low risk low-carbon agricultural technologies. In contrast, low-level part-time farmers are inclined to accept labor intensive technologies to reduce capital constraints and agricultural risks. (2) Large-scale farmers and low-level part-time farmers are influenced by household and plot characteristics, while mid-level part-time farmers are more influenced by plot characteristics. (3) Households with capital constraints created by differentiated livelihoods face challenges adopting capital-intensive low-carbon agricultural technologies, such as straw recycling, new varieties, soil testing, and formulated fertilization. However, farmers with stronger constraints in the areas of land and labor are more inclined to accept labor-saving technologies, such as soil testing and formulated fertilization technology. Moreover, farmers with stronger risk preferences tend to accept high-risk technologies, such as new technologies like straw recycling. The results of this study can provide a scientific basis for formulating carbon emission reduction policies and low-carbon technology policies for the agricultural sector.</t>
  </si>
  <si>
    <t>[Zhao, Dandan] Jingling Inst Technol, Sch Business, Nanjing 211169, Peoples R China; [Zhao, Dandan] Nanjing Univ, Sch Business, Nanjing 210023, Peoples R China; [Zhou, Hong] Nanjing Agr Univ, Grain Res Ctr, Nanjing 210005, Peoples R China</t>
  </si>
  <si>
    <t>Jinling Institute of Technology; Nanjing University; Nanjing Agricultural University</t>
  </si>
  <si>
    <t>Zhao, DD (corresponding author), Jingling Inst Technol, Sch Business, Nanjing 211169, Peoples R China.;Zhao, DD (corresponding author), Nanjing Univ, Sch Business, Nanjing 210023, Peoples R China.</t>
  </si>
  <si>
    <t>zhaodd@jit.edu.cn; zhouhong@njau.edu.cn</t>
  </si>
  <si>
    <t>University Philosophy project of philosophy and Social Sciences in Colleges and universities in Jiangsu Province [2021SJA0543]; China Postdoctoral Science Foundation [2020M67417]; Natural Science Foundation of China [71803071]; Research support project of Jiangsu postdoctoral Foundation [2020Z033]; Incubation project of Natural Science Foundation of China of Jinling Institute of Technology [jit-fhxm-202101]</t>
  </si>
  <si>
    <t>University Philosophy project of philosophy and Social Sciences in Colleges and universities in Jiangsu Province; China Postdoctoral Science Foundation(China Postdoctoral Science Foundation); Natural Science Foundation of China(National Natural Science Foundation of China (NSFC)); Research support project of Jiangsu postdoctoral Foundation; Incubation project of Natural Science Foundation of China of Jinling Institute of Technology</t>
  </si>
  <si>
    <t>This work was supported by the University Philosophy project of philosophy and Social Sciences in Colleges and universities in Jiangsu Province (Grant no. 2021SJA0543); the China Postdoctoral Science Foundation (Grant no. 2020M67417); the Natural Science Foundation of China (Grant no. 71803071);, and the Research support project of Jiangsu postdoctoral Foundation (Grant no. 2020Z033); Incubation project of Natural Science Foundation of China of Jinling Institute of Technology (jit-fhxm-202101).</t>
  </si>
  <si>
    <t>10.3390/ijerph182413364</t>
  </si>
  <si>
    <t>YA3VK</t>
  </si>
  <si>
    <t>WOS:000738264800001</t>
  </si>
  <si>
    <t>Rana, RL; Bux, C; Lombardi, M</t>
  </si>
  <si>
    <t>Rana, Roberto Leonardo; Bux, Christian; Lombardi, Mariarosaria</t>
  </si>
  <si>
    <t>Environmental management of the green asparagus (Asparagus officinalis L.) supply chain: a carbon footprint assessment in Southern Italy</t>
  </si>
  <si>
    <t>BRITISH FOOD JOURNAL</t>
  </si>
  <si>
    <t>Carbon footprint; Environmental assessment; Green asparagus; Supply chain; Sustainable management</t>
  </si>
  <si>
    <t>EXTRACTION; EMISSIONS; IMPACTS</t>
  </si>
  <si>
    <t>Purpose-The objective of the research is to evaluate the carbon footprint of the green asparagus (Asparagus officinalis L.) supply chain, encompassing the agricultural production to the packaging stage in Italy, as it is the sixth largest producer and the second largest in Europe. It provides an assessment in the province of Foggia and highlights the global perspective of the carbon footprint application in agro-food systems. Design/methodology/approach-The carbon footprint (ISO 14067:2018) considers 1 t of packaged fresh asparagus as a functional unit in the agricultural production and packaging stage and is based on primary data collected in one of the leading companies of asparagus production in the province of Foggia, which markets about 0.21 kt of asparagus per year produced in about 31 ha. Data were integrated with face-to-face in-depth interviews and pre-filled checklists. Findings-Findings show that the carbon footprint of 1 t of packaged fresh asparagus is equivalent to 335.31 kgCO2eq, of which 61% in the agricultural stage and 39% in the packaging one. The majority of the emissions are associated with the fertigation and the diesel consumption for the transportation of workers. Farmers should adopt green electricity so as to reduce the emissions associated with the electric pump for the extraction of water from artesian wells. Moreover, it would be desirable to replace mineral urea phosphate with organic fertilizers. Originality/value-To the best of the authors' knowledge, scholars have not yet investigated the environmental impacts of the green asparagus supply chain, even if it represents one of the most cultivated vegetables worldwide, with a global production that amounts to 8.5 Mt per year.</t>
  </si>
  <si>
    <t>[Rana, Roberto Leonardo; Bux, Christian; Lombardi, Mariarosaria] Univ Foggia, Dept Econ, Foggia, Italy</t>
  </si>
  <si>
    <t>University of Foggia</t>
  </si>
  <si>
    <t>Lombardi, M (corresponding author), Univ Foggia, Dept Econ, Foggia, Italy.</t>
  </si>
  <si>
    <t>mariarosaria.lombardi@unifg.it</t>
  </si>
  <si>
    <t>Bux, Christian/ABA-8983-2020; rana, roberto leonardo/I-8901-2016; Lombardi, Mariarosaria/AAL-6566-2020; Rana, Roberto/I-8901-2016</t>
  </si>
  <si>
    <t>rana, roberto leonardo/0000-0003-0611-2049; Bux, Christian/0000-0001-7360-4989; Lombardi, Mariarosaria/0000-0002-2049-5843</t>
  </si>
  <si>
    <t>La Palma Cooperativa Agricola of Lesina, (Foggia, Italy) [84/2023, 0002761-III/13]</t>
  </si>
  <si>
    <t>La Palma Cooperativa Agricola of Lesina, (Foggia, Italy)</t>
  </si>
  <si>
    <t>This work was supported by La Palma Cooperativa Agricola of Lesina, (Foggia, Italy) (Research Contract no. 84/2023, Prot. no. 0002761-III/13 of 11 January 2023).</t>
  </si>
  <si>
    <t>0007-070X</t>
  </si>
  <si>
    <t>1758-4108</t>
  </si>
  <si>
    <t>BRIT FOOD J</t>
  </si>
  <si>
    <t>Br. Food J.</t>
  </si>
  <si>
    <t>OCT 8</t>
  </si>
  <si>
    <t>10.1108/BFJ-04-2024-0369</t>
  </si>
  <si>
    <t>Agricultural Economics &amp; Policy; Food Science &amp; Technology</t>
  </si>
  <si>
    <t>Agriculture; Food Science &amp; Technology</t>
  </si>
  <si>
    <t>I0H5O</t>
  </si>
  <si>
    <t>WOS:001310389600001</t>
  </si>
  <si>
    <t>Li, M; Li, HY; Zhou, ZQ; Chen, YS; Wang, YJ; Li, TX; Fu, Q</t>
  </si>
  <si>
    <t>Li, Mo; Li, Haiyan; Zhou, Zhaoqiang; Chen, Yingshan; Wang, Yijia; Li, Tianxiao; Fu, Qiang</t>
  </si>
  <si>
    <t>Spatial Simulation and Optimization of Cropping Structure Under Climate and Land Use Change Conditions Considering Synergistic Economic Benefits and Carbon Reduction in Crop Growth Processes</t>
  </si>
  <si>
    <t>EARTHS FUTURE</t>
  </si>
  <si>
    <t>AquaCrop-GIS model; farmland pattern optimization; land use change simulation; climate change</t>
  </si>
  <si>
    <t>The climate and land use changes caused by the natural environment and socioeconomic development have potential impacts on the green and sustainable development of agriculture. To accommodate agricultural production under multiple scenarios of future climate and land-use change, this study proposes a simulation-optimization modeling approach based on a crop growth model with a synergistic carbon emission-economic benefit approach. This approach is based on climate change conditions and it accurately simulates future land use changes and crop growth processes, establishes a carbon emission intensity optimization model, and generates a spatial planting structure optimization and regulation scheme based on intelligent optimization algorithms under changing scenarios. The results of the model application show that the planting structure option in the future scenario can increase economic benefit by up to 14.8% compared to the current scenario while simultaneously reducing total greenhouse gas emissions by 6.77%. Correlation analysis of planting area, irrigation water volume, carbon intensity value and unilateral water use efficiency can be used to obtain the coordination level of each county under different regulation scenarios. This simulation-optimization modeling approach provides an effective approach to achieve synergistic and coordinated development of regional agricultural benefits and carbon reduction by fine-tuning the planting structure, which promotes low-carbon and high-quality development of regional agriculture. Understanding changes in agricultural cropping patterns under future climate change scenarios is critical for reducing carbon emissions and increasing yields in agriculture. We developed a joint approach using land use change and crop growth simulation models to investigate how cropland patterns will change under climate change scenarios and how crop yields will change when the amount of irrigation water varies. With the simulated cropland patterns and crop yields as input conditions, the optimization model is used to coordinate the acreage that should be allocated to each type of crop to achieve the highest economic efficiency and the lowest carbon emissions. This study illustrates the imperative need for farmland management to ensure that we can cope with future climate change. This approach can also be applied to other regions where agriculture is predominant. Spatial simulation of climate and land use change scenarios Cropping structure optimization coupled with spatial crop growth process simulation Synergistic optimization of economic efficiency and greenhouse gas emissions for low-carbon and high-efficiency development in agriculture</t>
  </si>
  <si>
    <t>[Li, Mo; Li, Haiyan; Zhou, Zhaoqiang; Chen, Yingshan; Wang, Yijia; Li, Tianxiao; Fu, Qiang] Northeast Agr Univ, Sch Water Conservancy &amp; Civil Engn, Harbin, Peoples R China; [Li, Mo] Natl Key Lab Smart Farm Technol &amp; Syst, Harbin, Peoples R China; [Li, Mo; Fu, Qiang] Minist Educ, Int Cooperat Joint Lab Hlth Cold Reg Black Soil Ha, Harbin, Peoples R China; [Li, Mo; Zhou, Zhaoqiang; Wang, Yijia; Li, Tianxiao] Northeast Agr Univ, Res Ctr Smart Water Network, Harbin, Peoples R China</t>
  </si>
  <si>
    <t>Northeast Agricultural University - China; Northeast Agricultural University - China</t>
  </si>
  <si>
    <t>Fu, Q (corresponding author), Northeast Agr Univ, Sch Water Conservancy &amp; Civil Engn, Harbin, Peoples R China.;Fu, Q (corresponding author), Minist Educ, Int Cooperat Joint Lab Hlth Cold Reg Black Soil Ha, Harbin, Peoples R China.</t>
  </si>
  <si>
    <t>fuqiang0629@126.com</t>
  </si>
  <si>
    <t>Wang, Yijia/MGV-6373-2025; Li, Haiyan/AAP-9200-2021; wang, yao/HDO-0080-2022</t>
  </si>
  <si>
    <t>National Natural Science Foundation of China; Key research and development plan Foundation of Heilongjiang Province [GA23B012]; [52222902]; [52079029]</t>
  </si>
  <si>
    <t>National Natural Science Foundation of China(National Natural Science Foundation of China (NSFC)); Key research and development plan Foundation of Heilongjiang Province; ;</t>
  </si>
  <si>
    <t>This research was supported by the National Natural Science Foundation of China (52222902, 52079029) and the Key research and development plan Foundation of Heilongjiang Province (GA23B012).</t>
  </si>
  <si>
    <t>AMER GEOPHYSICAL UNION</t>
  </si>
  <si>
    <t>2000 FLORIDA AVE NW, WASHINGTON, DC 20009 USA</t>
  </si>
  <si>
    <t>2328-4277</t>
  </si>
  <si>
    <t>Earth Future</t>
  </si>
  <si>
    <t>e2024EF004684</t>
  </si>
  <si>
    <t>10.1029/2024EF004684</t>
  </si>
  <si>
    <t>Environmental Sciences; Geosciences, Multidisciplinary; Meteorology &amp; Atmospheric Sciences</t>
  </si>
  <si>
    <t>Environmental Sciences &amp; Ecology; Geology; Meteorology &amp; Atmospheric Sciences</t>
  </si>
  <si>
    <t>H0C3G</t>
  </si>
  <si>
    <t>WOS:001320208000001</t>
  </si>
  <si>
    <t>Abraha, M; Hamilton, SK; Chen, JQ; Robertson, GP</t>
  </si>
  <si>
    <t>Abraha, Michael; Hamilton, Stephen K.; Chen, Jiquan; Robertson, G. Philip</t>
  </si>
  <si>
    <t>Ecosystem carbon exchange on conversion of Conservation Reserve Program grasslands to annual and perennial cropping systems</t>
  </si>
  <si>
    <t>AGRICULTURAL AND FOREST METEOROLOGY</t>
  </si>
  <si>
    <t>Eddy covariance; Net ecosystem exchange; Land use change; Corn; Switchgrass; Restored prairie; Climate change mitigation</t>
  </si>
  <si>
    <t>SOIL ORGANIC-CARBON; LAND-USE CHANGE; WATER-USE EFFICIENCY; BIOFUEL CROPS; AGRICULTURAL MANAGEMENT; FLUX MEASUREMENTS; SONIC ANEMOMETER; DIOXIDE EXCHANGE; CENTRAL ILLINOIS; CORN-BELT</t>
  </si>
  <si>
    <t>Land use changes into and out of agricultural production may substantially influence ecosystem carbon (C) balance for many years. We examined ecosystem C balances for eight years after the conversion of 22 year-old Conservation Reserve Program (CRP) grasslands and formerly tilled agricultural fields (AGR) to annual (continuous no-till corn) and perennial (switchgrass and restored prairie) cropland. An unconverted CRP field (CRP Ref) was maintained as a historical reference. Ecosystem C balance was assessed using adjusted net ecosystem carbon exchange (NEEadj) calculated by adding C removed in harvested biomass to NEE measured using eddy covariance method. The cumulative NEEadj of the corn and perennial systems on former CRP fields showed that these systems were a net C source to the atmosphere over the 8-year period while on former AGR fields, the perennial systems were net C sinks and the corn system near-neutral. The CRP-Ref was near neutral until a drought year when it became a net source. The corn system on the CRP field will likely reach a new lower soil C equilibrium at least 14 years after conversion but will never regain the C lost upon conversion under current no till management with residue partially removed. On the other hand, the perennial systems could fully regain in 14 years the C lost following conversion. The cumulative NEEadj of the corn systems exhibited a higher C emission than did the perennial systems within the same land use histories, reflecting the dominant role of crop type and management in agricultural ecosystem C balance. Results suggest that converting croplands to grasslands results in immediate C gains whereas converting grasslands to croplands results in permanent (no-till corn with partial residue removal) or temporary (perennial herbaceous crops) net C loss to the atmosphere. This has a significant implications for global climate change mitigation where biomass production from annual and perennial crops is promoted to avoid fossil-fuel C emissions (biofuel) or to remove CO2 from the atmosphere (bioenergy C capture and storage).</t>
  </si>
  <si>
    <t>[Abraha, Michael; Hamilton, Stephen K.; Robertson, G. Philip] Michigan State Univ, WK Kellogg Biol Stn, Hickory Corners, MI 49060 USA; [Abraha, Michael; Hamilton, Stephen K.; Chen, Jiquan; Robertson, G. Philip] Michigan State Univ, Great Lakes Bioenergy Res Ctr, E Lansing, MI 48824 USA; [Abraha, Michael; Chen, Jiquan] Michigan State Univ, Ctr Global Change &amp; Earth Observat, E Lansing, MI 48823 USA; [Hamilton, Stephen K.] Michigan State Univ, Dept Integrat Biol, E Lansing, MI 48824 USA; [Chen, Jiquan] Michigan State Univ, Dept Geog Environm &amp; Spatial Sci, E Lansing, MI 48824 USA; [Robertson, G. Philip] Michigan State Univ, Dept Plant Soil &amp; Microbial Sci, E Lansing, MI 48824 USA</t>
  </si>
  <si>
    <t>Michigan State University; United States Department of Energy (DOE); Michigan State University; Michigan State University; Michigan State University; Michigan State University; Michigan State University</t>
  </si>
  <si>
    <t>Abraha, M (corresponding author), Michigan State Univ, WK Kellogg Biol Stn, Hickory Corners, MI 49060 USA.</t>
  </si>
  <si>
    <t>abraha@msu.edu</t>
  </si>
  <si>
    <t>; Chen, Jiquan/D-1955-2009; Hamilton, Stephen/N-2979-2014; Robertson, G./H-3885-2011</t>
  </si>
  <si>
    <t>Chen, Jiquan/0000-0003-0761-9458; Hamilton, Stephen/0000-0002-4702-9017;</t>
  </si>
  <si>
    <t>US DOE Office of Science [DE-FCO2-07ER64494, DE-SC0018409]; Office of Energy Efficiency and Renewable Energy [DE-ACO5-76RL01830]; NSF Long-term Ecological Research Program at the Kellogg Biological Station [DEB 1637653]; Michigan State University AgBioResearch</t>
  </si>
  <si>
    <t>US DOE Office of Science(United States Department of Energy (DOE)); Office of Energy Efficiency and Renewable Energy(United States Department of Energy (DOE)); NSF Long-term Ecological Research Program at the Kellogg Biological Station(UK Research &amp; Innovation (UKRI)Biotechnology and Biological Sciences Research Council (BBSRC)); Michigan State University AgBioResearch(Michigan State University)</t>
  </si>
  <si>
    <t>We thank T Zenone, Y-J Su, C Shao, M Deal, R John, J Xu and K Kahmark for tower-related assistance, H Chu for data analysis help, S Bohm, Jane Schuette and S Sippel for help with data management, and S VanderWulp, P Jasrotia, J Bronson, B Wilke and J Simmons for technical assistance in the field. We also thank Ilya Gelfand for helpful discussions and two anonymous reviewers for insightful comments. Support for this research was provided by the US DOE Office of Science (DE-FCO2-07ER64494 and DE-SC0018409) and Office of Energy Efficiency and Renewable Energy (DE-ACO5-76RL01830) to the DOE Great Lakes Bioenergy Research Center, the NSF Long-term Ecological Research Program (DEB 1637653) at the Kellogg Biological Station, and Michigan State University AgBioResearch.</t>
  </si>
  <si>
    <t>0168-1923</t>
  </si>
  <si>
    <t>1873-2240</t>
  </si>
  <si>
    <t>AGR FOREST METEOROL</t>
  </si>
  <si>
    <t>Agric. For. Meteorol.</t>
  </si>
  <si>
    <t>MAY 1</t>
  </si>
  <si>
    <t>10.1016/j.agrformet.2018.02.016</t>
  </si>
  <si>
    <t>Agronomy; Forestry; Meteorology &amp; Atmospheric Sciences</t>
  </si>
  <si>
    <t>Agriculture; Forestry; Meteorology &amp; Atmospheric Sciences</t>
  </si>
  <si>
    <t>GD8TA</t>
  </si>
  <si>
    <t>WOS:000430783800014</t>
  </si>
  <si>
    <t>Noorbeh, P; Stepanian, R; Noorbeh, M; Movahedinia, M; Shahdany, SMH</t>
  </si>
  <si>
    <t>Noorbeh, P.; Stepanian, R.; Noorbeh, M.; Movahedinia, M.; Shahdany, S. M. Hashemy</t>
  </si>
  <si>
    <t>Reducing Carbon Emission, Groundwater Over-Exploitation and Energy Consumption on Agricultural Lands by Off-Farm Water Management Practices: Modernization of Surface Water Distribution Systems</t>
  </si>
  <si>
    <t>JOURNAL OF ENVIRONMENTAL INFORMATICS</t>
  </si>
  <si>
    <t>carbon emission reduction; agricultural water distribution systems; groundwater overexploitation; modernization; automation; sustainable agriculture</t>
  </si>
  <si>
    <t>GREENHOUSE-GAS EMISSIONS; MODEL-PREDICTIVE CONTROL; IMPROVED IRRIGATION; OPTIMIZATION; EFFICIENCY; SCHEMES; GHG</t>
  </si>
  <si>
    <t>A wide range of endeavors has been made to propose various approaches to reduce Greenhouse gas emissions in the agricultural sector. The present study investigates the impacts of Surface Water Distribution Systems (SWDS) modernization in reducing groundwater overexploitation, energy consumption, and carbon emission in the agriculture sector. Four modernization alternatives, including an improved manual-based system (A1, A2), off-line, and real-time automatic control systems (A3, A4), are developed and tested on a real test case in Central Iran, which is confronted with severe water shortages. The results reveal that SWDS's operating system modernization improves 4 similar to 21% surface water distribution through the alternatives A1 similar to A4. This surface water distribution enhancement led to groundwater over-extraction reduction. Spatial analysis reveals that 0.075, 0.100, 0.281, and 0.470 of the irrigation district's cultivated area was thoroughly fulfilled by the delivered surface water and no need for groundwater extraction due to alternatives A1 similar to A4, respectively. Closure of several active tubewells up to 1,668 semi-deep and 497 deep tube-well were verified. SWDS' modernization led to 5, 7, 20, and 30% of energy consumption and consequently 1,864.90, 2,714.33, 8,427.19, and 12,674.32 tC ha(-1) carbon emission reduction in alternatives A1 similar to A4, respectively. This study's results show that modernization of off-farm operating systems - responsible for surface water conveyance and distribution from a dam reservoir to farms - resulted in significant environmental benefits through improving the reliability of systems supplied by surface water and reducing the tendency of the farmers to groundwater resources.</t>
  </si>
  <si>
    <t>[Noorbeh, P.; Stepanian, R.; Noorbeh, M.; Shahdany, S. M. Hashemy] Univ Tehran, Coll Agr &amp; Nat Resources, Fac Agr Technol, Dept Water Engn, Tehran 3391653755, Iran; [Movahedinia, M.] Oklahoma State Univ, Sch Teaching Learning &amp; Educ Sci, Stillwater, OK 74078 USA</t>
  </si>
  <si>
    <t>University of Tehran; Oklahoma State University System; Oklahoma State University - Stillwater</t>
  </si>
  <si>
    <t>Shahdany, SMH (corresponding author), Univ Tehran, Coll Agr &amp; Nat Resources, Fac Agr Technol, Dept Water Engn, Tehran 3391653755, Iran.</t>
  </si>
  <si>
    <t>mehdi.hashemy@ut.ac.ir</t>
  </si>
  <si>
    <t>Hashemy Shahdany, Seied Mehdy/M-5663-2013</t>
  </si>
  <si>
    <t>INT SOC ENVIRON INFORM SCI</t>
  </si>
  <si>
    <t>REGINA</t>
  </si>
  <si>
    <t>4246 ALBERT ST, REGINA, SASKATCHEWAN S4S 3R9, CANADA</t>
  </si>
  <si>
    <t>1726-2135</t>
  </si>
  <si>
    <t>1684-8799</t>
  </si>
  <si>
    <t>J ENVIRON INFORM</t>
  </si>
  <si>
    <t>J. Environ. Inform.</t>
  </si>
  <si>
    <t>10.3808/jei.202400518</t>
  </si>
  <si>
    <t>YH2V8</t>
  </si>
  <si>
    <t>WOS:001267541200003</t>
  </si>
  <si>
    <t>Guan, XL; Ma, WL; Zhang, JB; Feng, XL</t>
  </si>
  <si>
    <t>Guan, Xiaoliang; Ma, Wanglin; Zhang, Junbiao; Feng, Xiaolong</t>
  </si>
  <si>
    <t>Understanding the extent to which farmers are capable of mitigating climate change: A carbon capability perspective</t>
  </si>
  <si>
    <t>Carbon capability; Climate change mitigation; Farmer; Environmental psychology; Pro-environmental behavior</t>
  </si>
  <si>
    <t>GREENHOUSE-GAS MITIGATION; PERCEIVED BEHAVIORAL-CONTROL; VALUE ORIENTATIONS; ENVIRONMENTAL BEHAVIOR; SELF-EFFICACY; VALUES; AGRICULTURE; CONSERVATION; CONSUMPTION; EMISSIONS</t>
  </si>
  <si>
    <t>The reduction of agricultural greenhouse gas emissions relies on farmers' active involvement in mitigation actions. However, little is known about farmers' capability of engaging with climate change mitigation. This study addresses the gap by delineating an actor-centered, capability-based, and multi-dimensional framework of farmers' carbon capability to elucidate how and to what extent farmers are equipped to engage in climate change mitigation. A structural equation model and farm-level data collected from China are used to explore the structural relationships between the carbon capability constructs. The results show that farmers' intrapsychic constructs are pro-environmental, and their cognitive knowledge about pro-climate farming practices is moderate. However, the performance of pro-climate farming is largely not under farmers' behavioral control. Farmers generally have a weak tendency to perform stable pro-climate farming behaviors, while they are slightly more inclined to behave pro-environmentally in social interactions. In addition, farmers' behavioral control capability emerges as the strongest predictor of the behavioral capability of farming, which, in turn, is an essential prerequisite for both the behavioral capability of socializing and influence capability. The findings of this study have important strategic implications for policymakers seeking to reduce agricultural greenhouse gas emissions.</t>
  </si>
  <si>
    <t>[Guan, Xiaoliang] Hubei Univ Technol, Coll Econ &amp; Management, Wuhan 430068, Peoples R China; [Ma, Wanglin] Lincoln Univ, Fac Agribusiness &amp; Commerce, Dept Global Value Chains &amp; Trade, Christchurch, New Zealand; [Zhang, Junbiao] Huazhong Agr Univ, Coll Econ &amp; Management, Wuhan, Peoples R China; [Zhang, Junbiao] Hubei Rural Dev Res Ctr, Wuhan 430070, Peoples R China; [Feng, Xiaolong] China Agr Univ, Coll Econ &amp; Management, Beijing, Peoples R China</t>
  </si>
  <si>
    <t>Hubei University of Technology; Lincoln University - New Zealand; Huazhong Agricultural University; China Agricultural University</t>
  </si>
  <si>
    <t>Ma, WL (corresponding author), Lincoln Univ, Fac Agribusiness &amp; Commerce, Dept Global Value Chains &amp; Trade, Christchurch, New Zealand.;Zhang, JB (corresponding author), Huazhong Agr Univ, Coll Econ &amp; Management, Wuhan, Peoples R China.</t>
  </si>
  <si>
    <t>Wanglin.Ma@lincoln.ac.nz; zhangjunbiao@mail.hzau.edu.cn</t>
  </si>
  <si>
    <t>FENG, XIAOLONG/ADX-3386-2022; Ma, Wanglin/M-7744-2019</t>
  </si>
  <si>
    <t>Zhang, Junbiao/0000-0002-6879-8675; Ma, Wanglin/0000-0001-7847-8459; Zhang, Junbiao/0000-0002-7571-1099</t>
  </si>
  <si>
    <t>National Natural Sciences Foundation of China [20AZD091]</t>
  </si>
  <si>
    <t>National Natural Sciences Foundation of China(National Natural Science Foundation of China (NSFC))</t>
  </si>
  <si>
    <t>The authors acknowledge the financial support from the National Natural Sciences Foundation of China (Grant No. 20AZD091) .</t>
  </si>
  <si>
    <t>NOV 20</t>
  </si>
  <si>
    <t>10.1016/j.jclepro.2021.129351</t>
  </si>
  <si>
    <t>XM9DN</t>
  </si>
  <si>
    <t>WOS:000729118200005</t>
  </si>
  <si>
    <t>Omofunmi, OE; Olaniyan, AM</t>
  </si>
  <si>
    <t>Omofunmi, O. E.; Olaniyan, A. M.</t>
  </si>
  <si>
    <t>Present Status and Future Prospects of Farm Mechanization and Agricultural Machinery Industry in Nigeria</t>
  </si>
  <si>
    <t>Agricultural mechanization; agricultural machinery; development plan; challenges; Nigeria</t>
  </si>
  <si>
    <t>SUB-SAHARAN AFRICA</t>
  </si>
  <si>
    <t>The future of agricultural mechanization and machinery development are interrelated and the successful implementation of mechanized agriculture not only depends on the availability of machinery but also on the positive response of government and perception of farmers and other users. Agricultural mechanization in Nigeria is based on regional patterns. The market for mechanization services is also based on regions comprising of North East (NE), North West (NW), North Central (NC), South-South (SS), South East (SE) and South West (SW) of Nigeria, with an uneven supply across locations. This paper presents briefly the present status and future prospects of agricultural mechanization and machinery industry in Nigeria. Both public and private institutions in Nigeria are involved in the importation and manufacturing of agricultural machines and equipment. The spare parts of these agricultural machines and equipment are also not left out. Captured in the paper is the percentage of farmers in Nigeria using tractor and animal traction farm power sources. Also discussed in the paper are the challenges facing agricultural mechanization and machinery industry in Nigeria.</t>
  </si>
  <si>
    <t>[Omofunmi, O. E.; Olaniyan, A. M.] Fed Univ Oye Ekiti State, Dept Agr &amp; Bioresources Engn, Ilupeju, Nigeria</t>
  </si>
  <si>
    <t>Omofunmi, OE (corresponding author), Fed Univ Oye Ekiti State, Dept Agr &amp; Bioresources Engn, Ilupeju, Nigeria.</t>
  </si>
  <si>
    <t>1-12-3 DAI-ICHI AMAI BUILDING 2F, KANDA NISHIKICHO, CHIYODA-KU, TOKYO, 101-0054, JAPAN</t>
  </si>
  <si>
    <t>SPR</t>
  </si>
  <si>
    <t>GH6BT</t>
  </si>
  <si>
    <t>WOS:000433525500015</t>
  </si>
  <si>
    <t>Rana, RL; Andriano, AM; Giungato, P; Tricase, C</t>
  </si>
  <si>
    <t>Rana, R. L.; Andriano, A. M.; Giungato, P.; Tricase, C.</t>
  </si>
  <si>
    <t>Carbon footprint of processed sweet cherries (Prunus avium L.): From nursery to market</t>
  </si>
  <si>
    <t>Carbon footprint; Greenhouse gas emissions; Sustainability; Sweet cherry; Manure; Polyethylene terephthalate clamshell</t>
  </si>
  <si>
    <t>SUSTAINABLE PRODUCTION SYSTEMS; SUPPLY CHAIN; MANAGEMENT; SEQUESTRATION</t>
  </si>
  <si>
    <t>The implementation of scientific studies can help to improve sustainable solutions in the agri-food sector according to current European policy. The present paper aims to evaluate the carbon footprint, according to ISO/TS 14067:2013, of 0.5 kg of sweet cherries packaged in clamshell made in polyethylene terephthalate (PET). The research assesses the supply chain, from agricultural (from nursery to dismantling) to the processing phase in firms located in the Apulia region. Results show a global warming potential over a fixed period corresponding to 100 years equal to 0.584 kg CO2eq, primarily deriving from agricultural management (0.442 kg CO2eq) and secondly from fruit processing (0.068 kg CO2eq). In the orchard phase, the main impacts derived from electricity consumed to pump groundwater used for irrigation and fertigation activities (15.84% of the total), transportation of manure (6.42% of the total), ploughing activity (4.83% of the total) and production of nitrogen fertilisers (4.28% of the total). Cherries processing in the collecting centre showed impacts from electricity consumption (5.57% of the total) and from waste deriving from damaged or non-conforming cherries (4.74% of the total). The PET clamshell production phase had an impact deriving principally from the use of PET granulate (0.0743 kg CO2eq). The study highlighted that manure administration and pruning activities contribute to decreasing greenhouse gas (GHG) emissions. Moreover, the sensitivity analysis showed that substitution of electricity-mix deriving from the Italian national grid with a photovoltaic plant lowered GHG emissions by 19%. The present study could contribute in providing suggestions to stakeholders and scholars in reducing GHG emissions and promoting more environmentally sustainable sweet cherry production practices. (C) 2019 Elsevier Ltd. All rights reserved.</t>
  </si>
  <si>
    <t>[Rana, R. L.; Andriano, A. M.; Tricase, C.] Univ Foggia, Dept Econ, Via R Caggese 1, Foggia, Italy; [Giungato, P.] Univ Bari, Dept Chem, Taranto Branch, Via Alcide de Gasperi, I-74123 Taranto, Italy</t>
  </si>
  <si>
    <t>University of Foggia; Universita degli Studi di Bari Aldo Moro</t>
  </si>
  <si>
    <t>Rana, RL (corresponding author), Univ Foggia, Dept Econ, Via R Caggese 1, Foggia, Italy.</t>
  </si>
  <si>
    <t>roberto.rana@unifg.it; angela.andriano@unifg.it; pasquale.giungato@uniba.it; caterina.tricase@unifg.it</t>
  </si>
  <si>
    <t>Andriano, Angela/K-6405-2018; Giungato, Pasquale/J-2000-2016; Rana, Roberto/I-8901-2016; rana, roberto leonardo/I-8901-2016; Tricase, Caterina/I-2689-2015</t>
  </si>
  <si>
    <t>Giungato, Pasquale/0000-0002-2214-9362; rana, roberto leonardo/0000-0003-0611-2049;</t>
  </si>
  <si>
    <t>AUG 1</t>
  </si>
  <si>
    <t>10.1016/j.jclepro.2019.04.162</t>
  </si>
  <si>
    <t>IC4MJ</t>
  </si>
  <si>
    <t>WOS:000470939600080</t>
  </si>
  <si>
    <t>Karstens, K; Bodirsky, BL; Dietrich, JP; Dondini, M; Heinke, J; Kuhnert, M; Müller, C; Rolinski, S; Smith, P; Weindl, I; Lotze-Campen, H; Popp, A</t>
  </si>
  <si>
    <t>Karstens, Kristine; Bodirsky, Benjamin Leon; Dietrich, Jan Philipp; Dondini, Marta; Heinke, Jens; Kuhnert, Matthias; Mueller, Christoph; Rolinski, Susanne; Smith, Pete; Weindl, Isabelle; Lotze-Campen, Hermann; Popp, Alexander</t>
  </si>
  <si>
    <t>Management-induced changes in soil organic carbon on global croplands</t>
  </si>
  <si>
    <t>BIOGEOSCIENCES</t>
  </si>
  <si>
    <t>LAND-USE CHANGE; VEGETATION MODEL; NITROGEN-CYCLE; COVER CHANGE; EMISSIONS; CLIMATE; CROPS; SEQUESTRATION; INTENSIFICATION; AGRICULTURE</t>
  </si>
  <si>
    <t>Soil organic carbon (SOC), one of the largest terrestrial carbon (C) stocks on Earth, has been depleted by anthropogenic land cover change and agricultural management. However, the latter has so far not been well represented in global C stock assessments. While SOC models often simulate detailed biochemical processes that lead to the accumulation and decay of SOC, the management decisions driving these biophysical processes are still little investigated at the global scale. Here we develop a spatially explicit data set for agricultural management on cropland, considering crop production levels, residue returning rates, manure application, and the adoption of irrigation and tillage practices. We combine it with a reduced-complexity model based on the Intergovernmental Panel on Climate Change (IPCC) tier 2 method to create a half-degree resolution data set of SOC stocks and SOC stock changes for the first 30 cm of mineral soils. We estimate that, due to arable farming, soils have lost around 34.6 GtC relative to a counterfactual hypothetical natural state in 1975. Within the period 1975-2010, this SOC debt continued to expand by 5 GtC (0.14 GtC yr(-1)) to around 39.6 GtC. However, accounting for historical management led to 2.1 GtC fewer (0.06 GtC yr(-1)) emissions than under the assumption of constant management. We also find that management decisions have influenced the historical SOC trajectory most strongly by residue returning, indicating that SOC enhancement by biomass retention may be a promising negative emissions technique. The reduced-complexity SOC model may allow us to simulate management-induced SOC enhancement - also within computationally demanding integrated (land use) assessment modeling.</t>
  </si>
  <si>
    <t>[Karstens, Kristine; Bodirsky, Benjamin Leon; Dietrich, Jan Philipp; Heinke, Jens; Mueller, Christoph; Rolinski, Susanne; Weindl, Isabelle; Lotze-Campen, Hermann; Popp, Alexander] Leibniz Assoc, Potsdam Inst Climate Impact Res PIK, POB 60 12 03, D-14412 Potsdam, Germany; [Dondini, Marta; Kuhnert, Matthias; Smith, Pete] Univ Aberdeen, Inst Biol &amp; Environm Sci, Aberdeen, Scotland; [Karstens, Kristine; Lotze-Campen, Hermann] Humboldt Univ, Dept Agr Econ, Unter Linden 6, D-10099 Berlin, Germany; [Bodirsky, Benjamin Leon] World Vegetable Ctr, POB 42, Tainan 74199, Taiwan</t>
  </si>
  <si>
    <t>Potsdam Institut fur Klimafolgenforschung; University of Aberdeen; Humboldt University of Berlin</t>
  </si>
  <si>
    <t>Karstens, K (corresponding author), Leibniz Assoc, Potsdam Inst Climate Impact Res PIK, POB 60 12 03, D-14412 Potsdam, Germany.;Karstens, K (corresponding author), Humboldt Univ, Dept Agr Econ, Unter Linden 6, D-10099 Berlin, Germany.</t>
  </si>
  <si>
    <t>kristine.karstens@pik-potsdam.de</t>
  </si>
  <si>
    <t>Dondini, Marta/E-8240-2017; Dietrich, Jan Philipp/ABG-3548-2021; Smith, Pete/G-1041-2010; Popp, Alexander/N-7064-2014; Müller, Christoph/E-4812-2016; Lotze-Campen, Hermann/AAA-5093-2020; Smith, Pete/G-1041-2010; Bodirsky, Benjamin/ABH-9170-2020</t>
  </si>
  <si>
    <t>Smith, Pete/0000-0002-3784-1124; Weindl, Isabelle/0000-0002-7651-6930; Dietrich, Jan Philipp/0000-0002-4309-6431; Müller, Christoph/0000-0002-9491-3550; Kuhnert, Matthias/0000-0003-3284-2133; Bodirsky, Benjamin Leon/0000-0002-8242-6712; Smith, Pete/0000-0002-3784-1124; Karstens, Kristine/0000-0002-5860-9789;</t>
  </si>
  <si>
    <t>DFG [SPP 1689, ED78/3-2]; German Federal Ministry of Education and Research (BMBF) [01LS2101G]; European Union [776479, 821010]; BMBF [01LS2105A, 01DJ8012, 01LP1903D, 031B0787B]; Soils-R-GGREAT project [NE/P019455/1]; CIRCASA (EU H2020) [774378]; NERC [NE/P019455/1, NE/K002589/1] Funding Source: UKRI; Natural Environment Research Council [NE/P019455/1, NE/K002589/1] Funding Source: researchfish</t>
  </si>
  <si>
    <t>DFG(German Research Foundation (DFG)); German Federal Ministry of Education and Research (BMBF)(Federal Ministry of Education &amp; Research (BMBF)); European Union(European Union (EU)); BMBF(Federal Ministry of Education &amp; Research (BMBF)); Soils-R-GGREAT project; CIRCASA (EU H2020)(European Union (EU)); NERC(UK Research &amp; Innovation (UKRI)Natural Environment Research Council (NERC)); Natural Environment Research Council(UK Research &amp; Innovation (UKRI)Natural Environment Research Council (NERC))</t>
  </si>
  <si>
    <t>The work of Kristine Karstens has been funded by the DFG Priority Program Climate Engineering: Risks, Challenges, Opportunities? (SPP 1689), specifically the CEMICS2 project (grant no. ED78/3-2), and by the CDRSynTra project (grant no. 01LS2101G) funded by the German Federal Ministry of Education and Research (BMBF). The research leading to these results has received funding for Benjamin Leon Bodirsky from the European Union's Horizon 2020 Research And Innovation Programme (grant nos. 776479 (COACCH) and 821010 (CASCADES)). Benjamin Leon Bodirsky acknowledges support by the project ABCDR(grant no. 01LS2105A) funded by the BMBF. The work of Susanne Rolinski, Jens Heinke, and IsabelleWeindl has also been supported by CLIMASTEPPE (grant no. 01DJ8012), EXIMO (grant no. 01LP1903D), and FOCUS (grant no. 031B0787B), all funded by the BMBF. The input of Pete Smith, Matthias Kuhnert, and Marta Dondini contributes to the Soils-R-GGREAT project (grant no. NE/P019455/1) and CIRCASA (EU H2020; grant no. 774378).</t>
  </si>
  <si>
    <t>COPERNICUS GESELLSCHAFT MBH</t>
  </si>
  <si>
    <t>GOTTINGEN</t>
  </si>
  <si>
    <t>BAHNHOFSALLEE 1E, GOTTINGEN, 37081, GERMANY</t>
  </si>
  <si>
    <t>1726-4170</t>
  </si>
  <si>
    <t>1726-4189</t>
  </si>
  <si>
    <t>Biogeosciences</t>
  </si>
  <si>
    <t>10.5194/bg-19-5125-2022</t>
  </si>
  <si>
    <t>Ecology; Geosciences, Multidisciplinary</t>
  </si>
  <si>
    <t>6A3YY</t>
  </si>
  <si>
    <t>WOS:000880595100001</t>
  </si>
  <si>
    <t>Konadu, DD; Mourao, ZS; Allwood, JM; Richards, KS; Kopec, G; McMahon, R; Fenner, R</t>
  </si>
  <si>
    <t>Konadu, D. Dennis; Mourao, Zenaida Sobral; Allwood, Julian M.; Richards, Keith S.; Kopec, Grant; McMahon, Richard; Fenner, Richard</t>
  </si>
  <si>
    <t>Land use implications of future energy system trajectories-The case of the UK 2050 Carbon Plan</t>
  </si>
  <si>
    <t>The Carbon Plan; Energy policy; Bioenergy; Land use change; Land-energy nexus</t>
  </si>
  <si>
    <t>BIOENERGY; SERVICES; DRIVERS; CROPS</t>
  </si>
  <si>
    <t>The UK's 2008 Climate Change Act sets a legally binding target for reducing territorial greenhouse gas emissions by 80% by 2050, relative to 1990 levels. Four pathways to achieve this target have been developed by the Department of Energy and Climate Change, with all pathways requiring increased us of bioenergy. A significant amount of this could be indigenously sourced from crops, but will increased domestic production of energy crops conflict with other agricultural priorities? To address this question, a coupled analysis of the UK energy system and land use has been developed. The two systems are connected by the production of bioenergy, and are projected forwards in time under the energy pathways, accounting for various constraints on land use for agriculture and ecosystem services. The results show different combinations of crop yield and compositions for the pathways lead to the appropriation of between 7% and 61% of UK's agricultural land for bioenergy production. This could result in competition for land for food production and other land uses, as well as indirect land use change in other countries due to an increase in bioenergy imports. Consequently, the potential role of bioenergy in achieving UK emissions reduction targets may face significant deployment challenges. (c) 2015 The Authors. Published by Elsevier Ltd.</t>
  </si>
  <si>
    <t>[Konadu, D. Dennis; Mourao, Zenaida Sobral; Allwood, Julian M.; Kopec, Grant; McMahon, Richard; Fenner, Richard] Univ Cambridge, Dept Engn, Cambridge CB2 1PZ, England; [Richards, Keith S.] Univ Cambridge, Dept Geog, Cambridge CB2 3EN, England</t>
  </si>
  <si>
    <t>University of Cambridge; University of Cambridge</t>
  </si>
  <si>
    <t>Konadu, DD (corresponding author), Univ Cambridge, Dept Engn, Trumpington St, Cambridge CB2 1PZ, England.</t>
  </si>
  <si>
    <t>ddk24@cam.ac.uk</t>
  </si>
  <si>
    <t>Allwood, Julian/K-5115-2013</t>
  </si>
  <si>
    <t>Allwood, Julian/0000-0003-0931-3831; Sobral Mourao, Zenaida/0000-0002-6499-3596; Fenner, Richard/0000-0002-9272-211X</t>
  </si>
  <si>
    <t>ESPRC through the Whole System Energy Modelling (wholeSEM) consortium; EPSRC [EP/K039326/1]; Engineering and Physical Sciences Research Council [EP/K039326/1] Funding Source: researchfish; EPSRC [EP/K039326/1] Funding Source: UKRI</t>
  </si>
  <si>
    <t>ESPRC through the Whole System Energy Modelling (wholeSEM) consortium; EPSRC(UK Research &amp; Innovation (UKRI)Engineering &amp; Physical Sciences Research Council (EPSRC)); Engineering and Physical Sciences Research Council(UK Research &amp; Innovation (UKRI)Engineering &amp; Physical Sciences Research Council (EPSRC)); EPSRC(UK Research &amp; Innovation (UKRI)Engineering &amp; Physical Sciences Research Council (EPSRC))</t>
  </si>
  <si>
    <t>This work has been funded by ESPRC through the Whole System Energy Modelling (wholeSEM) consortium. EPSRC Grant number EP/K039326/1.</t>
  </si>
  <si>
    <t>10.1016/j.enpol.2015.07.008</t>
  </si>
  <si>
    <t>CV4OJ</t>
  </si>
  <si>
    <t>WOS:000364246100031</t>
  </si>
  <si>
    <t>Shan, M; Hwang, BG; Caldas, CH; Yin, Z; Oliveira, DP</t>
  </si>
  <si>
    <t>Shan, Ming; Hwang, Bon-Gang; Caldas, Carlos H.; Yin, Zhe; Oliveira, Daniel P.</t>
  </si>
  <si>
    <t>Towards cleaner and more productive maintenance in petrochemical facilities: Mechanization and an assessment method</t>
  </si>
  <si>
    <t>Mechanization; Assessment; Maintenance tasks; Petrochemical facilities</t>
  </si>
  <si>
    <t>AGRICULTURAL MECHANIZATION; POTATO PRODUCTION; LEVEL; TECHNOLOGIES; ADOPTION; INDUSTRY</t>
  </si>
  <si>
    <t>Maintenance in petrochemical plants is often characterized as labor intensive and may give rise to such problems as being costly, diminishing productivity, and emitting pollutant. To mitigate such problems, managers have tried mechanizing the maintenance tasks. This study elaborated the concept of mechanization, proposed a method named Petrochemical Maintenance Mechanization Assessment (PEMMA), which can help assess mechanization levels of the maintenance tasks and provide corresponding improvement recommendations This study presented the development process of the PEMMA method and applied the method in the context of Singapore. Results showed that the mechanization level of the maintenance tasks in Singapore is relatively low. The developed method is arguably the first to be presented and therefore, it contributes to the existing body of knowledge. In addition, the developed method is beneficial to the practice as well, because it can help diagnose and then improve the mechanization levels of petrochemical plants, which would eventually make the petrochemical industry more productive and cleaner. (C) 2020 Elsevier Ltd. All rights reserved.</t>
  </si>
  <si>
    <t>[Shan, Ming] Cent South Univ, Sch Civil Engn, 68 South Shaoshan Rd, Changsha 410004, Peoples R China; [Hwang, Bon-Gang] Natl Univ Singapore, Dept Bldg, 4 Architecture Dr, Singapore 117566, Singapore; [Caldas, Carlos H.; Yin, Zhe] Univ Texas Austin, Dept Civil Architectural &amp; Environm Engn, 301 E Dean Keeton St,ECJ 5-210, Austin, TX 78712 USA; [Oliveira, Daniel P.] Univ Texas Austin, Construct Ind Inst, 3925 West Braker Lane,R4500, Austin, TX 78729 USA</t>
  </si>
  <si>
    <t>Central South University; National University of Singapore; University of Texas System; University of Texas Austin; University of Texas System; University of Texas Austin</t>
  </si>
  <si>
    <t>Hwang, BG (corresponding author), Natl Univ Singapore, Dept Bldg, 4 Architecture Dr, Singapore 117566, Singapore.</t>
  </si>
  <si>
    <t>bdghbg@nus.edu.sg; bdghbg@nus.edu.sg; caldas@mail.utexas.edu; zhe.yin@utexas.edu; Daniel.Oliveira@cii.utexas.edu</t>
  </si>
  <si>
    <t>Shan, Ming/K-8967-2019; Hwang, Bon/S-2649-2018; Yin, Zhe/V-8089-2018</t>
  </si>
  <si>
    <t>Yin, Zhe/0000-0001-8255-2295;</t>
  </si>
  <si>
    <t>Singapore Economic Development Board</t>
  </si>
  <si>
    <t>Singapore Economic Development Board(Singapore Economic Development Board)</t>
  </si>
  <si>
    <t>This study was funded by Singapore Economic Development Board. The authors also sincerely thank the members of the Mechanization Working Group for their valuable input and support.</t>
  </si>
  <si>
    <t>10.1016/j.jclepro.2020.120864</t>
  </si>
  <si>
    <t>LJ8FB</t>
  </si>
  <si>
    <t>WOS:000530395400012</t>
  </si>
  <si>
    <t>Poeplau, C; Bolinder, MA; Eriksson, J; Lundblad, M; Kätterer, T</t>
  </si>
  <si>
    <t>Poeplau, C.; Bolinder, M. A.; Eriksson, J.; Lundblad, M.; Katterer, T.</t>
  </si>
  <si>
    <t>Positive trends in organic carbon storage in Swedish agricultural soils due to unexpected socio-economic drivers</t>
  </si>
  <si>
    <t>CLIMATE-CHANGE; STOCK CHANGES; SEQUESTRATION; LAND; DYNAMICS; MATTER; MANAGEMENT; FRACTIONS; GRASSLAND; DECLINES</t>
  </si>
  <si>
    <t>Soil organic carbon (SOC) plays a crucial role in the global carbon cycle as a potential sink or source. Land management influences SOC storage, so the European Parliament decided in 2013 that changes in carbon stocks within a certain land use type, including arable land, must be reported by all member countries in their national inventory reports for greenhouse gas emissions. Here we show the temporal dynamics of SOC during the past 2 decades in Swedish agricultural soils, based on soil inventories conducted in 19881997 (Inventory I), 2001-2007 (Inventory II) and from 2010 onwards (Inventory III), and link SOC changes with trends in agricultural management. From Inventory I to Inventory II, SOC increased in 16 out of 21 Swedish counties, while from Inventory I to Inventory III it increased in 18 out of 21 counties. Mean topsoil (0-20 cm) SOC concentration for the entire country increased from 2.48 to 2.67% C (a relative increase of 7.7 %, or 0.38% yr(-1)) over the whole period. We attributed this to a substantial increase in ley as a proportion of total agricultural area in all counties. The horse population in Sweden has more than doubled since 1981 and was identified as the main driver for this management change (R-2 = 0.72). Due to subsidies introduced in the early 1990s, the area of long-term set-aside (mostly old leys) also contributed to the increase in area of ley. The carbon sink function of Swedish agricultural soils demonstrated in this study differs from trends found in neighbouring countries. This indicates that country-specific or local socio-economic drivers for land management must be accounted for in larger-scale predictions.</t>
  </si>
  <si>
    <t>[Poeplau, C.; Bolinder, M. A.; Katterer, T.] Swedish Univ Agr Sci SLU, Dept Ecol, S-75007 Uppsala, Sweden; [Eriksson, J.; Lundblad, M.] Swedish Univ Agr Sci SLU, Dept Soil &amp; Environm, S-75007 Uppsala, Sweden</t>
  </si>
  <si>
    <t>Swedish University of Agricultural Sciences; Swedish University of Agricultural Sciences</t>
  </si>
  <si>
    <t>Poeplau, C (corresponding author), Swedish Univ Agr Sci SLU, Dept Ecol, Box 7044, S-75007 Uppsala, Sweden.</t>
  </si>
  <si>
    <t>christopher.poeplau@slu.se</t>
  </si>
  <si>
    <t>; Lundblad, Mattias/AAK-1910-2020; Kätterer, Thomas/L-2107-2013</t>
  </si>
  <si>
    <t>Poeplau, Christopher/0000-0003-3108-8810; Kätterer, Thomas/0000-0002-1751-007X</t>
  </si>
  <si>
    <t>Swedish Environmental Protection Agency</t>
  </si>
  <si>
    <t>We thank Robert Weimer for providing a map of Sweden as divided in counties. The Swedish arable soil monitoring programme is sponsored by the Swedish Environmental Protection Agency.</t>
  </si>
  <si>
    <t>10.5194/bg-12-3241-2015</t>
  </si>
  <si>
    <t>CK4FZ</t>
  </si>
  <si>
    <t>WOS:000356179800006</t>
  </si>
  <si>
    <t>Yi, Q; Chen, MY; Sheng, Y; Huang, JK</t>
  </si>
  <si>
    <t>Yi, Qing; Chen, Moyu; Sheng, Yu; Huang, Jikun</t>
  </si>
  <si>
    <t>Mechanization services, farm productivity and institutional innovation in China</t>
  </si>
  <si>
    <t>Total factor productivity; Farm survey; Mechanization service; Small household farms</t>
  </si>
  <si>
    <t>TECHNOLOGICAL-CHANGE; GROWTH; REFORM</t>
  </si>
  <si>
    <t>Purpose The purpose of this paper is to investigate the impact of mechanization services on farm productivity in Northern China from an empirical perspective, with the aim to identify the underlying market and institutional barriers. Design/methodology/approach The authors apply the regression method with the control of village fixed effects to examining the relationship between capital-labor ratio, mechanization service ratio and farm productivity, using the panel data collected in 2013 and 2015 by CCAP. Findings Mechanization services improve farm productivity through substituting labor, but it may generate a less positive impact on farms who do not have self-owned capital equipment. Originality/value It is the first study to investigate how mechanization services affect farm productivity for grain producers in Northern China.</t>
  </si>
  <si>
    <t>[Yi, Qing; Chen, Moyu] China Ctr Agr Policy, Beijing, Peoples R China; [Sheng, Yu; Huang, Jikun] Peking Univ, Sch Adv Agr Sci, China Ctr Agr Policy, Beijing, Peoples R China</t>
  </si>
  <si>
    <t>Peking University</t>
  </si>
  <si>
    <t>Sheng, Y (corresponding author), Peking Univ, Sch Adv Agr Sci, China Ctr Agr Policy, Beijing, Peoples R China.</t>
  </si>
  <si>
    <t>yu.sheng@pku.edu.cn</t>
  </si>
  <si>
    <t>Sheng, Yu/ABC-2411-2020</t>
  </si>
  <si>
    <t>sheng, yu/0000-0002-8467-6213</t>
  </si>
  <si>
    <t>State Natural Sciences Foundation [71873005, 71742002]; ATMAC [43643]; Chinese Academy of Engineering [2018-ZD-07-06-1, 2018-ZD-07-1]; Data Centre for Management Science, PKU-NSFC [2018KEY06]</t>
  </si>
  <si>
    <t>State Natural Sciences Foundation; ATMAC; Chinese Academy of Engineering; Data Centre for Management Science, PKU-NSFC</t>
  </si>
  <si>
    <t>The authors acknowledge the financial supports from State Natural Sciences Foundation (No. 71873005); State Natural Sciences Foundation (No. 71742002); ATMAC (43643) Chinese Academy of Engineering (2018-ZD-07-1); Chinese Academy of Engineering (2018-ZD-07-06-1) and the financial support from Data Centre for Management Science, PKU-NSFC (2018KEY06). All errors belong to authors.</t>
  </si>
  <si>
    <t>BINGLEY</t>
  </si>
  <si>
    <t>HOWARD HOUSE, WAGON LANE, BINGLEY BD16 1WA, W YORKSHIRE, ENGLAND</t>
  </si>
  <si>
    <t>SEP 2</t>
  </si>
  <si>
    <t>10.1108/CAER-12-2018-0244</t>
  </si>
  <si>
    <t>IZ4VF</t>
  </si>
  <si>
    <t>WOS:000487080600007</t>
  </si>
  <si>
    <t>Zhang, BY; Dou, S; Guo, D; Guan, S</t>
  </si>
  <si>
    <t>Zhang, Bo-Yan; Dou, Sen; Guo, Dan; Guan, Song</t>
  </si>
  <si>
    <t>Straw Inputs Improve Soil Hydrophobicity and Enhance Organic Carbon Mineralization</t>
  </si>
  <si>
    <t>corn straw; soil water repellency; aggregates; organic carbon mineralization</t>
  </si>
  <si>
    <t>AGGREGATE-SIZE FRACTIONS; WATER REPELLENCY; NITROGEN MINERALIZATION; AGRICULTURAL SOILS; MICROBIAL BIOMASS; WHEAT-STRAW; NO-TILLAGE; MATTER; MANAGEMENT; MAIZE</t>
  </si>
  <si>
    <t>The mechanism of the influence of soil water repellency (SWR) and agglomeration stability on soil organic carbon (SOC) mineralization has not been thoroughly studied following different methods of returning straw to the field. The research background in this study was ordinary black soil, and the addition of straw was accomplished via straw mixing (CT), straw mulching (CM), straw deep burying (CD), and straw tripling deep burial (CE). A 120-day long-term incubation test was used to measure the contact angle between water droplets and soil, the particle size distribution of aggregates and their organic carbon (OC) content, organic carbon pool (OCP) content, OC contribution, and soil CO2-C release, the extent of SWR and the direct effect of agglomerates on SOC mineralization were assessed under different straw return methods. The results revealed that the water-droplet-soil contact angle (CA) was much greater and the rate of CA decline was significantly lower in the CD treatment compared to the CT, CM, and CE treatments, the rate of water droplet penetration on the soil surface was slower, and the SWR was improved. The CD treatment significantly increased the content of macroaggregates and their OCP content, and also significantly increased the content of microaggregates' OC. The CO2-C emission rate and cumulative emissions were enhanced by adding the same amount of straw, with the most significant enhancement in the deep straw treatment. The cumulative CO2-C emission rate and SOC mineralization significantly increased with increases in SWR, macroaggregates content, and microaggregates OC content, but significantly decreased with increases in macroaggregates' OC content, according to principal component analysis and Pearson's correlation analysis. These results highlight the extent of SWR and the direct effect of agglomerate particle size distribution and OC content on SOC mineralization under different straw return methods. This will help to consolidate soil structural stability and nutrient management to support productivity and SOC sequestration in different agricultural systems.</t>
  </si>
  <si>
    <t>[Zhang, Bo-Yan; Dou, Sen; Guo, Dan; Guan, Song] Jilin Agr Univ, Coll Resource &amp; Environm Sci, Changchun 130118, Peoples R China</t>
  </si>
  <si>
    <t>Jilin Agricultural University</t>
  </si>
  <si>
    <t>Dou, S; Guo, D (corresponding author), Jilin Agr Univ, Coll Resource &amp; Environm Sci, Changchun 130118, Peoples R China.</t>
  </si>
  <si>
    <t>zhangboyan0309@163.com; dousen1959@126.com; guodan@jlau.edu.cn; guansong8888@163.com</t>
  </si>
  <si>
    <t>Zhang, Bo-Yan/JXY-2239-2024</t>
  </si>
  <si>
    <t>Dou, Sen/0000-0001-7706-3710; Zhang, Bo Yan/0009-0006-6079-9928</t>
  </si>
  <si>
    <t>National Key Research and Development Program of China [2022YFD1500304]; National Natural Science Foundation of China [42077022]</t>
  </si>
  <si>
    <t>National Key Research and Development Program of China(National Key Research &amp; Development Program of China); National Natural Science Foundation of China(National Natural Science Foundation of China (NSFC))</t>
  </si>
  <si>
    <t>This work was supported by the National Key Research and Development Program of China (2022YFD1500304), and the National Natural Science Foundation of China (42077022).</t>
  </si>
  <si>
    <t>10.3390/agronomy13102618</t>
  </si>
  <si>
    <t>X0RQ4</t>
  </si>
  <si>
    <t>WOS:001095613900001</t>
  </si>
  <si>
    <t>Zhang, QY; Iqbal, S; Shahzad, F</t>
  </si>
  <si>
    <t>Zhang, Qingyu; Iqbal, Sajid; Shahzad, Fakhar</t>
  </si>
  <si>
    <t>Role of environmental, social, and governance (ESG) investment and natural capital stocks in achieving net-zero carbon emission</t>
  </si>
  <si>
    <t>ESG investment; Net-zero carbon emission; Natural capital accounting; Natural capital stocks</t>
  </si>
  <si>
    <t>ECOSYSTEM SERVICES</t>
  </si>
  <si>
    <t>This study investigates the role of environmental, social, and governance (ESG) investment and natural capital stocks in achieving net-zero carbon emissions, focusing on the Chinese economy. This study uses the data from 2013 to 2022 and applies correlation analysis, quantile process estimation, quantile-factor augmented vector autoregressive, quantile dimension regression, and robustness analysis techniques. The results confirmed that ESG investment has a significant role in net-zero carbon emission and fosters natural capital stocks in the Chinese ecosystem. The results further established that natural capital stocks significantly benefit the Chinese ecosystem and reduce greenhouse gas emissions, CO2 emission - gaseous fuel, CO2 emission - solid fuel, and carbon intensity. Moreover, natural capital stocks have a significant role in achieving net-zero carbon emissions and it accelerates gross tree cover and green agricultural yield. The study is of great interest to corporations, Chinese banks, and the government in planning and achieving net-zero carbon emissions as per Prudential Financial regulation and accounting reporting systems. Achieving net-zero carbon emission is a process-based approach; therefore, the study recommends that policymakers customize investment mechanisms and natural capital accounting standards as per the territorial requirements and execute an ecological control system to make it sustainable.</t>
  </si>
  <si>
    <t>[Zhang, Qingyu; Iqbal, Sajid; Shahzad, Fakhar] Shenzhen Univ, Res Inst Business Analyt &amp; Supply Chain Management, Coll Management, Shenzhen, Peoples R China</t>
  </si>
  <si>
    <t>Shenzhen University</t>
  </si>
  <si>
    <t>Iqbal, S (corresponding author), Shenzhen Univ, Res Inst Business Analyt &amp; Supply Chain Management, Coll Management, Shenzhen, Peoples R China.</t>
  </si>
  <si>
    <t>q.yu.zhang@gmail.com; iqbalsajid@szu.edu.cn; fshahzad51@szu.edu.cn</t>
  </si>
  <si>
    <t>IQBAL, SAJID/ABE-2262-2020; Zhang, Qingyu/ABE-8037-2020; Shahzad, Fakhar/F-7336-2012</t>
  </si>
  <si>
    <t>IQBAL, SAJID/0000-0001-7729-8464; Shahzad, Fakhar/0000-0002-6408-2848</t>
  </si>
  <si>
    <t>Key Project of National Social Science Foundation of China [21AGL014]</t>
  </si>
  <si>
    <t>Key Project of National Social Science Foundation of China(National Office of Philosophy and Social Sciences)</t>
  </si>
  <si>
    <t>The research was supported by Key Project of National Social Science Foundation of China (21AGL014) .</t>
  </si>
  <si>
    <t>NOV 1</t>
  </si>
  <si>
    <t>10.1016/j.jclepro.2024.143919</t>
  </si>
  <si>
    <t>OCT 2024</t>
  </si>
  <si>
    <t>J7Q3J</t>
  </si>
  <si>
    <t>WOS:001338967000001</t>
  </si>
  <si>
    <t>Zhang, L; Cai, CZ; Singh, K; Zhong, KY</t>
  </si>
  <si>
    <t>Zhang, Lin; Cai, Chengzhi; Singh, Kripal; Zhong, Kaiyang</t>
  </si>
  <si>
    <t>Green technology innovation, trade deficit and carbon emission transfer in agriculture under the new dual circulation development pattern of China</t>
  </si>
  <si>
    <t>ECOLOGICAL INDICATORS</t>
  </si>
  <si>
    <t>Dual circulation; Green technology innovation; Trade deficit; Carbon emission transfer; China's agriculture</t>
  </si>
  <si>
    <t>Under the new development pattern of domestic and international dual circulation in China, studying the relationship among green technology innovation, agricultural trade deficit (ATD) and carbon emission transfer embodied in agricultural trade (ATCT) becomes crucial for achieving coordinated and unified high-quality economic development and efficient environmental protection. Based on this, the paper uses environmental input-output model, two-stage decoupling and recoupling model, panel vector auto-regressive model, spatial econometric model and rolling Grey-BP neural network prediction model to explore present status of ATD, ATCT and their relationship, driving role of green technology innovation, as well as whether that relationship will be improving in the future. The results reveal the following: (1) China's ATD and ATCT show an increasing trend year by year, and their inter-provincial differences are gradually significant over time. The overall relationship between ATD and ATCT does not display ideally, which makes it necessary to quickly transform that relationship into reasonable and ideal state. (2) Green technology innovation has significant positive U-shaped and inverted U-shaped local effects on ATD and ATCT respectively, with a reasonable range of ATD reduction while ATCT increase valuing from 0 to 0.290, and has significant positive U-shaped spatial spillover effect on both without any reasonable range. The short-term effect of green technology innovation on coordinated promotion between ATD and ATCT is superior to the long-term one. (3) Green technology innovation has a significant regional heterogeneity. Regional differences must be taken into consideration seriously, and the measures adapted to local conditions are crucial. The role of fundamental and progressive green technology innovation has heterogeneity, which means that targeted development and utilization of green technology products are important. (4) Regardless of the time horizon, the relationship between ATD and ATCT will improve, which can provide a key step for coordinated development of economy and environment in agricultural trade. Therefore, in order for China to implement and promote further opening-up, reduce agricultural trade dependence, ensure food security and important agricultural product supply, as well as achieve the unity of highquality economic development and ecological efficient protection, it is necessary to reasonably reverse trade deficit and increase carbon emission transfer in agriculture.</t>
  </si>
  <si>
    <t>[Zhang, Lin; Cai, Chengzhi] Guizhou Univ Finance &amp; Econ, Inst Econ, Guiyang, Peoples R China; [Singh, Kripal] Andong Natl Univ, Dept Biol Sci, Andong, South Korea; [Zhong, Kaiyang] Zhejiang Univ, Coll Informat Sci &amp; Elect Engn, Hangzhou, Peoples R China</t>
  </si>
  <si>
    <t>Guizhou University of Finance &amp; Economics; Gyeongkuk National University; Zhejiang University</t>
  </si>
  <si>
    <t>Cai, CZ (corresponding author), Guizhou Univ Finance &amp; Econ, Inst Econ, Guiyang, Peoples R China.;Zhong, KY (corresponding author), Zhejiang Univ, Coll Informat Sci &amp; Elect Engn, Hangzhou, Peoples R China.</t>
  </si>
  <si>
    <t>zhanglin@mail.gufe.edu.cn; caichengzhi@mail.gufe.edu.cn; zhongky0626@163.com</t>
  </si>
  <si>
    <t>; Singh, Kripal/M-7038-2013</t>
  </si>
  <si>
    <t>zhong, kaiyang/0000-0002-5575-0306;</t>
  </si>
  <si>
    <t>Guizhou University of Finance and Economics, China [2020ZXSY82]; Guizhou Graduate Education Innovation Plan, China [125]</t>
  </si>
  <si>
    <t>Guizhou University of Finance and Economics, China; Guizhou Graduate Education Innovation Plan, China</t>
  </si>
  <si>
    <t>This work was supported by the 2021 student research project Research on the Export Dilemma and Outlet of Guizhou Agricultural Products under Green Trade Barriers No. (2020ZXSY82) from Guizhou University of Finance and Economics, China and the project Exploration of the Development Mechanism and Path of International Trade in Agricultural Products from the Perspective of Green Technology Innovation No. [YJSKYJJ(2021), 125] from Guizhou Graduate Education Innovation Plan, China. All opinions expressed in this publication are those of the authors.</t>
  </si>
  <si>
    <t>1470-160X</t>
  </si>
  <si>
    <t>1872-7034</t>
  </si>
  <si>
    <t>ECOL INDIC</t>
  </si>
  <si>
    <t>Ecol. Indic.</t>
  </si>
  <si>
    <t>10.1016/j.ecolind.2024.111757</t>
  </si>
  <si>
    <t>Biodiversity Conservation; Environmental Sciences</t>
  </si>
  <si>
    <t>NC4Y5</t>
  </si>
  <si>
    <t>WOS:001198249100001</t>
  </si>
  <si>
    <t>Morais, FG; Franco, MA; Palácios, R; Machado, LAT; Rizzo, L; Barbosa, HMJ; Jorge, F; Schafer, JS; Holben, BN; Landulfo, E; Artaxo, P</t>
  </si>
  <si>
    <t>Morais, Fernando G.; Franco, Marco A.; Palacios, Rafael; Machado, Luiz A. T.; Rizzo, Luciana, V; Barbosa, Henrique M. J.; Jorge, Fabio; Schafer, Joel S.; Holben, Brent N.; Landulfo, Eduardo; Artaxo, Paulo</t>
  </si>
  <si>
    <t>Relationship between Land Use and Spatial Variability of Atmospheric Brown Carbon and Black Carbon Aerosols in Amazonia</t>
  </si>
  <si>
    <t>ATMOSPHERE</t>
  </si>
  <si>
    <t>AERONET; Amazon; brown carbon; black carbon; land use; remote sensing</t>
  </si>
  <si>
    <t>BIOMASS BURNING AEROSOL; OPTICAL-PROPERTIES; ORGANIC-CARBON; RAIN-FOREST; DRY-SEASON; ABSORPTION; AERONET; DEFORESTATION; PARTICLES</t>
  </si>
  <si>
    <t>The aerosol radiative effect is an important source of uncertainty in estimating the anthropogenic impact of global climate change. One of the main open questions is the role of radiation absorption by aerosols and its relation to land use worldwide, particularly in the Amazon Rainforest. Using AERONET (Aerosol Robotic Network) long-term measurements of aerosol optical depth (AOD) at a wavelength of 500 nm and absorption AOD (AAOD) at wavelengths of 440, 675, and 870 nm, we estimated the fraction and seasonality of the black carbon (BC) and brown carbon (BrC) contributions to absorption at 440 nm. This was conducted at six Amazonian sites, from central Amazon (Manaus and the Amazon Tall Tower Observatory-ATTO) to the deforestation arc (Rio Branco, Cuiaba, Ji-Parana, and Alta Floresta). In addition, land use and cover data from the MapBiomas collection 6.0 was used to access the land transformation from forest to agricultural areas on each site. The results showed, for the first time, important geographical and seasonal variability in the aerosol optical properties, particularly the BC and BrC contributions. We observed a clear separation between dry and wet seasons, with BrC consistently accounting for an average of approximately 12% of the aerosol AAOD at 440 nm in the deforestation arc. In central Amazon, the contribution of BrC was approximately 25%. A direct relationship between the reduction in forests and the increase in the area dedicated to agriculture was detected. Moreover, places with lower fractions of forest had a smaller fraction of BrC, and regions with higher fractions of agricultural areas presented higher fractions of BC. Therefore, significant changes in AOD and AAOD are likely related to land-use transformations and biomass burning emissions, mainly during the dry season. The effects of land use change could introduce differences in the radiative balance in the different Amazonian regions. The analyses presented in this study allow a better understanding of the role of aerosol emissions from the Amazon Rainforest that could have global impacts.</t>
  </si>
  <si>
    <t>[Morais, Fernando G.; Franco, Marco A.; Machado, Luiz A. T.; Rizzo, Luciana, V; Barbosa, Henrique M. J.; Jorge, Fabio; Artaxo, Paulo] Univ Sao Paulo, Inst Phys, Rua Matao, BR-05508090 Sao Paulo, Brazil; [Morais, Fernando G.; Landulfo, Eduardo] Inst Pesquisas Energet &amp; Nucl IPEN, Ctr Lasers &amp; Aplicacoes CELAP, Av Prof Lineu Prestes 2242, BR-05508000 Sao Paulo, Brazil; [Franco, Marco A.; Machado, Luiz A. T.; Rizzo, Luciana, V; Artaxo, Paulo] Univ Sao Paulo, Res Ctr Greenhouse Gas Innovat RCGI POLI, Av Prof Mello Moraes 2231, BR-05508030 Butanta, SP, Brazil; [Palacios, Rafael] Univ Fed Para, Fac Meteorol, Inst Geociencias, BR-66075110 Belem, Para, Brazil; [Barbosa, Henrique M. J.] Univ Maryland Baltimore Cty, Phys Dept, Baltimore, MD 21250 USA; [Schafer, Joel S.; Holben, Brent N.] NASA, Goddard Space Flight Ctr GSFC, Greenbelt, MD 20771 USA</t>
  </si>
  <si>
    <t>Universidade de Sao Paulo; Comissao Nacional de Energia Nuclear (CNEN); Instituto de Pesquisas Energeticas e Nucleares (IPEN); Universidade de Sao Paulo; Universidade Federal do Para; University System of Maryland; University of Maryland Baltimore County; National Aeronautics &amp; Space Administration (NASA)</t>
  </si>
  <si>
    <t>Morais, FG; Franco, MA (corresponding author), Univ Sao Paulo, Inst Phys, Rua Matao, BR-05508090 Sao Paulo, Brazil.;Morais, FG (corresponding author), Inst Pesquisas Energet &amp; Nucl IPEN, Ctr Lasers &amp; Aplicacoes CELAP, Av Prof Lineu Prestes 2242, BR-05508000 Sao Paulo, Brazil.;Franco, MA (corresponding author), Univ Sao Paulo, Res Ctr Greenhouse Gas Innovat RCGI POLI, Av Prof Mello Moraes 2231, BR-05508030 Butanta, SP, Brazil.</t>
  </si>
  <si>
    <t>fmorais@usp.br; marco.franco@usp.br</t>
  </si>
  <si>
    <t>de Menezes Franco, Marco Aurélio/E-7958-2018; Machado, Luiz/C-4314-2012; Morais, Fernando/ABG-2580-2021; Franco, Marco Aurélio/E-7958-2018; Barbosa, Henrique de Melo Jorge/F-3499-2012; Artaxo, Paulo/E-8874-2010; Holben, Brent/I-3989-2014; Palácios, Rafael/ABA-7338-2020; Rizzo, Luciana/B-6229-2013; Barbosa, H./F-3499-2012; Gonçalves Morais, Fernando/ABG-2580-2021; Landulfo, Eduardo/B-7979-2012; Artaxo, Paulo/E-8874-2010</t>
  </si>
  <si>
    <t>de Menezes Franco, Marco Aurélio/0000-0002-2279-7722; Palácios, Rafael/0000-0002-7628-1342; Machado, Luiz/0000-0002-8243-1706; de Oliveira Jorge, Fabio/0000-0001-6737-5024; Barbosa, Henrique de Melo Jorge/0000-0002-4027-1855; Artaxo, Paulo/0000-0001-7754-3036; Gonçalves Morais, Fernando/0000-0002-7207-4450; Landulfo, Eduardo/0000-0002-9691-5306; Artaxo, Paulo/0000-0001-7754-3036</t>
  </si>
  <si>
    <t>Fundacao de Amparo a Pesquisa do Estado de Sao Paulo FAPESP [2017/17047-0, 2021/13610-8]</t>
  </si>
  <si>
    <t>Fundacao de Amparo a Pesquisa do Estado de Sao Paulo FAPESP(Fundacao de Amparo a Pesquisa do Estado de Sao Paulo (FAPESP))</t>
  </si>
  <si>
    <t>This study was supported by Fundacao de Amparo a Pesquisa do Estado de Sao Paulo FAPESP, projects 2017/17047-0 and 2021/13610-8.</t>
  </si>
  <si>
    <t>2073-4433</t>
  </si>
  <si>
    <t>ATMOSPHERE-BASEL</t>
  </si>
  <si>
    <t>Atmosphere</t>
  </si>
  <si>
    <t>10.3390/atmos13081328</t>
  </si>
  <si>
    <t>4C0FX</t>
  </si>
  <si>
    <t>WOS:000846142200001</t>
  </si>
  <si>
    <t>Kaur, M; Nagabhooshanam, N; Sharma, P; Singh, S; Krishna, RVV</t>
  </si>
  <si>
    <t>Kaur, Mandeep; Nagabhooshanam, N.; Sharma, Prashant; Singh, Satyendra; Krishna, R. V. V.</t>
  </si>
  <si>
    <t>Quantifying the carbon sequestration potential of different soil management practices aimed at increasing organic content in soil and reducing the usage of chemical inputs</t>
  </si>
  <si>
    <t>Carbon sequestration; Soil management practices; Chemical inputs reduction; Climate change mitigation; Compost application and Organic amendments</t>
  </si>
  <si>
    <t>The global imperative to address climate change and promote sustainable agriculture has underscored the critical role of soil management practices in enhancing carbon sequestration and reducing greenhouse gas emissions. This research focuses on quantifying the carbon sequestration potential of diverse soil management techniques aimed at increasing organic content in soil while minimizing the use of chemical inputs. It integrates a multidisciplinary approach, conducting field experiments across diverse agroecological regions with different soil types and cropping systems. Key practices under investigation include cover cropping, crop rotations, conservation tillage, compost application, organic amendments, integrated pest management (IPM), and precision agriculture. The study assesses their impact on soil organic carbon levels, greenhouse gas emissions, soil health indicators, and crop productivity through comprehensive data collection and analysis techniques. Statistical analyses and modeling are employed to quantify carbon sequestration rates, evaluate treatment effects, and assess environmental and agronomic benefits. These practices are implemented in controlled trials to assess their impact on soil organic carbon (SOC) levels, greenhouse gas emissions (CO2, 2 , CH4, 4 , N2O), 2 O), soil health indicators (microbial biomass, nutrient cycling, soil structure), and crop productivity. Data collection and analysis techniques involve comprehensive soil sampling, greenhouse gas flux measurements, soil health assessments, and crop yield monitoring over multiple growing seasons. Statistical analyses and modeling approaches are employed to quantify the carbon sequestration rates, assess treatment effects on soil health and greenhouse gas emissions, and evaluate the overall environmental and agronomic benefits of the soil management practices. The study aims to contribute valuable insights into evidence-based strategies for promoting sustainable soil management practices that enhance carbon sequestration while maintaining or improving agricultural productivity. The findings will have implications for informing agricultural policies, guiding farm management decisions, and advancing research on climate-smart agriculture. By quantifying the carbon sequestration potential of different soil management practices, this research contributes to the broader goal of achieving climate resilience, environmental sustainability, and food security in agricultural systems.</t>
  </si>
  <si>
    <t>[Kaur, Mandeep] Jain Univ, Sch Sci, Dept Chem, Bengaluru 560069, Karnataka, India; [Kaur, Mandeep] Vivekananda Global Univ, Dept Forens Sci, Jaipur 303012, Rajasthan, India; [Nagabhooshanam, N.] Saveetha Univ, Saveetha Inst Med &amp; Tech Sci, Saveetha Dent Coll &amp; Hosp, Dept Res Analyt, Chennai 600077, Tamil Nadu, India; [Sharma, Prashant] GLA Univ, Inst Engn &amp; Technol, Dept Civil Engn, Mathura 281406, India; [Singh, Satyendra] Chitkara Univ, Chitkara Ctr Res &amp; Dev, Kalujhanda 174103, Himachal Prades, India; [Krishna, R. V. V.] Aditya Coll Engn &amp; Technol, Dept ECE, Surampalem, India</t>
  </si>
  <si>
    <t>Jain University; Vivekananda Global University; Saveetha Institute of Medical &amp; Technical Science; Saveetha Dental College &amp; Hospital; GLA University</t>
  </si>
  <si>
    <t>Kaur, M (corresponding author), Jain Univ, Sch Sci, Dept Chem, Bengaluru 560069, Karnataka, India.;Kaur, M (corresponding author), Vivekananda Global Univ, Dept Forens Sci, Jaipur 303012, Rajasthan, India.</t>
  </si>
  <si>
    <t>prudhivianuradha7@gmail.com</t>
  </si>
  <si>
    <t>bhooshanam, naga/0000-0002-5889-5148</t>
  </si>
  <si>
    <t>Special thanks to the research team members for their dedication and contribution to this work.</t>
  </si>
  <si>
    <t>10.30955/gnj.05932</t>
  </si>
  <si>
    <t>D7C4H</t>
  </si>
  <si>
    <t>WOS:001297722100010</t>
  </si>
  <si>
    <t>Li, SH; Guo, LJ; Cao, CG; Li, CF</t>
  </si>
  <si>
    <t>Li, Shi-hao; Guo, Li-jin; Cao, Cou-gui; Li, Cheng-fang</t>
  </si>
  <si>
    <t>Effects of straw returning levels on carbon footprint and net ecosystem economic benefits from rice-wheat rotation in central China</t>
  </si>
  <si>
    <t>Agricultural inputs; Carbon footprint; Economic benefits; Global warming potential; Greenhouse gas emissions; Straw management</t>
  </si>
  <si>
    <t>GREENHOUSE-GAS EMISSIONS; MICROBIAL COMMUNITY COMPOSITION; N2O EMISSIONS; MANAGEMENT-PRACTICES; METHANE EMISSIONS; NITROGEN FOOTPRINT; TILLAGE PRACTICES; CROPPING SYSTEMS; WINTER-WHEAT; PADDY FIELDS</t>
  </si>
  <si>
    <t>Straw returning usually gives rise to greenhouse gas (GHG) emissions from the soil, and thus negatively affects carbon footprint (CF) of crop production. Numerous studies reported the effects of straw returning on the CF from single crop production. However, little is known about the integrated effects of different levels of straw returning on the CF and net ecosystem economic benefits (NEEB) from rice-wheat rotation. Here, we investigated the effects of different amounts of straw returning on soil CH(4)and N2O emissions, GHG emissions from agricultural inputs (AIGHG), CF, and NEEB from a 2-year cycle of rice-wheat rotation. The CF was determined based on the total GHG emissions associated with crop production inputs and services. Overall, straw returning significantly increased annual CH(4)emissions by 5.4-72.2% and reduced annual N2O emissions by 3.3-31.4% compared with straw removal. Straw returning remarkably increased rice grain yields by 8.1-9.9% and wheat grain yields by 10.2-21.1% compared with straw removal. The average annual AIGHG from rice-wheat rotation ranged from 3579 to 4987 kg CO2-eq ha(-1). Diesel consumption played a dominant role in the AIGHG. The annual CF ranged from 0.96 to 1.31 kg CO2-eq kg(-1)and increased with increasing straw returning amounts. The NEEB, which ranged from 14161 to 17413 CNY ha(-1), was significantly affected by the levels of straw returning. The treatment with returning of 1/3 of preceding crop straw to the field (2.19-2.47 kg ha(-1)year(-1)of rice straw in the wheat season and 1.38-1.68 kg ha(-1)year(-1)of wheat straw in the rice season) resulted in relatively higher grain yield, the lowest CF, and the highest NEEB among all treatments, and thus can reduce CF, and increase grain yields and NEEB, and thus can be recommended as a sustainable approach to mitigate GHG emissions and increase economic benefits from rice-wheat rotation.</t>
  </si>
  <si>
    <t>[Li, Shi-hao; Cao, Cou-gui; Li, Cheng-fang] Huazhong Agr Univ, Coll Plant Sci &amp; Technol, MOA Key Lab Crop Ecophysiol &amp; Farming Syst Middle, Wuhan 430070, Peoples R China; [Guo, Li-jin] Hainan Univ, Key Lab Germplasm Resource Biol Trop Special Orna, Coll Forestry, Haikou 570228, Hainan, Peoples R China; [Cao, Cou-gui; Li, Cheng-fang] Yangtze Univ, Hubei Collaborat Innovat Ctr Grain Ind, Jingzhou 434023, Peoples R China</t>
  </si>
  <si>
    <t>Hainan University; Yangtze University</t>
  </si>
  <si>
    <t>Cao, CG; Li, CF (corresponding author), Huazhong Agr Univ, Coll Plant Sci &amp; Technol, MOA Key Lab Crop Ecophysiol &amp; Farming Syst Middle, Wuhan 430070, Peoples R China.;Cao, CG; Li, CF (corresponding author), Yangtze Univ, Hubei Collaborat Innovat Ctr Grain Ind, Jingzhou 434023, Peoples R China.</t>
  </si>
  <si>
    <t>ccgui@mail.hzau.edu.cn; lichengfang@126.com</t>
  </si>
  <si>
    <t>Cao, Cougui/0000-0002-4310-7129</t>
  </si>
  <si>
    <t>National Key Research and Development Project of China [2017YFD0301403]; Natural Science Foundation of Hubei Province [2018CFB608]; National Natural Science Foundation of China [31671637]; Fundamental Research Funds for the Central Universities [2662019FW009]</t>
  </si>
  <si>
    <t>National Key Research and Development Project of China(National Key Research &amp; Development Program of China); Natural Science Foundation of Hubei Province(Natural Science Foundation of Hubei Province); National Natural Science Foundation of China(National Natural Science Foundation of China (NSFC)); Fundamental Research Funds for the Central Universities(Fundamental Research Funds for the Central Universities)</t>
  </si>
  <si>
    <t>This work is jointly supported by the National Key Research and Development Project of China (2017YFD0301403), Natural Science Foundation of Hubei Province (2018CFB608), National Natural Science Foundation of China (31671637), and Fundamental Research Funds for the Central Universities (2662019FW009).</t>
  </si>
  <si>
    <t>10.1007/s11356-020-10914-w</t>
  </si>
  <si>
    <t>SEP 2020</t>
  </si>
  <si>
    <t>PY6LU</t>
  </si>
  <si>
    <t>WOS:000572607400006</t>
  </si>
  <si>
    <t>Zhu, YY; Zhang, Y; Piao, HL</t>
  </si>
  <si>
    <t>Zhu, Yingyu; Zhang, Yan; Piao, Huilan</t>
  </si>
  <si>
    <t>Does Agricultural Mechanization Improve the Green Total Factor Productivity of China's Planting Industry?</t>
  </si>
  <si>
    <t>agricultural mechanization; planting industry; net carbon sinks; green total factor productivity</t>
  </si>
  <si>
    <t>DATA ENVELOPMENT ANALYSIS; CARBON EMISSIONS; ECONOMIC-GROWTH; EFFICIENCY</t>
  </si>
  <si>
    <t>Agricultural mechanization is an important factor to improve the green total factor productivity of the planting industry, which is the key way to realize the sustainable development and high-quality development of agriculture. Based on the panel data of 30 provinces in China from 2001 to 2019, this paper uses the stochastic frontier analysis method of the output-oriented distance function to measure the green total factor productivity of China's planting industry based on net carbon sinks, and empirically studies the impact of agricultural mechanization on the green total factor productivity in China's planting industry. The main findings of this paper are as follows: (1) Agricultural mechanization can promote the planting green total factor productivity significantly, and this basic conclusion is still robust after using instrumental variables and sub sample regression. (2) The path of agricultural mechanization on planting green total factor productivity is mainly reflected in technology progress and spatial spillover, while the mechanisms of operation scale expansion, factor allocation optimization and technical efficiency change are not significant. (3) With the improvement in the mechanization level, the promotion effect of mechanization on planting GTFP will become clearer. Given these findings, the paper adds considerable value to the empirical literature and provides various policy and practical implications.</t>
  </si>
  <si>
    <t>[Zhu, Yingyu; Zhang, Yan; Piao, Huilan] Shenyang Agr Univ, Coll Econ &amp; Management, Shenyang 110866, Peoples R China; [Zhang, Yan] Shenyang Agr Univ, Inst Higher Educ, Shenyang 110866, Peoples R China</t>
  </si>
  <si>
    <t>Shenyang Agricultural University; Shenyang Agricultural University</t>
  </si>
  <si>
    <t>Zhang, Y; Piao, HL (corresponding author), Shenyang Agr Univ, Coll Econ &amp; Management, Shenyang 110866, Peoples R China.;Zhang, Y (corresponding author), Shenyang Agr Univ, Inst Higher Educ, Shenyang 110866, Peoples R China.</t>
  </si>
  <si>
    <t>13707631938@126.com; syauzhangyan@126.com; hrpark3927@syau.edu.cn</t>
  </si>
  <si>
    <t>Zhu, Yingyu/HTN-4499-2023</t>
  </si>
  <si>
    <t>Zhu, Yingyu/0000-0002-6380-2081</t>
  </si>
  <si>
    <t>Science Foundation of Ministry of Education of China [19YJA880083]; National Natural Science Foundation of China [71703106]; China Postdoctoral Science Foundation [2018M631823]</t>
  </si>
  <si>
    <t>Science Foundation of Ministry of Education of China(Ministry of Education of the People's Republic of China); National Natural Science Foundation of China(National Natural Science Foundation of China (NSFC)); China Postdoctoral Science Foundation(China Postdoctoral Science Foundation)</t>
  </si>
  <si>
    <t>FundingThis research was funded by the Science Foundation of Ministry of Education of China (grant number 19YJA880083), National Natural Science Foundation of China (grant number 71703106), and China Postdoctoral Science Foundation (grant number 2018M631823).</t>
  </si>
  <si>
    <t>10.3390/en15030940</t>
  </si>
  <si>
    <t>YY2AG</t>
  </si>
  <si>
    <t>WOS:000754594500001</t>
  </si>
  <si>
    <t>Strub, L; Kurth, A; Loose, SM</t>
  </si>
  <si>
    <t>Strub, Larissa; Kurth, Andreas; Loose, Simone Mueller</t>
  </si>
  <si>
    <t>Effects of Viticultural Mechanization on Working Time Requirements and Production Costs</t>
  </si>
  <si>
    <t>AMERICAN JOURNAL OF ENOLOGY AND VITICULTURE</t>
  </si>
  <si>
    <t>economic sustainability; mechanization; production costs; steep slope viticulture; training systems; viticultural practice</t>
  </si>
  <si>
    <t>VINEYARD LANDSCAPES; PRUNING METHODS; GRAPE; PERFORMANCE; STATE</t>
  </si>
  <si>
    <t>The purpose of this study was to empirically estimate machine and labor costs for mechanization of viticultural processes and to assess the relative effect of mechanization options on viticultural costs. By identifying three external factors that determined the degree of optimal mechanization of three major viticultural processes, we developed a systematic typology of 12 unique vineyard types. To estimate the effects of the factors and processes on production costs, we analyzed the variance of more than 3400 single working time records of five German wine estates across three years with fixed and random effects. Mechanization of general viticultural processes, harvesting, and pruning strongly affected viticultural costs. Minimal pruning provided a cost savings potential of 58% for vineyards that permitted mechanized harvesting. Very steep slopes suffered significant cost disadvantages of up to 164% that could only partially be compensated by mechanization. We identified opportunities for wine producers to improve their economic profitability by increasing viticultural mechanization. The methodological framework developed can be applied to other wine regions with different cost settings and the analysis of big data sets from digitalization of viticulture. The results can aid wine producers and policymakers to choose cost-efficient viticultural systems and provide benchmarks to compare labor intensity.</t>
  </si>
  <si>
    <t>[Strub, Larissa; Kurth, Andreas; Loose, Simone Mueller] Hsch Geisenheim Univ, Von Lade Str 1, D-65366 Geisenheim, Germany; [Loose, Simone Mueller] Univ South Australia, Ehrenberg Bass Inst, Adelaide, SA 5000, Australia</t>
  </si>
  <si>
    <t>Adelaide University; University of South Australia</t>
  </si>
  <si>
    <t>Strub, L (corresponding author), Hsch Geisenheim Univ, Von Lade Str 1, D-65366 Geisenheim, Germany.</t>
  </si>
  <si>
    <t>larissa.strub@hs-gm.de</t>
  </si>
  <si>
    <t>; Strub, Larissa/HNR-0543-2023</t>
  </si>
  <si>
    <t>Strub, Larissa/0000-0001-6052-6440; Mueller Loose, Simone/0000-0001-9258-7803;</t>
  </si>
  <si>
    <t>AMER SOC ENOLOGY VITICULTURE</t>
  </si>
  <si>
    <t>DAVIS</t>
  </si>
  <si>
    <t>PO BOX 1855, DAVIS, CA 95617-1855 USA</t>
  </si>
  <si>
    <t>0002-9254</t>
  </si>
  <si>
    <t>1943-7749</t>
  </si>
  <si>
    <t>AM J ENOL VITICULT</t>
  </si>
  <si>
    <t>Am. J. Enol. Vitic.</t>
  </si>
  <si>
    <t>10.5344/ajev.2020.20027</t>
  </si>
  <si>
    <t>Biotechnology &amp; Applied Microbiology; Food Science &amp; Technology; Horticulture</t>
  </si>
  <si>
    <t>Biotechnology &amp; Applied Microbiology; Food Science &amp; Technology; Agriculture</t>
  </si>
  <si>
    <t>PS1MQ</t>
  </si>
  <si>
    <t>WOS:000607694800005</t>
  </si>
  <si>
    <t>Swapna, MS; Raj, V; Devi, HVS; Sankararaman, S</t>
  </si>
  <si>
    <t>Swapna, M. S.; Raj, Vimal; Devi, H. V. Saritha; Sankararaman, S.</t>
  </si>
  <si>
    <t>Optical emission diagnosis of carbon nanoparticle-incorporated chlorophyll for sensing applications</t>
  </si>
  <si>
    <t>PHOTOCHEMICAL &amp; PHOTOBIOLOGICAL SCIENCES</t>
  </si>
  <si>
    <t>FLUORESCENCE EXCITATION-SPECTRA; TRAFFIC POLLUTION; NANOTUBES; CAROTENOIDS; ABSORPTION; PARTICLES; PIGMENTS</t>
  </si>
  <si>
    <t>Chlorophyll fluorescence (Chl F) is widely used in sensing applications to understand terrestrial vegetation and environmental and climatic variations. The increasing rates of industrialization and carbon emission from internal combustion engines (ICEs) pose a threat to sustainable development. This study analyses the impact of carbon nanoparticles (CNPs) from ICEs on the optical absorption and fluorescence emission of leaf pigments. Leaf pigments without and with CNPs were subjected to UV-visible and photoluminescence (PL) spectroscopy analyses. The field emission scanning electron microscopy and highresolution transmission electron microscopy images of CNPs showed their morphology. The Jablonski diagram of the CNP-incorporated chlorophyll system helped in understanding the fluorescence emission, internal conversion, and the exchange of energy between them. The variations in (i) total chlorophyll, (ii) optical absorbance by total chlorophyll, (iii) PL emission peak (at 675 nm and 718 nm) intensities for different excitation wavelengths, and (iv) normalized absorbance at the PL emission peaks with different CNP concentrations were analysed by dividing into three regions. In Region I (0-0.625 mg ml(-1)), the radiative component dominated the nonradiative component as a result of energy transfer from CNPs to chlorophyll. In Region II (0.625-1.2 mg ml(-1)), the increase in CNP concentration initiated diffusion into chloroplasts, resulting in the increase in the nonradiative part of total energy and decrease in PL peak intensity. In Region III (1.2-2.5 mg ml(-1)), the energy absorbed by the CNPs dissipated more nonradiatively, leading to a slow rate of increase in the radiative part. The visual response of PL emission, color purity, and the distribution of the emitted energy over the spectrum studied with the help of CIE plots, power spectrum, and confocal fluorescence microscopy revealed the fluorescence emission in the red region. This study suggests the possibility of employing Chl F in agricultural, environmental, and biological fields for sensing applications.</t>
  </si>
  <si>
    <t>[Swapna, M. S.; Raj, Vimal; Devi, H. V. Saritha; Sankararaman, S.] Univ Kerala, Dept Optoelect, Trivandrum 695581, Kerala, India; [Swapna, M. S.; Raj, Vimal; Devi, H. V. Saritha; Sankararaman, S.] Univ Kerala, Dept Nanosci &amp; Nanotechnol, Trivandrum 695581, Kerala, India</t>
  </si>
  <si>
    <t>University of Kerala; University of Kerala</t>
  </si>
  <si>
    <t>Sankararaman, S (corresponding author), Univ Kerala, Dept Optoelect, Trivandrum 695581, Kerala, India.</t>
  </si>
  <si>
    <t>drssraman@gmail.com</t>
  </si>
  <si>
    <t>SANKARARAMAN, S./V-7768-2018; SWAPNA, M S/KAM-1985-2024; , SSANKARARAMAN/V-7768-2018; Raj, Vimal/GXW-1388-2022</t>
  </si>
  <si>
    <t>SWAPNA, M S/0000-0001-5147-3172; RAJ, VIMAL/0000-0002-5014-1202; , SSANKARARAMAN/0000-0001-5374-6517;</t>
  </si>
  <si>
    <t>1474-905X</t>
  </si>
  <si>
    <t>1474-9092</t>
  </si>
  <si>
    <t>PHOTOCH PHOTOBIO SCI</t>
  </si>
  <si>
    <t>Photochem. Photobiol. Sci.</t>
  </si>
  <si>
    <t>10.1039/c8pp00454d</t>
  </si>
  <si>
    <t>Biochemistry &amp; Molecular Biology; Biophysics; Chemistry, Physical</t>
  </si>
  <si>
    <t>Biochemistry &amp; Molecular Biology; Biophysics; Chemistry</t>
  </si>
  <si>
    <t>IC7EU</t>
  </si>
  <si>
    <t>WOS:000471136600007</t>
  </si>
  <si>
    <t>Du, CY; Kulay, L; Cavalett, O; Dias, L; Freire, F</t>
  </si>
  <si>
    <t>Du, Chongyang; Kulay, Luiz; Cavalett, Otavio; Dias, Luis; Freire, Fausto</t>
  </si>
  <si>
    <t>Life cycle assessment addressing health effects of particulate matter of mechanical versus manual sugarcane harvesting in Brazil</t>
  </si>
  <si>
    <t>Agricultural automation; Air pollution; Life cycle assessment; PM2.5; Public health; Regional impacts</t>
  </si>
  <si>
    <t>SOIL CARBON STOCKS; IMPACT ASSESSMENT; AIR-POLLUTION; UNBURNED SUGARCANE; ETHANOL-PRODUCTION; GHG EMISSIONS; GLOBAL BURDEN; UNITED-STATES; ENERGY USE; EXPOSURE</t>
  </si>
  <si>
    <t>Concerns about environmental impacts and health effects associated with particulate matter emissions of sugarcane production in Brazil have been raised, mainly due to pre-harvest burning of straw in manual harvesting. In consequence, mechanical harvesting without burning has been increasingly adopted. Life cycle studies have assessed environmental impacts of sugarcane and sugarcane products. However, incorporating health effects of particulate matter 2.5 (PM2.5) in a life cycle assessment focusing on evaluating the impacts of increasing use of mechanization has not been conducted. This article compares the life cycle environmental and health impacts (with spatially differentiated characterization factors for PM2.5) of manual and mechanical harvesting of sugarcane in Brazil, and quantifies the health benefits due to the change of harvesting operations. An attributional life cycle assessment (LCA) of manual versus mechanical sugarcane harvesting was conducted to evaluate the impacts of 1 t of sugarcane at the distillery. ReCiPe was applied to characterize impacts at mid-point (i.e., climate change, fossil depletion, ozone depletion, terrestrial acidification, freshwater eutrophication, human toxicity, photochemical oxidant formation, and particulate matter formation) and end point (i.e., human health, ecosystems, and resources). Impacts on climate change were compared considering different soil carbon sequestration scenarios. Characterization factors (CFs) of health effects of PM2.5 for Brazil were calculated differentiating emission sources, population densities, and burdens of disease. At the mid-point, sugarcane production with manual harvesting has higher impacts on photochemical oxidant formation and particulate matter formation mainly due to pre-harvest burning. Mechanical harvesting system may lead to higher impacts on fossil depletion, ozone depletion, and terrestrial acidification resulting from higher use of fertilizers and diesel. Differences of impacts on climate change between two systems vary depending on the soil carbon sequestration scenario. At the end-point level, manual harvesting has higher impacts on human health but lower impacts on resource use. The health effects of PM2.5 vary considerably with population density. Changing from manual to mechanical harvesting close to urban areas leads to a 93% reduction of health effects, while for rural only 15% and for remote areas 5%. When considering average population density, the health effects of PM2.5 of manual harvesting were approximately six times higher than mechanical harvesting. Health effects of PM2.5 calculated with ReCiPe are much lower and may underestimate the effects of primary PM2.5 emissions. The results of this article are an incentive to accelerate the mechanization of sugarcane harvesting in areas with lower mechanization levels (i.e., north-northeast region in Brazil and some rough terrain areas) concerning public health benefits. Meanwhile, manual harvesting with straw burning should only be performed in fields located in rural or remote areas. These results can also contribute to further studies comparing potential benefits of sugarcane culture with alternative crops and guide better decision making at regional development level. Spatially differentiated CFs of PM2.5 calculated in this article may be applied to future studies regarding health effects in the Brazilian context.</t>
  </si>
  <si>
    <t>[Du, Chongyang; Freire, Fausto] Univ Coimbra, Dept Mech Engn, ADAI LAETA, P-3030788 Coimbra, Portugal; [Kulay, Luiz] Univ Sao Paulo, Dept Chem Engn, Polytech Sch, Ave Prof Lineu Prestes 580,Bloco 18, BR-05424970 Sao Paulo, Brazil; [Cavalett, Otavio] CNPEM, Lab Nacl Ciencia &amp; Tecnol Bioetanol CTBE, Sao Paulo, Brazil; [Dias, Luis] Univ Coimbra, Fac Econ, INESC Coimbra, Ave Dias da Silva 165, P-3004512 Coimbra, Portugal; [Dias, Luis] Univ Coimbra, Fac Econ, CeBER, Ave Dias da Silva 165, P-3004512 Coimbra, Portugal</t>
  </si>
  <si>
    <t>Universidade de Coimbra; Universidade de Sao Paulo; Universidade de Coimbra; INESC Coimbra; Universidade de Coimbra</t>
  </si>
  <si>
    <t>Freire, F (corresponding author), Univ Coimbra, Dept Mech Engn, ADAI LAETA, P-3030788 Coimbra, Portugal.</t>
  </si>
  <si>
    <t>fausto.freire@dem.uc.pt</t>
  </si>
  <si>
    <t>Cavalett, Otavio/I-2210-2012; Freire, Fausto/C-6741-2008; Kulay, Luiz/A-7422-2013; Du, Chongyang/HKD-8940-2023; Freire, Fausto/C-6741-2008; Dias, Luis/K-1379-2014</t>
  </si>
  <si>
    <t>Freire, Fausto/0000-0001-7269-5372; Kulay, Luiz/0000-0003-1107-1800; Cavalett, Otavio/0000-0003-4805-2881; Freire, Fausto/0000-0001-7269-5372; Dias, Luis/0000-0002-1127-1071</t>
  </si>
  <si>
    <t>Portuguese Fundacao para a Ciencia e Tecnologia (FCT) through the project Sustainability assessment of bioenergy systems: a life cycle multi-criteria decision-support approach, including land use change [PTDC/AAG-MAA/6234/2014, POCI-01-0145-FEDER-016765]; FCT [SFRH/BD/51948/2012]; Fundação para a Ciência e a Tecnologia [SFRH/BD/51948/2012, PTDC/AAG-MAA/6234/2014] Funding Source: FCT</t>
  </si>
  <si>
    <t>Portuguese Fundacao para a Ciencia e Tecnologia (FCT) through the project Sustainability assessment of bioenergy systems: a life cycle multi-criteria decision-support approach, including land use change; FCT(Fundacao para a Ciencia e a Tecnologia (FCT)); Fundação para a Ciência e a Tecnologia(Fundacao para a Ciencia e a Tecnologia (FCT))</t>
  </si>
  <si>
    <t>This work is funded by Portuguese Fundacao para a Ciencia e Tecnologia (FCT) through the project Sustainability assessment of bioenergy systems: a life cycle multi-criteria decision-support approach, including land use change (PTDC/AAG-MAA/6234/2014, POCI-01-0145-FEDER-016765). Chongyang Du also acknowledges financial support from FCT, through grant SFRH/BD/51948/2012. This work was framed under the Energy for Sustainability Initiative of University of Coimbra and the MIT-Portugal Program.</t>
  </si>
  <si>
    <t>10.1007/s11367-017-1334-7</t>
  </si>
  <si>
    <t>GA0HU</t>
  </si>
  <si>
    <t>WOS:000427994900004</t>
  </si>
  <si>
    <t>Zhou, K; Chen, L; Zhang, JB; Li, KJ; Liu, SY; Zhang, Y</t>
  </si>
  <si>
    <t>Zhou, Kun; Chen, Liu; Zhang, Jinbo; Li, Kaijian; Liu, Shiying; Zhang, Yang</t>
  </si>
  <si>
    <t>An assessment framework for the equity and efficiency coupling of livestock industry carbon emissions: Evidence from China</t>
  </si>
  <si>
    <t>PROCESS SAFETY AND ENVIRONMENTAL PROTECTION</t>
  </si>
  <si>
    <t>Carbon emissions; Livestock industry; Equity and efficiency; Coupling assessment framework; Chinese 31 provinces</t>
  </si>
  <si>
    <t>LAND-USE; ENVIRONMENT</t>
  </si>
  <si>
    <t>This study established a comprehensive assessment framework for carbon emissions from the livestock industry (CELI) through a coupled perspective of equity (equality for all, resident income, and agricultural land capacity) and efficiency (economy, technology, and nutrient supply). Based on this framework, the study systematically analyzes the spatio-temporal characteristics, regional disparities, and key driving factors underlying the coupling of CELI equity and efficiency. The results indicate that CELI efficiency in China has shown a continuous upward trend, particularly in the developed regions, where it exceeds the national average. However, CELI inequality remains widespread across most regions, with the highest levels observed in less developed areas. The levels of CELI equity and efficiency coupling in all provinces are generally located at low and basic coupling levels. Notably, the coupling level is the lowest in the regions with the most concentrated livestock industry. Continuously rising urbanization is the key factor inhibiting CELI equity and efficiency coupling, whereas population growth and increasing resident income had positive effects in most provinces. Our framework contributes to a more reasonable assessment of the carbon emission characteristics of livestock industry, and provides valuable references for the formulation of low-carbon agricultural development policies in other countries.</t>
  </si>
  <si>
    <t>[Zhou, Kun] Sichuan Acad Social Sci, Inst Rural Dev, Chengdu 610071, Peoples R China; [Chen, Liu] Peking Univ, Coll Urban &amp; Environm Sci, Beijing 100871, Peoples R China; [Zhang, Jinbo] Peking Univ, Coll Environm Sci &amp; Engn, Beijing 100871, Peoples R China; [Li, Kaijian] Chongqing Univ, Sch Management Sci &amp; Real Estate, Chongqing 400044, Peoples R China; [Liu, Shiying] Hong Kong Polytech Univ, Dept Bldg &amp; Real Estate, Hong Kong 999077, Peoples R China; [Zhang, Yang] Chinese Acad Environm Planning, Inst Strateg Planning, Beijing 100041, Peoples R China</t>
  </si>
  <si>
    <t>Peking University; Peking University; Chongqing University; Hong Kong Polytechnic University; Chinese Academy of Environmental Planning</t>
  </si>
  <si>
    <t>Chen, L (corresponding author), Peking Univ, Coll Urban &amp; Environm Sci, Beijing 100871, Peoples R China.;Zhang, Y (corresponding author), Chinese Acad Environm Planning, Inst Strateg Planning, Beijing 100041, Peoples R China.</t>
  </si>
  <si>
    <t>zhoukun@stu.sicau.edu.cn; chenliusylvia@pku.edu.cn; zhangyang@caep.org.cn</t>
  </si>
  <si>
    <t>Zhang, Jinbo/CAG-2629-2022; Chen, Liu/OXB-6743-2025</t>
  </si>
  <si>
    <t>Zhou, Kun/0000-0001-5872-0981;</t>
  </si>
  <si>
    <t>National Natural Science Foundation of China [52409034]; Aba Prefecture Social Science Foundation [ABKT2024124]</t>
  </si>
  <si>
    <t>National Natural Science Foundation of China(National Natural Science Foundation of China (NSFC)); Aba Prefecture Social Science Foundation</t>
  </si>
  <si>
    <t>The authors would like to acknowledge financial support provided by the National Natural Science Foundation of China [grant number 52409034] , and the Aba Prefecture Social Science Foundation [grant number ABKT2024124] . The authors are grateful to the editors and the anonymous reviewers for their insightful comments and suggestions.</t>
  </si>
  <si>
    <t>0957-5820</t>
  </si>
  <si>
    <t>1744-3598</t>
  </si>
  <si>
    <t>PROCESS SAF ENVIRON</t>
  </si>
  <si>
    <t>Process Saf. Environ. Protect.</t>
  </si>
  <si>
    <t>10.1016/j.psep.2025.107580</t>
  </si>
  <si>
    <t>Engineering, Environmental; Engineering, Chemical</t>
  </si>
  <si>
    <t>6CZ1F</t>
  </si>
  <si>
    <t>WOS:001550406900001</t>
  </si>
  <si>
    <t>Xu, XM; Lan, Y</t>
  </si>
  <si>
    <t>Xu, Xiaoming; Lan, Ying</t>
  </si>
  <si>
    <t>Spatial and temporal patterns of carbon footprints of grain crops in China</t>
  </si>
  <si>
    <t>Carbon footprint; Spatial and temporal patterns; Grain crops; Canonical correspondence analysis; Life cycle assessment</t>
  </si>
  <si>
    <t>PRECIPITATION; TEMPERATURE; FERTILIZER; ECOSYSTEM; SURFACES; BALANCE; CO2</t>
  </si>
  <si>
    <t>Quantifying the carbon footprints of grain crops is of great importance to the mitigation of agricultural greenhouse gases. Previous studies revealed that the agricultural greenhouse gas emissions of China kept increasing in the past few years. In this study, the life cycle assessment method Was used to calculate the product and farm carbon footprints of rice, wheat and maize based on the governmental statistical datasets and published results. The spatial and temporal patterns of carbon footprint was analyzed, and the impacts of environmental and socioeconomic factors on carbon footprints were evaluated using canonical correspondence analysis. The results showed that the product carbon footprints of rice, wheat and maize corresponded to 1.06 +/- 0.03, 0.50 +/- 0.04 and 0.40 +/- 0.03 kg CO2 eq/kg, while the farm carbon footprints were 7285 +/- 78, 2800 +/- 222 and 2707 +/- 151 kg CO2 eq/ha. The total greenhouse gas emissions from three crops increased by 1.94%/y from 2004 to 2013. The farm carbon footprints of grain crops in the southern provinces were higher than those in the northern provinces. Topsoil clay fraction, latitude, arable land per capita in the rural areas, and longitude significantly affected the spatial distribution of carbon footprints. This study provides a novel insight into the spatial and temporal patterns of carbon footprint from grain crops in China. The results can serve as references for the development of mitigation measures of greenhouse gas in China. (C) 2016 Elsevier Ltd. All rights reserved.</t>
  </si>
  <si>
    <t>[Xu, Xiaoming] Shanxi Univ, Inst Loess Plateau, Taiyuan 030006, Shanxi, Peoples R China; [Lan, Ying] Oregon Hlth &amp; Sci Univ, Inst Environm Hlth, Portland, OR 97239 USA</t>
  </si>
  <si>
    <t>Shanxi University; Oregon Health &amp; Science University</t>
  </si>
  <si>
    <t>Xu, XM (corresponding author), Shanxi Univ, Inst Loess Plateau, Taiyuan 030006, Shanxi, Peoples R China.;Lan, Y (corresponding author), Oregon Hlth &amp; Sci Univ, Inst Environm Hlth, Portland, OR 97239 USA.</t>
  </si>
  <si>
    <t>xuxiaoming@sxu.edu.cn; lany@ohsu.edu</t>
  </si>
  <si>
    <t>Xu, Xiaoming/R-2155-2018</t>
  </si>
  <si>
    <t>Xu, Xiaoming/0000-0003-1405-8089</t>
  </si>
  <si>
    <t>National Natural Science Foundation of China [41401053, 41471097, 41161066]; Natural Science Foundation for Young Scientists of Shanxi Province [2015021172]; Scientific Research Foundation for the Returned Overseas Chinese Scholars, State Education Ministry of China</t>
  </si>
  <si>
    <t>National Natural Science Foundation of China(National Natural Science Foundation of China (NSFC)); Natural Science Foundation for Young Scientists of Shanxi Province(Natural Science Foundation of Shanxi Province); Scientific Research Foundation for the Returned Overseas Chinese Scholars, State Education Ministry of China(Scientific Research Foundation for the Returned Overseas Chinese ScholarsMinistry of Education of the People's Republic of China)</t>
  </si>
  <si>
    <t>The authors thank the reviewers for their profitable comments that significantly improved this paper. This work was supported by the National Natural Science Foundation of China (Grant numbers 41401053, 41471097, 41161066); the Natural Science Foundation for Young Scientists of Shanxi Province (Grant 2015021172); and the Scientific Research Foundation for the Returned Overseas Chinese Scholars, State Education Ministry of China. The dataset is provided by the National Bureau of Statistics of China, the Worldclim Global Climate Data, the Harmonized World Soil Database, and the Cold and Arid Regions Sciences Data Center at Lanzhou.</t>
  </si>
  <si>
    <t>MAR 20</t>
  </si>
  <si>
    <t>10.1016/j.jclepro.2016.11.181</t>
  </si>
  <si>
    <t>EP4RQ</t>
  </si>
  <si>
    <t>WOS:000397368000022</t>
  </si>
  <si>
    <t>Freitag, M; Friedrich, T; Kassam, A</t>
  </si>
  <si>
    <t>Freitag, Maik; Friedrich, Theodor; Kassam, Amir</t>
  </si>
  <si>
    <t>The carbon footprint of Conservation Agriculture</t>
  </si>
  <si>
    <t>No-till; soil erosion emissions; tillage emissions; soil organic carbon accumulation; climate change mitigation</t>
  </si>
  <si>
    <t>GREENHOUSE-GAS EMISSIONS; NITROUS-OXIDE EMISSIONS; SOIL-EROSION; NO-TILL; N2O EMISSIONS; COVER CROPS; SEQUESTRATION; FERTILIZER; DYNAMICS; ROTATION</t>
  </si>
  <si>
    <t>Proponents of Conservation Agriculture (CA) believe that by not tilling the soil, climate-friendly agriculture is achieved by reducing greenhouse gas emissions from agriculture and by storing atmospheric carbon in the soil. However, some scientists question climate benefits of CA. Literature shows that carbon storage through soil organic carbon (SOC) accumulation of up to 1 t ha-1 y-1 is possible without increasing nitrous oxide (N2O) emissions under a CA system. Opposing studies were flawed by analysing not complete CA systems and leaving out some of the principles. It is shown that each tillage operation releases up to 300 kg carbon dioxide equivalents (CO2e) per hectare, and each of the average annual 10 t ha-1 of eroded topsoil can emit additional 300 kg CO2e ha-1. A case study in Germany confirms these findings that with full application of CA the carbon footprint of agricultural food production can be significantly decreased, helping to mitigate climate change. It is concluded that net soil carbon storage is possible if all the principles of CA are consistently implemented. It is also concluded that together with other complementary production measures, CA has the potential to make agriculture carbon neutral.</t>
  </si>
  <si>
    <t>[Freitag, Maik] Univ Hohenheim, Agr Sci Dept, Stuttgart, Germany; [Friedrich, Theodor] Exfao, Conservat Agr Expert, Rome, Italy; [Kassam, Amir] Univ Reading, Sch Agr Policy &amp; Dev, Reading RG6 6AR, England</t>
  </si>
  <si>
    <t>University Hohenheim; University of Reading</t>
  </si>
  <si>
    <t>Kassam, A (corresponding author), Univ Reading, Sch Agr Policy &amp; Dev, Reading RG6 6AR, England.</t>
  </si>
  <si>
    <t>amirkassam786@googlemail.com</t>
  </si>
  <si>
    <t>2024 DEC 31</t>
  </si>
  <si>
    <t>10.1080/14735903.2024.2331949</t>
  </si>
  <si>
    <t>DEC 2024</t>
  </si>
  <si>
    <t>SZ9P3</t>
  </si>
  <si>
    <t>WOS:001238392900001</t>
  </si>
  <si>
    <t>Leela, JSPP; Jayarin, PJ; Babu, MR; Nathsharma, SK; Albert, HM</t>
  </si>
  <si>
    <t>Leela, J. Sherin Percy Prema; Jayarin, P. Jesu; Babu, M. Ramesh; Nathsharma, Santosh Kumar; Albert, Helen Merina</t>
  </si>
  <si>
    <t>Synthesis, optoelectronic, and electrochemical characteristics of biomass-derived carbon quantum dots</t>
  </si>
  <si>
    <t>JOURNAL OF MATERIALS SCIENCE-MATERIALS IN ELECTRONICS</t>
  </si>
  <si>
    <t>GREEN SYNTHESIS; GROWTH</t>
  </si>
  <si>
    <t>In this work, Carbon Quantum Dots (CQDs) were successfully prepared from sugarcane bagasse pulp using a convenient hydrothermal method, showcasing the viability of agricultural waste as a sustainable precursor. Fourier-transform infrared spectroscopy validated the surface functionalities, whereas X-ray diffraction analysis and Transmission Electron Microscopy elucidated the presence of 3.8 nm graphitic cores. Dynamic light scattering confirmed a hydrodynamic size of 8-12 nm with a narrow distribution. Optical analysis indicated a bandgap of 4.97 eV and an Urbach energy of 0.629 eV, suggesting significant quantum confinement and the presence of defect states. The CQDs exhibited an excitation-dependent photoluminescence emission, revealing a gradual red shift in the blue emission band (417-478 nm), corroborated by CIE chromaticity mapping. Electrochemical impedance spectroscopy demonstrated significant charge transfer resistance and diffusion-controlled processes, confirming the electroactive potential of CQDs. These properties distinguish sugarcane bagasse-derived CQDs from previously reported biomass-CQDs and demonstrate their potential for optoelectronic devices and sustainable nanotechnology.</t>
  </si>
  <si>
    <t>[Leela, J. Sherin Percy Prema] JBAS Coll Women Autonomous, Dept Elect Artificial Intelligence, Chennai 600018, Tamil Nadu, India; [Jayarin, P. Jesu] Saveetha Univ, Saveetha Inst Med &amp; Tech Sci, Saveetha Sch Engn, Dept Comp Sci &amp; Engn, Chennai 602105, Tamil Nadu, India; [Babu, M. Ramesh] St Josephs Coll Engn, Dept Elect &amp; Elect Engn, Chennai 600119, Tamil Nadu, India; [Nathsharma, Santosh Kumar] Stewart Sci Coll, Dept Chem, Cuttack 753001, Odisha, India; [Albert, Helen Merina] Sathyabama Inst Sci &amp; Technol, Dept Phys, Chennai 600119, Tamil Nadu, India</t>
  </si>
  <si>
    <t>Saveetha Institute of Medical &amp; Technical Science; Saveetha School of Engineering; St. Joseph's College of Engineering, Chennai; Sathyabama Institute of Science &amp; Technology</t>
  </si>
  <si>
    <t>Albert, HM (corresponding author), Sathyabama Inst Sci &amp; Technol, Dept Phys, Chennai 600119, Tamil Nadu, India.</t>
  </si>
  <si>
    <t>drhelenphy@gmail.com</t>
  </si>
  <si>
    <t>NATHSHARMA, SANTOSH/ABE-5170-2020; M, Ramesh Babu/Q-7684-2018; Albert, Helen Merina/A-6412-2017; P, JESU JAYARIN/HJP-7646-2023</t>
  </si>
  <si>
    <t>Multi-disciplinary Research &amp; Consultancy Centre of J.B.A.S College for Women (Autonomous); Sathyabama Institute of Science and Technology and Nanoscale Energy Solutions Chennai</t>
  </si>
  <si>
    <t>The authors thank the Management and Multi-disciplinary Research &amp; Consultancy Centre of J.B.A.S College for Women (Autonomous) for their support of our research initiative. The authors acknowledge the experimental facilities offered by the Sathyabama Institute of Science and Technology and Nanoscale Energy Solutions Chennai.</t>
  </si>
  <si>
    <t>0957-4522</t>
  </si>
  <si>
    <t>1573-482X</t>
  </si>
  <si>
    <t>J MATER SCI-MATER EL</t>
  </si>
  <si>
    <t>J. Mater. Sci.-Mater. Electron.</t>
  </si>
  <si>
    <t>10.1007/s10854-025-15916-3</t>
  </si>
  <si>
    <t>Engineering, Electrical &amp; Electronic; Materials Science, Multidisciplinary; Physics, Applied; Physics, Condensed Matter</t>
  </si>
  <si>
    <t>Engineering; Materials Science; Physics</t>
  </si>
  <si>
    <t>8LP3J</t>
  </si>
  <si>
    <t>WOS:001591582900002</t>
  </si>
  <si>
    <t>Green, A; Lewis, KA; Tzilivakis, J; Warner, DJ</t>
  </si>
  <si>
    <t>Green, Andrew; Lewis, Kathleen A.; Tzilivakis, John; Warner, Douglas J.</t>
  </si>
  <si>
    <t>Agricultural climate change mitigation: carbon calculators as a guide for decision making</t>
  </si>
  <si>
    <t>Carbon calculators; climate change mitigation; livestock agriculture; greenhouse gas emissions; decision support</t>
  </si>
  <si>
    <t>GREENHOUSE-GAS EMISSIONS; SUSTAINABLE INTENSIFICATION; PRODUCTION SYSTEMS; ACCOUNTING TOOLS; LIVESTOCK; FARMERS</t>
  </si>
  <si>
    <t>The dairy industry is receiving considerable attention in relation to both its significant greenhouse gas (GHG) emissions, and its potential for reducing those emissions, contributing towards meeting national targets and driving the industry towards sustainable intensification. However, the extent to which improvements can be made is dependent on the decision-making processes of individual producers, so there has been a proliferation of carbon accounting tools seeking to influence those processes. This paper evaluates the suitability of such tools for driving environmental change by influencing on-farm management decisions. Seven tools suitable for the European dairy industry were identified, their characteristics evaluated, and used to process data relating to six scenario farms, emulating processes undertaken in real farm management situations. As a result of the range of approaches taken by the tools, there was limited agreement between them as to GHG emissions magnitude, and no consistent pattern as to which tools resulted in the highest/lowest results. Despite this it is argued, that as there was agreement as to the farm activities responsible for the greatest emissions, the more complex tools were still capable of performing a decision support' role, and guiding management decisions, whilst others could merely focus attention on key issues.</t>
  </si>
  <si>
    <t>[Green, Andrew; Lewis, Kathleen A.; Tzilivakis, John; Warner, Douglas J.] Univ Hertfordshire, Dept Biol &amp; Environm Sci, Agr &amp; Environm Res Unit, Hatfield, Herts, England</t>
  </si>
  <si>
    <t>University of Hertfordshire</t>
  </si>
  <si>
    <t>Green, A (corresponding author), Univ Hertfordshire, Dept Biol &amp; Environm Sci, Agr &amp; Environm Res Unit, Hatfield, Herts, England.</t>
  </si>
  <si>
    <t>a.green@herts.ac.uk</t>
  </si>
  <si>
    <t>Lewis, Kathy/H-4895-2019; Warner, Doug/T-8872-2019; Tzilivakis, Dr John/H-3661-2019; Green, Andrew/H-4573-2019</t>
  </si>
  <si>
    <t>Lewis, Kathy/0000-0002-1672-5968; Tzilivakis, John/0000-0003-4511-6712;</t>
  </si>
  <si>
    <t>10.1080/14735903.2017.1398628</t>
  </si>
  <si>
    <t>FR2YZ</t>
  </si>
  <si>
    <t>WOS:000418934400003</t>
  </si>
  <si>
    <t>Marvin, DC; Sleeter, BM; Cameron, DR; Nelson, E; Plantinga, AJ</t>
  </si>
  <si>
    <t>Marvin, David C.; Sleeter, Benjamin M.; Cameron, D. Richard; Nelson, Erik; Plantinga, Andrew J.</t>
  </si>
  <si>
    <t>Natural climate solutions provide robust carbon mitigation capacity under future climate change scenarios</t>
  </si>
  <si>
    <t>WILDFIRE; EMISSIONS; IMPACT</t>
  </si>
  <si>
    <t>Natural climate solutions (NCS) are recognized as an important tool for governments to reduce greenhouse gas emissions and remove atmospheric carbon dioxide. Using California as a globally relevant reference, we evaluate the magnitude of biological climate mitigation potential from NCS starting in 2020 under four climate change scenarios. By mid-century NCS implementation leads to a large increase in net carbon stored, flipping the state from a net source to a net sink in two scenarios. Forest and conservation land management strategies make up 85% of all NCS emissions reductions by 2050, with agricultural strategies accounting for the remaining 15%. The most severe climate change impacts on ecosystem carbon materialize in the latter half of the century with three scenarios resulting in California ecosystems becoming a net source of carbon emissions under a baseline trajectory. However, NCS provide a strong attenuating effect, reducing land carbon emissions 41-54% by 2100 with total costs of deployment of 752-777 million USD annually through 2050. Rapid implementation of a portfolio of NCS interventions provides long-term investment in protecting ecosystem carbon in the face of climate change driven disturbances. This open-source, spatially-explicit framework can help evaluate risks to NCS carbon storage stability, implementation costs, and overall mitigation potential for NCS at jurisdictional scales.</t>
  </si>
  <si>
    <t>[Marvin, David C.] Salo Sci Inc, San Francisco, CA 94103 USA; [Sleeter, Benjamin M.] US Geol Survey, Seattle, WA USA; [Cameron, D. Richard] Nature Conservancy, San Francisco, CA USA; [Nelson, Erik] Bowdoin Coll, Brunswick, ME 04011 USA; [Plantinga, Andrew J.] Univ Calif Santa Barbara, Santa Barbara, CA 93106 USA</t>
  </si>
  <si>
    <t>United States Department of the Interior; United States Geological Survey; Nature Conservancy; Bowdoin College; University of California System; University of California Santa Barbara</t>
  </si>
  <si>
    <t>Marvin, DC (corresponding author), Salo Sci Inc, San Francisco, CA 94103 USA.</t>
  </si>
  <si>
    <t>dave@salo.ai</t>
  </si>
  <si>
    <t>Marvin, David/B-4169-2008; Nelson, Erik/J-4192-2019</t>
  </si>
  <si>
    <t>Nature Conservancy, Next10, US Geological Survey; National Science Foundation [ACI-1548562]</t>
  </si>
  <si>
    <t>Nature Conservancy, Next10, US Geological Survey; National Science Foundation(National Science Foundation (NSF))</t>
  </si>
  <si>
    <t>The authors thank Michelle Passero, Rebecca Ryals, Louis Blumberg, David Edelson, Joe Fargione, Adrian Frediani, Sasha Gennet, Kelly Gravuer, Rodd Kelsey, Ryan Luster, Scott Morrison, Ben Nicholson, Dan Porter, Klaus Scott, Gokce Sencan, Justin Breck, and Ed Smith. DCM, BMS, and DRC conceived of, designed, and carried out the study. EN and AJP designed and carried out the economic analysis. All authors contributed to writing the manuscript. DCM is a co-owner of the geospatial analytics and forest monitoring company, Salo Sciences, Inc., otherwise the authors declare that they have no competing interests. Funding was provided by The Nature Conservancy, Next10, US Geological Survey. This work used the Extreme Science and Engineering Discovery Environment (XSEDE), which is supported by the National Science Foundation (grant #ACI-1548562).</t>
  </si>
  <si>
    <t>NOV 3</t>
  </si>
  <si>
    <t>10.1038/s41598-023-43118-6</t>
  </si>
  <si>
    <t>Y1EH5</t>
  </si>
  <si>
    <t>WOS:001102763800004</t>
  </si>
  <si>
    <t>Iriarte, A; Almeida, MG; Villalobos, P</t>
  </si>
  <si>
    <t>Iriarte, Alfredo; Gabriela Almeida, Maria; Villalobos, Pablo</t>
  </si>
  <si>
    <t>Carbon footprint of premium quality export bananas: Case study in Ecuador, the world's largest exporter</t>
  </si>
  <si>
    <t>Supply chain; Tropical fruit; Overseas transport; Life cycle assessment; Greenhouse gas (GHG) emissions; PAS 2050</t>
  </si>
  <si>
    <t>Nowadays, the new international market demands challenge the food producing countries to include the measurement of the environmental impact generated along the production process for their products. In order to comply with the environmentally responsible market requests the measurement of the greenhouse gas emissions of Ecuadorian agricultural goods has been promoted employing the carbon footprint concept Ecuador is the largest exporter of bananas in the world. Within this context, this study is a first assessment of the carbon footprint of the Ecuadorian premium export banana (Musa AAA) using a considerable amount of field data. The system boundaries considered from agricultural production to delivery in a European destination port The data collected over three years permitted identifying the hot spot stages. For the calculation, the CCaLC V3.0 software developed by the University of Manchester is used. The carbon footprint of the Ecuadorian export banana ranged from 0.45 to 1.04 kg CO2-equivalent/kg banana depending on the international overseas transport employed. The principal contributors to the carbon footprint are the on farm production and overseas transport stages. Mitigation and reduction strategies were suggested for the main emission sources in order to achieve sustainable banana production. (C) 2013 Elsevier B.V. All rights reserved.</t>
  </si>
  <si>
    <t>[Iriarte, Alfredo] Univ Talca, Fac Engn, Dept Ind Management &amp; Modeling, Talca, Chile; [Gabriela Almeida, Maria; Villalobos, Pablo] Univ Talca, Fac Agr Sci, Dept Agr Econ, Talca, Chile</t>
  </si>
  <si>
    <t>Universidad de Talca; Universidad de Talca</t>
  </si>
  <si>
    <t>Iriarte, A (corresponding author), Univ Talca, Fac Engn, Dept Ind Management &amp; Modeling, Casilla 747, Talca, Chile.</t>
  </si>
  <si>
    <t>airiarte@utalca.cl; pvillal@utalca.cl</t>
  </si>
  <si>
    <t>Iriarte, Alfredo/C-1361-2008</t>
  </si>
  <si>
    <t>Iriarte, Alfredo/0000-0002-8281-829X</t>
  </si>
  <si>
    <t>10.1016/j.scitotenv.2013.11.072</t>
  </si>
  <si>
    <t>AB6RB</t>
  </si>
  <si>
    <t>WOS:000331916100117</t>
  </si>
  <si>
    <t>Xu, H; Demetriades, A; Reimann, C; Jimenez, JJ; Filser, J; Zhang, CS; Albanese, S; Andersson, M; Baritz, R; Batista, MJ; Bel-lan, A; Birke, M; Cicchella, D; De Vivo, B; De Vos, W; Dinelli, E; Duris, M; Dusza-Dobek, A; Eklund, M; Ernstsen, V; Filzmoser, P; Flem, B; Flight, DMA; Forrester, S; Fuchs, M; Fügedi, U; Gilucis, A; Gosar, M; Gregorauskiene, V; De Groot, W; Gulan, A; Halamic, J; Haslinger, E; Hayoz, P; Hoffmann, R; Hoogewerff, J; Hrvatovic, H; Husnjak, S; Janik, L; Jordan, G; Kirby, J; Klos, V; Krone, F; Kwecko, P; Kuti, L; Ladenberger, A; Lima, A; Locutura, J; Lucivjansky, P; Mann, A; Mackovych, D; McLaughlin, M; Malyuk, BI; Maquil, R; Matschullat, J; Meuli, RG; Mol, G; Négrel, P; O'Connor, P; Oorts, K; Pasieczna, A; Petersell, V; Pfleiderer, S; Ponavic, M; Prazeres, C; Rauch, U; Radusinovic, S; Sadeghi, M; Salpeteur, I; Scanlon, R; Schedl, A; Scheib, A; Schoeters, I; Sellersjö, E; Slaninka, I; Soriano-Disla, JM; Sorsa, A; Svrkota, R; Stafilov, T; Tarvainen, T; Trendavilov, V; Valera, P; Verougstraete, V; Vidojevi, D; Zissimos, A; Zomeni, Z</t>
  </si>
  <si>
    <t>Xu, Haofan; Demetriades, Alecos; Reimann, Clemens; Jimenez, Juan J.; Filser, Juliane; Zhang, Chaosheng; Albanese, S.; Andersson, M.; Baritz, R.; Batista, M. J.; Bel-lan, A.; Birke, M.; Cicchella, D.; De Vivo, B.; De Vos, W.; Dinelli, E.; Duris, M.; Dusza-Dobek, A.; Eklund, M.; Ernstsen, V; Filzmoser, P.; Flem, B.; Flight, D. M. A.; Forrester, S.; Fuchs, M.; Fugedi, U.; Gilucis, A.; Gosar, M.; Gregorauskiene, V; De Groot, W.; Gulan, A.; Halamic, J.; Haslinger, E.; Hayoz, P.; Hoffmann, R.; Hoogewerff, J.; Hrvatovic, H.; Husnjak, S.; Janik, L.; Jordan, G.; Kirby, J.; Klos, V; Krone, F.; Kwecko, P.; Kuti, L.; Ladenberger, A.; Lima, A.; Locutura, J.; Lucivjansky, P.; Mann, A.; Mackovych, D.; McLaughlin, M.; Malyuk, B., I; Maquil, R.; Matschullat, J.; Meuli, R. G.; Mol, G.; Negrel, P.; O'Connor, P.; Oorts, K.; Pasieczna, A.; Petersell, V; Pfleiderer, S.; Ponavic, M.; Prazeres, C.; Rauch, U.; Radusinovic, S.; Sadeghi, M.; Salpeteur, I; Scanlon, R.; Schedl, A.; Scheib, A.; Schoeters, I; Sellersjo, E.; Slaninka, I; Soriano-Disla, J. M.; Sorsa, A.; Svrkota, R.; Stafilov, T.; Tarvainen, T.; Trendavilov, V; Valera, P.; Verougstraete, V.; Vidojevi, D.; Zissimos, A.; Zomeni, Z.</t>
  </si>
  <si>
    <t>GEMAS Project Team</t>
  </si>
  <si>
    <t>Identification of the co-existence of low total organic carbon contents and low pH values in agricultural soil in north-central Europe using hot spot analysis based on GEMAS project data</t>
  </si>
  <si>
    <t>TOC; pH; Hot spot analysis; GEMAS; European agricultural soil</t>
  </si>
  <si>
    <t>SPATIAL-DISTRIBUTION; MATTER; CLIMATE; DECOMPOSITION; TEMPERATURE; MANAGEMENT; HOTSPOTS; ACIDIFICATION; GEOCHEMISTRY; SENSITIVITY</t>
  </si>
  <si>
    <t>Total organic carbon (TOC) contents in agricultural soil are presently receiving increased attention, not only because of their relationship to soil fertility, but also due to the sequestration of organic carbon in soil to reduce carbon dioxide emissions. In this research, the spatial patterns of TOC and its relationship with pH at the European scale were studied using hot spot analysis based on the agricultural soil results of the Geochemical Mapping of Agricultural Soil (GEMAS) project. The hot and cold spot maps revealed the overall spatial patterns showing a negative correlation between TOC contents and pH values in European agricultural soil. High TOC contents accompanying low pH values in the north-eastern part of Europe (e.g., Fennoscandia), and low TOC with high pH values in the southern part (e.g., Spain. Italy, Balkan countries). A special feature of co-existence of comparatively low TOC contents and low pH values in north-central Europe was also identified on hot and cold spot analysis maps. It has been found that these patterns are strongly related to the high concentration of SiO2 (quartz) in the coarse-textured glacial sediments in north-central Europe. The hot spot analysis was effective, therefore, in highlighting the spatial patterns of TOC in European agricultural soil and helpful to identify hidden patterns. (C) 2019 Elsevier B.V. All rights reserved.</t>
  </si>
  <si>
    <t>[Xu, Haofan; Zhang, Chaosheng] Natl Univ Ireland, Sch Geog &amp; Archaeol, INEH, Galway, Ireland; [Xu, Haofan; Zhang, Chaosheng] Natl Univ Ireland, Ryan Inst, Galway, Ireland; [Demetriades, Alecos] Inst Geol &amp; Mineral Explorat, Athens, Greece; [Reimann, Clemens] Geol Survey Norway, POB 6315, N-7491 Trondheim, Norway; [Jimenez, Juan J.] Natl Spanish Res Council, CSIC, Pyrenean Inst Ecol, IPE, Av Nuestra Senora Victoria 16, Jaca 22700, Huesca, Spain; [Filser, Juliane] Univ Bremen, UFT, Dept Gen &amp; Theoret Ecol, Leobener Str 6, D-28359 Bremen, Germany</t>
  </si>
  <si>
    <t>Ollscoil na Gaillimhe-University of Galway; Ollscoil na Gaillimhe-University of Galway; Geological Survey of Norway; Consejo Superior de Investigaciones Cientificas (CSIC); CSIC - Instituto Pirenaico de Ecologia (IPE); University of Bremen</t>
  </si>
  <si>
    <t>Zhang, CS (corresponding author), Natl Univ Ireland, Sch Geog &amp; Archaeol, INEH, Galway, Ireland.;Zhang, CS (corresponding author), Natl Univ Ireland, Ryan Inst, Galway, Ireland.</t>
  </si>
  <si>
    <t>H.XU2@nuigalway.ie; alecos.demetriades@gmail.com; clemens.reimann@ngu.no; jjimenez@ipe.csic.es; filser@uni-bremen.de; Chaosheng.Zhang@nuigalway.ie</t>
  </si>
  <si>
    <t>Pjanić, Ajka/AAE-8049-2019; Valera, Paolo/E-5082-2010; Ladenberger, Anna/AAF-9748-2019; Negrel, Philippe/AAB-9593-2019; Cicchella, Domenico/A-2977-2012; Hoogewerff, Jurian/AAA-8281-2020; Filzmoser, Peter/A-7737-2015; McLaughlin, Michael/N-5888-2017; dinelli, enrico/G-6532-2012; Xu, Haofan/AAG-1736-2021; Stafilov, Trajce/AAK-2378-2021; Filser, Juliane/C-5810-2014; Matschullat, Jörg/HKV-6370-2023; Flem, Belinda/HOF-7346-2023; Hrvatović, Hazim/AAN-8089-2021; Jiménez, Juan/B-9058-2013; Forrester, Sarah/ABB-4303-2020; DISLA, JOSE/S-2448-2016; Gosar, Mateja/F-3005-2013; Prazeres, Cátia/AHC-4973-2022</t>
  </si>
  <si>
    <t>Pjanić, Ajka/0000-0001-7781-8247; Scanlon, Ray/0009-0008-7495-8162; Pasieczna, Anna/0000-0003-4248-232X; Negrel, Philippe/0000-0001-7676-3782; Xu, Haofan/0000-0003-3409-0123; Cicchella, Domenico/0000-0001-8001-3896; Stafilov, Trajce/0000-0002-9017-6768; Filser, Juliane/0000-0003-1535-6168; Jiménez, Juan/0000-0003-2398-0796; Zhang, Chaosheng/0000-0002-7913-4858;</t>
  </si>
  <si>
    <t>Eurometaux; Cobalt Development Institute (CDI); European Copper Institute; Nickel Institute, Europe; European Precious Metals Federation; International Antimony Association; International Manganese Institute; International Molybdenum Association; ITRI Ltd. (on behalf of the REACHTinMetal Consortium); International Zinc Association; International Lead Association-Europe; European Borates Association; (REACH) VanadiumConsortium; (REACH) Selenium and Tellurium Consortium; EuroGeoSurveys</t>
  </si>
  <si>
    <t>Sampling was carried out by the participating organisations in their own country. The analytical work was co-financed by the following organisations: Eurometaux, Cobalt Development Institute (CDI), European Copper Institute, Nickel Institute, Europe, European Precious Metals Federation, International Antimony Association, International Manganese Institute, International Molybdenum Association, ITRI Ltd. (on behalf of the REACHTinMetal Consortium), International Zinc Association, International Lead Association-Europe, European Borates Association, the (REACH) VanadiumConsortiumand the (REACH) Selenium and Tellurium Consortium. The GEMAS project was managed by the Geological Survey of Norway with financial support from EuroGeoSurveys. Finally, the Directors of the European Geological Surveys, and the additional participating organisations, are thanked for making the sampling of almost all of Europe in a tight time schedule possible.</t>
  </si>
  <si>
    <t>10.1016/j.scitotenv.2019.04.382</t>
  </si>
  <si>
    <t>HZ1PK</t>
  </si>
  <si>
    <t>WOS:000468618900011</t>
  </si>
  <si>
    <t>Daum, T; Seidel, A; Awoke, BG; Birner, R</t>
  </si>
  <si>
    <t>Daum, Thomas; Seidel, Anna; Awoke, Bisrat G.; Birner, Regina</t>
  </si>
  <si>
    <t>Animal traction, two-wheel tractors, or four-wheel tractors? A best-fit approach to guide farm mechanization in Africa</t>
  </si>
  <si>
    <t>EXPERIMENTAL AGRICULTURE</t>
  </si>
  <si>
    <t>Agricultural mechanization; Animal traction; Draught animals; Farm mechanization; Four-wheel tractors; Two-wheel tractors</t>
  </si>
  <si>
    <t>SUB-SAHARAN AFRICA; AGRICULTURAL MECHANIZATION; PRODUCTION SYSTEMS; RURAL-AREAS; LABOR; DIVERSITY; PROSPECTS</t>
  </si>
  <si>
    <t>Farm mechanization promises to help raise labor productivity and reduce the heavy toil of farming on the world's millions of smallholder farms, hence contributing to socioeconomic development in the Global South, in particular in Africa. While mechanization is therefore high on the African development agenda, there are heavy - at times dogmatic - debates on which technological pathway toward farm mechanization - animal traction, two-wheel tractors, and four-wheel tractors - should be supported by African governments and development partners. One discussion area relates to the future of animal traction. Proponents see a continued scope for the use of draught animals, whereas opponents see animal traction as old-fashioned and see a potential to leapfrog this mechanization stage. There are also debates on the potential of two-wheel tractors, with proponents arguing that such walk-behind tractors are more affordable and suitable for smallholder farmers, and opponents believing that such tractors lack efficiency and power and still come with a high drudgery. This paper argues that there are no blueprint answers on which technological pathway is 'best' but only answers on which one 'best fits' the respective conditions. Based on this premise, this paper introduces a 'best-fit' framework that allows for assessing the comparative advantages and disadvantages of the three technological pathways in different agroecological and socioeconomic conditions. The results suggest that all three forms of mechanization are associated with areas where they 'best fit'. All three farm mechanization pathways hinge on public policies and investments to create an enabling environment for private markets, as, ultimately, innovation processes should be market driven. The 'best-fit' framework enables governments and development partners to focus efforts to support farm mechanization on solutions that 'best fit' their country's farming systems and not on those that are politically most attractive, thereby contributing to sustainable agricultural mechanization and development.</t>
  </si>
  <si>
    <t>[Daum, Thomas; Seidel, Anna; Awoke, Bisrat G.; Birner, Regina] Univ Hohenheim, Hans Ruthenberg Inst Agr Sci Trop, Dept Social &amp; Inst Change Agr Dev, Stuttgart, Germany</t>
  </si>
  <si>
    <t>Daum, T (corresponding author), Univ Hohenheim, Hans Ruthenberg Inst Agr Sci Trop, Dept Social &amp; Inst Change Agr Dev, Stuttgart, Germany.</t>
  </si>
  <si>
    <t>AWOKE, BISRAT/KGK-7449-2024</t>
  </si>
  <si>
    <t>Awoke, Bisrat Getnet/0000-0002-2777-3041; Daum, Thomas/0000-0001-7575-1763</t>
  </si>
  <si>
    <t>CAMBRIDGE UNIV PRESS</t>
  </si>
  <si>
    <t>EDINBURGH BLDG, SHAFTESBURY RD, CB2 8RU CAMBRIDGE, ENGLAND</t>
  </si>
  <si>
    <t>0014-4797</t>
  </si>
  <si>
    <t>1469-4441</t>
  </si>
  <si>
    <t>EXP AGR</t>
  </si>
  <si>
    <t>Exp. Agric.</t>
  </si>
  <si>
    <t>JUL 26</t>
  </si>
  <si>
    <t>e12</t>
  </si>
  <si>
    <t>10.1017/S0014479723000091</t>
  </si>
  <si>
    <t>M9OV9</t>
  </si>
  <si>
    <t>WOS:001033443800001</t>
  </si>
  <si>
    <t>Houghton, RA; Castanho, A</t>
  </si>
  <si>
    <t>Houghton, Richard A.; Castanho, Andrea</t>
  </si>
  <si>
    <t>Annual emissions of carbon from land use, land-use change, and forestry from 1850 to 2020</t>
  </si>
  <si>
    <t>EARTH SYSTEM SCIENCE DATA</t>
  </si>
  <si>
    <t>Article; Data Paper</t>
  </si>
  <si>
    <t>SOIL CARBON; COVER CHANGE; CO2 EMISSIONS; DEFORESTATION; CULTIVATION; FLUX; SEQUESTRATION; AGRICULTURE; REMOVALS; DRIVERS</t>
  </si>
  <si>
    <t>Estimates of the annual emissions of carbon from land use, land-use change, and forestry (LULUCF) are important for constructing global, regional, and national carbon budgets, which in turn help predict future rates of climate change and define potential strategies for mitigation. Here, we update a long-term (1850-2020) series of annual national carbon emissions resulting from LULUCF (https://doi.org/10.7910/DVN/U7GHRH, Houghton and Castanho, 2023), based largely, after 1960, on statistics of land use from the Food and Agriculture Organization (FAO) of the United Nations (http://www.fao.org/faostat/en/#data/, FAO, 2021). Those data suggest that rates of deforestation in the tropics (and thus net emissions of carbon) have decreased over the last 10 years (2011-2020). The data also indicate that the net loss of tropical forest area was greater than the net gain in agricultural lands, and we explore four alternative explanations for this apparent forest conversion, one of which is shifting cultivation. We also discuss how opposing trends in recent estimates of tropical deforestation (and emissions) might be reconciled. The calculated emissions of carbon attributable to LULUCF approximate the anthropogenic component of terrestrial carbon emissions, but limiting national carbon accounting to the anthropogenic component may also limit the potential for managing carbon on land.</t>
  </si>
  <si>
    <t>[Houghton, Richard A.; Castanho, Andrea] Woodwell Climate Res Ctr, 149 Woods Hole Rd, Falmouth, MA 02540 USA</t>
  </si>
  <si>
    <t>Houghton, RA (corresponding author), Woodwell Climate Res Ctr, 149 Woods Hole Rd, Falmouth, MA 02540 USA.</t>
  </si>
  <si>
    <t>rhoughton@woodwellclimate.org</t>
  </si>
  <si>
    <t>; Houghton, Richard/ACH-1708-2022</t>
  </si>
  <si>
    <t>Castanho, Anea/0000-0002-0756-3952;</t>
  </si>
  <si>
    <t>Fund for Climate Solutions through the Woodwell Climate Research Center</t>
  </si>
  <si>
    <t>Funding was provided by the Fund for Climate Solutions through the Woodwell Climate Research Center.</t>
  </si>
  <si>
    <t>1866-3508</t>
  </si>
  <si>
    <t>1866-3516</t>
  </si>
  <si>
    <t>EARTH SYST SCI DATA</t>
  </si>
  <si>
    <t>Earth Syst. Sci. Data</t>
  </si>
  <si>
    <t>MAY 23</t>
  </si>
  <si>
    <t>10.5194/essd-15-2025-2023</t>
  </si>
  <si>
    <t>Geosciences, Multidisciplinary; Meteorology &amp; Atmospheric Sciences</t>
  </si>
  <si>
    <t>Geology; Meteorology &amp; Atmospheric Sciences</t>
  </si>
  <si>
    <t>H1OW3</t>
  </si>
  <si>
    <t>WOS:000993735100001</t>
  </si>
  <si>
    <t>Xie, LY; Xue, Q; Yuan, ZJ</t>
  </si>
  <si>
    <t>Xie, Luyue; Xue, Qian; Yuan, Zaijian</t>
  </si>
  <si>
    <t>Composition and spatial difference of agro-industry carbon footprint in Hebei province, North China</t>
  </si>
  <si>
    <t>Input-output table; Agro-industry; Carbon footprint; Spatial difference; Influence coefficient</t>
  </si>
  <si>
    <t>GREENHOUSE-GAS EMISSIONS; AGRICULTURAL PRODUCTS; SYSTEMS</t>
  </si>
  <si>
    <t>To learn the regional carbon footprint of agro-ecosystem from the perspective of industrialization can help to clarify the responsibility of energy saving and carbon emission reduction in various industrial sectors. Using the input-output table of Hebei province in 2012, this study discussed the structure of the regional agro-industry carbon footprint (ACF) and its spatial difference, taking the prefecture level city as the basic spatial unit. The results indicated that the ACF was approximately 1.05 x 10(8) tons in 2012, which accounted for 6.7% of the total carbon footprint in Hebei. In all agro-industries, the fertilizer manufacturing industry produced the largest proportion ACF, which accounted for 23.7% of the total ACF. The gross domestic products (GDPs) of wood products, papermaking industry and agricultural food processing industry were relatively low, but their ACFs were large. The influence and induction of the fertilizer and pesticide manufacturing industries to other agro-industries were strong. The ACFs of wood, bamboo, rattan, palm and grass products manufacturing; paper and paper products manufacturing; fertilizer manufacturing; pesticide manufacturing; and agriculture, forestry, animal husbandry, and fishery special machinery manufacturing industries had significant spatial difference at the prefecture-level city spatial scale. The results from this study will be helpful for the adjustment of agro-industrial structure to develop low-carbon and energy-saving and emission-reduction agriculture in Hebei.</t>
  </si>
  <si>
    <t>[Xie, Luyue] Chinese Acad Sci, Acad Math &amp; Syst Sci, Beijing 100190, Peoples R China; [Xie, Luyue] Univ Chinese Acad Sci, Sch Econ &amp; Management, Beijing 100190, Peoples R China; [Xue, Qian] Hebei Univ Sci &amp; Technol, Shijiazhuang 050018, Hebei, Peoples R China; [Yuan, Zaijian] Guangdong Inst Ecoenvironm Sci &amp; Technol, Guangdong Key Lab Integrated Agroenvironm Pollut, Guangzhou 510650, Guangdong, Peoples R China</t>
  </si>
  <si>
    <t>Chinese Academy of Sciences; Academy of Mathematics &amp; System Sciences, CAS; Chinese Academy of Sciences; University of Chinese Academy of Sciences, CAS; Hebei University of Science &amp; Technology; Guangdong Academy of Sciences; Institute of Eco-environmental &amp; Soil Sciences, Guangdong Academy of Sciences</t>
  </si>
  <si>
    <t>Yuan, ZJ (corresponding author), Guangdong Inst Ecoenvironm Sci &amp; Technol, Guangdong Key Lab Integrated Agroenvironm Pollut, Guangzhou 510650, Guangdong, Peoples R China.</t>
  </si>
  <si>
    <t>zjyuan@soil.gd.cn</t>
  </si>
  <si>
    <t>Natural Science Foundation of China [40901130]; High-level Leading Talent Introduction Program of GDAS [2016GDASRC-0103]; Innovation-driven Development Capability Construction Program of GDAS [2017GDASCX-0106]; Science and Technology Planning Project of Guangdong Province [2017A070702015, 2017B030314092]</t>
  </si>
  <si>
    <t>Natural Science Foundation of China(National Natural Science Foundation of China (NSFC)); High-level Leading Talent Introduction Program of GDAS; Innovation-driven Development Capability Construction Program of GDAS; Science and Technology Planning Project of Guangdong Province</t>
  </si>
  <si>
    <t>This paper was supported by the Natural Science Foundation of China (40901130), the High-level Leading Talent Introduction Program of GDAS (2016GDASRC-0103), the Innovation-driven Development Capability Construction Program of GDAS (2017GDASCX-0106), the Science and Technology Planning Project of Guangdong Province (2017A070702015, 2017B030314092). We are also grateful to the reviewers and editors.</t>
  </si>
  <si>
    <t>10.1016/j.ecolind.2018.10.002</t>
  </si>
  <si>
    <t>HT9LN</t>
  </si>
  <si>
    <t>WOS:000464891000016</t>
  </si>
  <si>
    <t>Shi, Y; Zhao, PF; Gu, ZZ; Li, Y</t>
  </si>
  <si>
    <t>Shi, Yan; Zhao, Pengfei; Gu, Zhengzhao; Li, Ye</t>
  </si>
  <si>
    <t>Synergistic research on planter performance optimization and green low-carbon agricultural transformation under climate risk</t>
  </si>
  <si>
    <t>climate resilience; precision agriculture; low-carbon farming; planter optimization; sustainability</t>
  </si>
  <si>
    <t>Introduction Addressing the dual challenges of climate change and sustainable food production, this study proposed an integrated framework that combined planter performance optimization with green, low-carbon agricultural transformation. While traditional planting strategies focused on parameters like seed depth, speed, and spacing, they often neglected environmental sustainability and adaptability to climate variability.Methods To bridge this gap, we introduced the Adaptive Precision Planter Optimization Model (APPOM), which leveraged real-time environmental sensing, machine learning, and multi-objective optimization to dynamically adjust key planting parameters. Our approach also incorporated green technologies, including electric-powered planters and carbon-sequestration soil practices, to reduce the ecological footprint of agricultural operations.Results Experimental results validated that APPOM significantly improved planting accuracy, enhanced resource efficiency, and reduced carbon emissions across diverse soil and climate conditions. Furthermore, we presented the Real-Time Adaptive Planter Optimization (RAPO) strategy, which enabled context-aware decision-making and continuous optimization under field variability.Discussion The findings underscored the potential of intelligent, eco-friendly planting systems to foster climate-resilient agriculture. However, challenges such as cost barriers and deployment scalability remained. Future research should aim to enhance affordability and accessibility, particularly for smallholder farmers, and expand the framework to a broader range of crops and regions.</t>
  </si>
  <si>
    <t>[Shi, Yan; Zhao, Pengfei; Gu, Zhengzhao; Li, Ye] Taiyuan Inst Technol, Dept Mech Engn, Taiyuan, Peoples R China</t>
  </si>
  <si>
    <t>Taiyuan Institute of Technology</t>
  </si>
  <si>
    <t>Shi, Y (corresponding author), Taiyuan Inst Technol, Dept Mech Engn, Taiyuan, Peoples R China.</t>
  </si>
  <si>
    <t>shiyan24s@sina.com</t>
  </si>
  <si>
    <t>Gu, Zhengzhao/GYG-0956-2022</t>
  </si>
  <si>
    <t>10.3389/fenvs.2025.1561655</t>
  </si>
  <si>
    <t>4LX2T</t>
  </si>
  <si>
    <t>WOS:001521138100001</t>
  </si>
  <si>
    <t>Alam, MA; Huang, J; Daba, NA; Han, TF; Shen, Z; Li, JW; Tadesse, KA; Liu, LS; Ntagisanimana, G; Hayatu, NG; Matelele, LA; Zhang, HM</t>
  </si>
  <si>
    <t>Alam, Md Ashraful; Huang, Jing; Daba, Nano Alemu; Han, Tianfu; Shen, Zhe; Li, Jiwen; Tadesse, Kiya Adare; Liu, Lisheng; Ntagisanimana, Gilbert; Hayatu, Nafiu Garba; Matelele, Lehlogonolo Abner; Zhang, Huimin</t>
  </si>
  <si>
    <t>Long-term substitution of synthetic fertilizer by cattle manure: Effects on carbon footprint, carbon sequestration, and yield in a double rice system</t>
  </si>
  <si>
    <t>ENVIRONMENTAL TECHNOLOGY &amp; INNOVATION</t>
  </si>
  <si>
    <t>Greenhouse gas emission; Fertilization; Soil enzymes; Carbon footprint; Carbon sequestration rate; Sustainable yield index</t>
  </si>
  <si>
    <t>GREENHOUSE-GAS EMISSIONS; METHANE PRODUCTION; CROPPING SYSTEM; ORGANIC-MATTER; MANAGEMENT; N2O; GRAIN; MINERALIZATION; PROFITABILITY; PRODUCTIVITY</t>
  </si>
  <si>
    <t>The greenhouse gas (GHG) flux from rice crops under inorganic or organic fertilization has accumulated considerable interest due to ongoing agricultural intensification. However, impacts of substituting inorganic fertilizer with cattle manure or combining both on net greenhouse gas emissions (NGHGE), carbon footprint (CF), carbon sequestration, soil enzymes and sustainable grain yield in paddy soils are poorly understood. Treatments were CK (no fertilizers), NPK (synthetic fertilizers), M (full substitution of synthetic fertilizers by cattle manure), and NPKM (combined synthetic fertilizers with cattle manure). Results showed that M increased yield by 25.64 % in early rice and 27.24 % in late rice. The enzymatic activity like Acid phosphatase (AP), and beta-1, 4-N-acetylglucosaminidase (NAG) increased in NPKM fertilization compared to M treatment. Carbon storage varied from 31.41 % to 62.38 % under M and NPKM. The contribution of NPK, M and NPKM fertilization for annual carbon sequestration rate was 20.62 %; 26.80 % and 40.21 % compared to CK, respectively. CH4 emissions increased by 49.09 %, 13.61 %, and 8.96 % in early rice under MPKM, M, and NPK, respectively, while N2O emissions increased by 68.45 %, 31.90 %, and 19.83 % under the same treatments. For early rice, a strong positive association between NGHGE and methane (CH4) emissions. In late rice, AK and soil pH were correlated negatively with GWP, rice yield, C, N, P cycling enzymes, N2O, and CH4 emission, SYI, and CF. In summary, grain yield could promote while reducing carbon footprint by NPKM fertilizer with proper field management in rice season, where such cultivation is not yet practiced.</t>
  </si>
  <si>
    <t>[Alam, Md Ashraful; Huang, Jing; Daba, Nano Alemu; Han, Tianfu; Shen, Zhe; Li, Jiwen; Tadesse, Kiya Adare; Liu, Lisheng; Ntagisanimana, Gilbert; Hayatu, Nafiu Garba; Matelele, Lehlogonolo Abner; Zhang, Huimin] Chinese Acad Agr Sci, Inst Agr Resources &amp; Reg Planning, State Key Lab Efficient Utilizat Arid &amp; Semiarid A, Beijing 100081, Peoples R China; [Huang, Jing; Liu, Lisheng; Zhang, Huimin] Chinese Acad Agr Sci, Inst Agr Resources &amp; Reg Planning, Natl Observat Stn Qiyang Agriecol Syst, Qiyang 426182, Hunan, Peoples R China; [Alam, Md Ashraful] Bangladesh Sugarcrop Res Inst, Ishurdi 6620, Pabna, Bangladesh; [Han, Tianfu] Zhengzhou Univ, Sch Agr Sci, Zhengzhou 450001, Peoples R China; [Hayatu, Nafiu Garba] Usmanu Danfodiyo Univ, Fac Agr, Dept Soil Sci &amp; Land Resources Management, Sokoto 2346, Nigeria; [Daba, Nano Alemu; Tadesse, Kiya Adare] Haramaya Univ, Coll Agr &amp; Environm Sci, Sch Plant Sci, POB 138, Dire Dawa, Ethiopia</t>
  </si>
  <si>
    <t>Chinese Academy of Agricultural Sciences; Institute of Agricultural Resources &amp; Regional Planning, CAAS; Chinese Academy of Agricultural Sciences; Institute of Agricultural Resources &amp; Regional Planning, CAAS; Bangladesh Sugarcane Research Institute (BSRI); Zhengzhou University; Haramaya University</t>
  </si>
  <si>
    <t>Zhang, HM (corresponding author), Chinese Acad Agr Sci, Inst Agr Resources &amp; Reg Planning, State Key Lab Efficient Utilizat Arid &amp; Semiarid A, Beijing 100081, Peoples R China.</t>
  </si>
  <si>
    <t>zhanghuimin@caas.cn</t>
  </si>
  <si>
    <t>; 天富, 韩/ABB-6633-2021; Matelele, Lehlogonolo/GNP-0302-2022; Alam, Dr. Md. Ashraful/S-1950-2017; Hayatu, Nafiu Garba/GSM-7149-2022</t>
  </si>
  <si>
    <t>MATELELE, LEHLOGONOLO ABNER/0000-0001-8953-2561;</t>
  </si>
  <si>
    <t>National Natural Science Foundation of China [42477364, 42207398]; National Key Research and Development Program of China [2024YFD1900101]; Scientific and Technological Innovation Project of the Chinese Academy of Agricultural Sciences [CAASZDRW202408]; Open project of State Key Laboratory of Efficient Utilization of Arable Land in China; Institute of Agricultural Resources and Regional Planning, Chinese Academy of Agricultural Sciences [EUAL-2024-09]</t>
  </si>
  <si>
    <t>National Natural Science Foundation of China(National Natural Science Foundation of China (NSFC)); National Key Research and Development Program of China(National Key Research &amp; Development Program of China); Scientific and Technological Innovation Project of the Chinese Academy of Agricultural Sciences; Open project of State Key Laboratory of Efficient Utilization of Arable Land in China; Institute of Agricultural Resources and Regional Planning, Chinese Academy of Agricultural Sciences</t>
  </si>
  <si>
    <t>The authors of this work acknowledged all the funding sources: This research was financially supported by the National Natural Science Foundation of China (42477364, 42207398) , the National Key Research and Development Program of China (2024YFD1900101) , the Scientific and Technological Innovation Project of the Chinese Academy of Agricultural Sciences (CAASZDRW202408) .,The open project of State Key Laboratory of Efficient Utilization of Arable Land in China, the Institute of Agricultural Resources and Regional Planning, Chinese Academy of Agricultural Sciences (EUAL-2024-09)</t>
  </si>
  <si>
    <t>2352-1864</t>
  </si>
  <si>
    <t>ENVIRON TECHNOL INNO</t>
  </si>
  <si>
    <t>Environ. Technol. Innov.</t>
  </si>
  <si>
    <t>10.1016/j.eti.2025.104173</t>
  </si>
  <si>
    <t>Biotechnology &amp; Applied Microbiology; Engineering, Environmental; Environmental Sciences</t>
  </si>
  <si>
    <t>Biotechnology &amp; Applied Microbiology; Engineering; Environmental Sciences &amp; Ecology</t>
  </si>
  <si>
    <t>1UX0L</t>
  </si>
  <si>
    <t>WOS:001474229800001</t>
  </si>
  <si>
    <t>Baldassini, P; Baethgen, W; Sans, GC; Quincke, A; Pravia, VM; Terra, J; Macedo, I; Pineiro, G; Paruelo, J</t>
  </si>
  <si>
    <t>Baldassini, Pablo; Baethgen, Walter; Camba Sans, Gonzalo; Quincke, Andres; Pravia, Virginia M.; Terra, Jose; Macedo, Ignacio; Pineiro, Gervasio; Paruelo, Jose</t>
  </si>
  <si>
    <t>Carbon stocks and potential sequestration of Uruguayan soils: a road map to a comprehensive characterization of temporal and spatial changes to assess carbon footprint</t>
  </si>
  <si>
    <t>carbon sequestration; remote sensing; soil organic carbon; DayCent; ecosystem services; agricultural emissions</t>
  </si>
  <si>
    <t>ORGANIC-CARBON; CLIMATE-CHANGE; ECOSYSTEM SERVICES; SATURATION; IMPACTS; MATTER; DYNAMICS; DEFORESTATION; PRODUCTIVITY; PROTECTION</t>
  </si>
  <si>
    <t>Carbon net emission is a critical aspect of the environmental footprint in agricultural systems. However, the alternatives to describe soil organic carbon (SOC) changes associated with different agricultural management practices/land uses are limited. Here we provide an overview of carbon (C) stocks of non-forested areas of Uruguay to estimate SOC changes for different soil units affected by accumulated effects of crop and livestock production systems in the last decades. For this, we defined levels based on SOC losses relative to the original (reference) SOC stocks: 25% or less, between 25% and 50%, and 50% or more. We characterized the reference SOC stocks using three approaches: (1) an equation to derive the potential SOC capacity based on the clay and fine silt soil content, (2) the DayCent model to estimate the SOC stocks based on climate, soil texture and C inputs from the natural grasslands of the area, (3) an estimate of SOC using a proxy derived from remote sensing data (i.e., the Ecosystem Services Supply Index) that accounts for differences in C inputs. Depending on the used reference SOC, the soil units had different distributions of SOC losses within the zones defined by the thresholds. As expected, the magnitude of SOC changes observed for the different soil units was related to the relative frequency of annual crops, however, the high variability observed along the gradient of land uses suggests a wide space for increasing SOC with agricultural management practices. The assessment of the C stock preserved (CSP) belowground and the potential for increasing C accumulation or sequestration (CAP) are critical components of the C footprint of a given system. Thus, we propose a methodological road map to derive indicators of CSP and CAP at the farm level combining both, biogeochemical simulation models and conceptual models based on remote sensing data. We recognize at least three critical issues that require scientific and political consensus to implement the use of this propose: (1) how to define reference C stocks, (2) how to estimate current C stocks over large areas and in heterogeneous agricultural landscapes, and (3) what is a reasonable/acceptable threshold of C stocks reduction.</t>
  </si>
  <si>
    <t>[Baldassini, Pablo; Quincke, Andres; Paruelo, Jose] INIA La Estanzuela, Inst Nacl Invest Agr, Colonia, Uruguay; [Baldassini, Pablo; Camba Sans, Gonzalo; Paruelo, Jose] Univ Buenos Aires, Fac Agron, Dept Metodos Cuantitat &amp; Sistemas Informac, Buenos Aires, Argentina; [Baldassini, Pablo; Camba Sans, Gonzalo; Pineiro, Gervasio; Paruelo, Jose] Univ Buenos Aires, LART IFEVA, CONICET, Buenos Aires, Argentina; [Baethgen, Walter] Columbia Univ, Int Res Inst Climate &amp; Soc IRI, Palisades, NY USA; [Pravia, Virginia M.; Terra, Jose; Macedo, Ignacio] INIA Treinta &amp; Tres, Inst Nacl Invest Agr, Treinta y Tres, Uruguay; [Pineiro, Gervasio] Univ Buenos Aires, Fac Agron, Catedra Ecol, Buenos Aires, Argentina; [Pineiro, Gervasio] Univ Republica, Fac Agron, Dept Sistemas Ambientales, Montevideo, Uruguay; [Paruelo, Jose] IECA, Fac Ciencias, UdelaR, Montevideo, Uruguay</t>
  </si>
  <si>
    <t>Instituto Nacional de Investigacion Agropecuaria Uruguay (INIA); University of Buenos Aires; Consejo Nacional de Investigaciones Cientificas y Tecnicas (CONICET); University of Buenos Aires; Columbia University; Instituto Nacional de Investigacion Agropecuaria Uruguay (INIA); University of Buenos Aires; Universidad de la Republica, Uruguay; Universidad de la Republica, Uruguay</t>
  </si>
  <si>
    <t>Baldassini, P (corresponding author), INIA La Estanzuela, Inst Nacl Invest Agr, Colonia, Uruguay.;Baldassini, P (corresponding author), Univ Buenos Aires, Fac Agron, Dept Metodos Cuantitat &amp; Sistemas Informac, Buenos Aires, Argentina.;Baldassini, P (corresponding author), Univ Buenos Aires, LART IFEVA, CONICET, Buenos Aires, Argentina.</t>
  </si>
  <si>
    <t>pbaldass@agro.uba.ar</t>
  </si>
  <si>
    <t>; Macedo, Ignacio/KVH-6803-2024; Baethgen, Walter/B-6610-2009; Piñeiro, Gervasio/D-2743-2009; Baethgen, Walter/M-8084-2016</t>
  </si>
  <si>
    <t>Pravia Nin, Maria Virginia/0000-0003-3255-3999; Camba Sans, Gonzalo Hernán/0000-0003-1251-1433; Terra, José/0000-0003-0713-9788; Baldassini, Pablo/0000-0002-9741-604X; Baethgen, Walter/0000-0003-2052-2052</t>
  </si>
  <si>
    <t>[ANII-CONICETIA_2021_4_04]</t>
  </si>
  <si>
    <t>Funding This research was supported by agrant from ANII-CONICETIA_2021_4_04.</t>
  </si>
  <si>
    <t>JUL 20</t>
  </si>
  <si>
    <t>10.3389/fsufs.2023.1045734</t>
  </si>
  <si>
    <t>N8WG0</t>
  </si>
  <si>
    <t>WOS:001039744500001</t>
  </si>
  <si>
    <t>Godde, CM; Thorburn, PJ; Biggs, JS; Meier, EA</t>
  </si>
  <si>
    <t>Godde, Cecile M.; Thorburn, Peter J.; Biggs, Jody S.; Meier, Elizabeth A.</t>
  </si>
  <si>
    <t>Understanding the Impacts of Soil, Climate, and Farming Practices on Soil Organic Carbon Sequestration: A Simulation Study in Australia</t>
  </si>
  <si>
    <t>FRONTIERS IN PLANT SCIENCE</t>
  </si>
  <si>
    <t>agricultural practices; APSIM model; climate; conservation practices; crop management; greenhouse gases; nitrous oxide emissions; soil organic matter</t>
  </si>
  <si>
    <t>RED-BROWN EARTH; AGRICULTURAL MANAGEMENT-PRACTICES; STUBBLE MANAGEMENT; NO-TILLAGE; CHEMICAL-PROPERTIES; SYSTEMS SIMULATION; MICROBIAL BIOMASS; CROPPING SYSTEMS; C SEQUESTRATION; MATTER POOLS</t>
  </si>
  <si>
    <t>Carbon sequestration in agricultural soils has the capacity to mitigate greenhouse gas emissions, as well as to improve soil biological, physical, and chemical properties. The review of literature pertaining to soil organic carbon (SOC) dynamics within Australian grain farming systems does not enable us to conclude on the best farming practices to increase or maintain SOC for a specific combination of soil and climate. This study aimed to further explore the complex interactions of soil, climate, and farming practices on SOC. We undertook a modeling study with the Agricultural Production Systems slMulator modeling framework, by combining contrasting Australian soils, climates, and farming practices (crop rotations, and management within rotations, such as fertilization, tillage, and residue management) in a factorial design. This design resulted in the transposition of contrasting soils and climates in our simulations, giving soil climate combinations that do not occur in the study area to help provide insights into the importance of the climate constraints on SOC. We statistically analyzed the model's outputs to determinate the relative contributions of soil parameters, climate, and farming practices on SOC. The initial SOC content had the largest impact on the value of SOC, followed by the climate and the fertilization practices. These factors explained 66, 18, and 15% of SOC variations, respectively, after 80 years of constant farming practices in the simulation. Tillage and stubble management had the lowest impacts on SOC. This study highlighted the possible negative impact on SOC of a chickpea phase in a wheat chickpea rotation and the potential positive impact of a cover crop in a subtropical climate (OLD. Australia) on SOC. It also showed the complexities in managing to achieve increased SOC, while simultaneously aiming to minimize nitrous oxide (N2O) emissions and nitrate leaching in farming systems. The transposition of contrasting soils and climates in our simulations revealed the importance of the climate constraints on SOC.</t>
  </si>
  <si>
    <t>[Godde, Cecile M.; Thorburn, Peter J.; Biggs, Jody S.; Meier, Elizabeth A.] CSIRO, Agr Flagship, St Lucia, Qld, Australia</t>
  </si>
  <si>
    <t>Commonwealth Scientific &amp; Industrial Research Organisation (CSIRO)</t>
  </si>
  <si>
    <t>Godde, CM (corresponding author), CSIRO, Agr Flagship, St Lucia, Qld, Australia.</t>
  </si>
  <si>
    <t>cecile.godde@csiro.au</t>
  </si>
  <si>
    <t>Biggs, Jody/J-2443-2013; Godde, Cécile/C-2999-2015; Thorburn, Peter/A-6884-2011; Meier, Elizabeth/H-8674-2015</t>
  </si>
  <si>
    <t>Godde, Cécile/0000-0002-7165-3012; Biggs, Jody/0000-0001-6205-7430; Meier, Elizabeth/0000-0003-2394-8120</t>
  </si>
  <si>
    <t>Australian Government Department of Agriculture; Water Resources as part of its Carbon Farming Futures Filling the Research Gap program</t>
  </si>
  <si>
    <t>Australian Government Department of Agriculture(Australian Government); Water Resources as part of its Carbon Farming Futures Filling the Research Gap program</t>
  </si>
  <si>
    <t>The study was conducted with support from the Australian Government Department of Agriculture and Water Resources as part of its Carbon Farming Futures Filling the Research Gap program.</t>
  </si>
  <si>
    <t>1664-462X</t>
  </si>
  <si>
    <t>FRONT PLANT SCI</t>
  </si>
  <si>
    <t>Front. Plant Sci.</t>
  </si>
  <si>
    <t>10.3389/fpls.2016.00661</t>
  </si>
  <si>
    <t>Plant Sciences</t>
  </si>
  <si>
    <t>DL9PZ</t>
  </si>
  <si>
    <t>WOS:000375976500001</t>
  </si>
  <si>
    <t>Sun, MX; Wan, Y; Wang, S; Liang, J; Hu, H; Cheng, L</t>
  </si>
  <si>
    <t>Sun, Manxi; Wan, Yuan; Wang, Shuang; Liang, Jian; Hu, Hong; Cheng, Li</t>
  </si>
  <si>
    <t>Analysis of the Impact of Agricultural Mechanization on the Economic Efficiency of Maize Production</t>
  </si>
  <si>
    <t>agricultural mechanization; southwest hilly area; grey correlation method; ridge regression</t>
  </si>
  <si>
    <t>Against the background of comprehensively promoting the rural revitalization strategy, the replacement of agricultural labor by agricultural machinery in the hilly area of southwest China has become an indispensable input in the maize production process. Based on the national statistics from 2016 to 2022, the changes of maize planting area, yield, production costs and mechanization level in the southwest hilly area were analyzed through multiple regression. The grey correlation method was used to analyze the influence of production costs and mechanization level of maize planting on its economic efficiency, and the relationship between comprehensive mechanization rate and cost profit margin was predicted by the ridge regression model. The results show that (1) In addition to the planting area, the maize yield, production costs and mechanization level in the southwest hilly area showed an overall upward trend, among which the net profit was negative for six consecutive years, mainly because the labor costs accounted for too much of the total costs; (2) The average annual increase in the level of maize mechanization is 16%, but it is still lower than the national average; (3) Under the condition that other factors remain unchanged, for every 1% increase in the comprehensive mechanization rate, the cost profit margin increases by 0.467%, and it is determined that the most important factors affecting the growth of maize production economic efficiency are the sowing rate and the yield rate. It put forward suggestions to strengthen the mechanization of maize planting and develop maize agricultural harvesting machinery suitable for the hilly area.</t>
  </si>
  <si>
    <t>[Sun, Manxi; Wan, Yuan; Wang, Shuang; Liang, Jian; Hu, Hong; Cheng, Li] Xihua Univ, Inst Modern Agr Equipment, Chengdu 610039, Peoples R China</t>
  </si>
  <si>
    <t>Xihua University</t>
  </si>
  <si>
    <t>Cheng, L (corresponding author), Xihua Univ, Inst Modern Agr Equipment, Chengdu 610039, Peoples R China.</t>
  </si>
  <si>
    <t>smx210027@163.com; wanyuan200002@163.com; wsh@mail.xhu.edu.cn; lj0005@mail.xhu.edu.cn; huhong@mail.xhu.edu.cn; 17374935657@163.com</t>
  </si>
  <si>
    <t>Wan, Yuan/0009-0007-0920-7699</t>
  </si>
  <si>
    <t>SiChuan Engineering Technology Research Center of Modern Agricultural Equipment [XDNY2023-009]; Agricultural Modernization and Rural Revitalization, Sichuan Provincial Department of Agriculture [AMRR202303]; Rural Affairs Agricultural Mechanization Weak Process Key Technology Research Program [232206]; Sichuan Science and Technology Program [2021YFQ0070]; Xihua University Science and Technology Innovation Competition Project for Postgraduate Students [YK20240120]</t>
  </si>
  <si>
    <t>SiChuan Engineering Technology Research Center of Modern Agricultural Equipment; Agricultural Modernization and Rural Revitalization, Sichuan Provincial Department of Agriculture; Rural Affairs Agricultural Mechanization Weak Process Key Technology Research Program; Sichuan Science and Technology Program; Xihua University Science and Technology Innovation Competition Project for Postgraduate Students</t>
  </si>
  <si>
    <t>This research was funded by SiChuan Engineering Technology Research Center of Modern Agricultural Equipment, grant number XDNY2023-009; Agricultural Modernization and Rural Revitalization, grant number AMRR202303 Sichuan Provincial Department of Agriculture; Rural Affairs Agricultural Mechanization Weak Process Key Technology Research Program (No. 232206); Sichuan Science and Technology Program (No. 2021YFQ0070) and Xihua University Science and Technology Innovation Competition Project for Postgraduate Students (YK20240120).</t>
  </si>
  <si>
    <t>10.3390/su16135522</t>
  </si>
  <si>
    <t>YD6S5</t>
  </si>
  <si>
    <t>WOS:001266594100001</t>
  </si>
  <si>
    <t>Szyc, R; Lenort, R</t>
  </si>
  <si>
    <t>Szyc, Rafal; Lenort, Radim</t>
  </si>
  <si>
    <t>Sustainable Aviation Fuels as the Path to Carbon Neutrality in Air Transport</t>
  </si>
  <si>
    <t>ROCZNIK OCHRONA SRODOWISKA</t>
  </si>
  <si>
    <t>aviation; sustainable aviation fuels; environmental impact; economic viability; technological advancements; carbon neutrality; air transport</t>
  </si>
  <si>
    <t>This paper delves into the evolving landscape of the aviation industry, focusing on Sustainable Aviation Fuels (SAF) as a potential solution to mitigate the environmental impact of air transport. With the aviation sector playing a pivotal role in global connectivity, its growth is shadowed by significant environmental challenges, notably high levels of carbon dioxide emissions and other greenhouse gases. Traditional aviation fuels, largely based on petroleum, are the primary contributors to these emissions, presenting a clear imperative for alternative solutions. This study explores the viability and environmental benefits of SAFs, produced from diverse renewable sources such as biomass, agricultural waste, and solar energy, which can seamlessly integrate into existing aviation infrastructure. The research highlights the technical, economic, and regulatory challenges in transitioning to SAFs while emphasizing their potential to significantly reduce carbon emissions without necessitating major modifications to aircraft technologies. The paper provides a comprehensive analysis of current technologies, production methods, and the market viability of SAFs, including their economic implications in the context of fluctuating oil prices and the industry's drive towards carbon neutrality. By examining the lifecycle emissions and sustainability of various SAFs, this paper contributes to the ongoing discourse on reducing the aviation sector's carbon footprint and enhancing its sustainability profile.</t>
  </si>
  <si>
    <t>[Szyc, Rafal] Univ Business &amp; Adm Gdyn, Fac Management, Dept Logist, Gdynia, Poland; [Lenort, Radim] SKODA AUTO Univ, Mlada Boleslav, Czech Republic</t>
  </si>
  <si>
    <t>Skoda Auto University</t>
  </si>
  <si>
    <t>Lenort, R (corresponding author), SKODA AUTO Univ, Mlada Boleslav, Czech Republic.</t>
  </si>
  <si>
    <t>radim.lenort@savs.cz</t>
  </si>
  <si>
    <t>Szyc, Rafał/LZI-0902-2025; Lenort, Radim/G-3672-2019</t>
  </si>
  <si>
    <t>Szyc, Rafał/0000-0001-6797-6057; Lenort, Radim/0000-0001-6194-5364</t>
  </si>
  <si>
    <t>MIDDLE POMERANIAN SCI SOC ENV PROT</t>
  </si>
  <si>
    <t>KOSZALIN</t>
  </si>
  <si>
    <t>KOLLATAJA 1-1, KOSZALIN, 75-448, POLAND</t>
  </si>
  <si>
    <t>1506-218X</t>
  </si>
  <si>
    <t>ROCZ OCHR SR</t>
  </si>
  <si>
    <t>Rocz. Ochr. Sr.</t>
  </si>
  <si>
    <t>10.54740/ros.2024.062</t>
  </si>
  <si>
    <t>Q0Q8J</t>
  </si>
  <si>
    <t>Bronze</t>
  </si>
  <si>
    <t>WOS:001381848800008</t>
  </si>
  <si>
    <t>Zhang, ZW; Wang, SY; Zhang, JY</t>
  </si>
  <si>
    <t>Zhang, Zhongwu; Wang, Shiyu; Zhang, Jinyuan</t>
  </si>
  <si>
    <t>Spatiotemporal evolution of carbon budget and carbon compensation zoning of urban agglomerations in the Yellow River Basin</t>
  </si>
  <si>
    <t>Urban agglomerations in the YRB; Carbon budget; Carbon compensation zoning; Main functional zones</t>
  </si>
  <si>
    <t>CO2 EMISSIONS; LAND-USE; BALANCE; CHINA; DELTA</t>
  </si>
  <si>
    <t>As a crucial industrial, agricultural, and energy base in China, the urban agglomerations in the Yellow River Basin (YRB) have faced increasingly significant pressure for carbon emission reduction since the implementation of the Dual Carbon strategy. This study focuses on 615 counties within the major urban agglomerations in the YRB, analyzing the spatiotemporal evolution of carbon budget in land use from 2000 to 2020. Methods such as the normalized revealed comparative advantage (NRCA) index and SOM-K-means model are employed to explore the carbon compensation zoning of counties in the urban agglomerations in the YRB from the perspective of main functional zones. The results show that: (1) From 2000 to 2020, there was a significant and continuous widening gap between carbon emissions and carbon absorption in the study area. The total carbon emissions increased significantly from 3.64 x 108 to 13.56 x 108 t, showing a north high, south low spatial distribution pattern. Meanwhile, the carbon absorption remained stable at around 6.47 x 107 t, with a spatial distribution pattern roughly characterized by higher in the west, lower in the east, and highest in the central part. The carbon budget of various types of functional zones generally aligns well with their strategic positioning. (2) There is a significant regional difference in net carbon emissions among urban agglomerations, with the greatest internal variation observed in the Guanzhong Plain Urban Agglomeration (Gw = 0.471) and the most notable differences between the Lanzhou-Xining Urban Agglomeration and others (Gb = 0.554). (3) The study area consists of 273 payment zones, 257 balanced zones, and 85 compensated zones. Combining with the reconstruction of main functional areas, seven types of carbon compensation zones are identified.</t>
  </si>
  <si>
    <t>[Zhang, Zhongwu; Wang, Shiyu; Zhang, Jinyuan] Shanxi Normal Univ, Coll Geog Sci, Taiyuan 030031, Peoples R China; [Zhang, Zhongwu] Shanxi Normal Univ, Inst Human Geog, Taiyuan 030031, Peoples R China; [Zhang, Zhongwu] Res Ctr Early Chinese Civilizat &amp; Cultural Heritag, Taiyuan 030031, Peoples R China</t>
  </si>
  <si>
    <t>Shanxi Normal University; Shanxi Normal University</t>
  </si>
  <si>
    <t>Zhang, ZW (corresponding author), Shanxi Normal Univ, Coll Geog Sci, Taiyuan 030031, Peoples R China.;Zhang, ZW (corresponding author), Shanxi Normal Univ, Inst Human Geog, Taiyuan 030031, Peoples R China.;Zhang, ZW (corresponding author), Res Ctr Early Chinese Civilizat &amp; Cultural Heritag, Taiyuan 030031, Peoples R China.</t>
  </si>
  <si>
    <t>zhangzw@sxnu.edu.cn</t>
  </si>
  <si>
    <t>zhang, zhongwu/G-1875-2012</t>
  </si>
  <si>
    <t>Shanxi Provincial Cultural Relics Bureau</t>
  </si>
  <si>
    <t>We greatly thank the reviewers and editors for their constructive suggestions and comments. The authors would like to acknowledge all colleagues and friends who have voluntarily reviewed the translation of the survey and the manuscript of this study.</t>
  </si>
  <si>
    <t>AUG 3</t>
  </si>
  <si>
    <t>10.1038/s41598-024-68614-1</t>
  </si>
  <si>
    <t>A8Q0M</t>
  </si>
  <si>
    <t>WOS:001285116800012</t>
  </si>
  <si>
    <t>Fan, JL; McConkey, BG; Liang, BC; Angers, DA; Janzen, HH; Krobel, R; Cerkowniak, DD; Smith, WN</t>
  </si>
  <si>
    <t>Fan, Jianling; McConkey, Brian G.; Liang, B. Chang; Angers, Denis A.; Janzen, H. Henry; Krobel, Roland; Cerkowniak, Darrel D.; Smith, Ward N.</t>
  </si>
  <si>
    <t>Increasing crop yields and root input make Canadian farmland a large carbon sink</t>
  </si>
  <si>
    <t>Agriculture; Carbon balance; Climate change mitigation; Carbon input; Canola; High root crops</t>
  </si>
  <si>
    <t>SOIL CARBON; CLIMATE-CHANGE; TEMPERATURE SENSITIVITY; AGRICULTURAL SOILS; GAS EMISSIONS; STOCKS; SEQUESTRATION; NITROGEN; RESIDUE; DEPTH</t>
  </si>
  <si>
    <t>Soil organic carbon (SOC) in agricultural lands is vital for global food production and greenhouse gas (GHG) mitigation. Accurate quantification of the change in SOC stocks at regional or national scales, which depends heavily on reliable spatiotemporal carbon (C) input data, remains a big challenge. Here we use the process-based RothC model to estimate change in SOC stocks across Canada for 1971 to 2015, based on calculated annual C flows between cropland and livestock sectors. Total C input to 0-20 cm soils from crops, manure, and biosolids in Canada increased by 81% from 1971 to 2015, which shifted Canadian agricultural lands from a CO2 source before 1990 ( - 1.1 Tg C yr(-1)) to a small sink during 1990-2005 (4.6 Tg C yr(-1)), and a larger sink thereafter (10.6 Tg C yr(-1)). The increasing trend of SOC stocks is mainly driven by the increases in crop yield; the enhanced C sink since 2005 reflects increasing C input largely driven by the increasing area and yield of canola. SOC sequestration showed a potential to offset similar to 34% or more of agricultural GHG emission since 1990. Increasing crop yields and adopting crop mixes that input proportionately more below-ground C, such as canola and oat, showed potential additional opportunity to sequester SOC, estimated at 1.7 Tg C y(-1)r for 2016-2030 in Canada. This study illustrates that SOC sequestration is driven largely by plant C inputs, and shows that agronomic measures which augment C input through crop choices and yield-enhancing practices can profoundly benefit climate mitigation strategies.</t>
  </si>
  <si>
    <t>[Fan, Jianling; McConkey, Brian G.] Agr &amp; Agri Food Canada, Swift Current Res &amp; Dev Ctr, 1 Airport Rd, Swift Current, SK S9H 3X2, Canada; [Liang, B. Chang] Environm &amp; Climate Change Canada, Pollutant Inventories &amp; Reporting Div, 351 St Joseph Blvd, Gatineau, PQ K1A 0H3, Canada; [Angers, Denis A.] Agr &amp; Agri Food Canada, Quebec Res &amp; Dev Ctr, 2560 Hochelaga Blvd, Quebec City, PQ G1V 2J3, Canada; [Janzen, H. Henry; Krobel, Roland] Agr &amp; Agri Food Canada, Lethbridge Res &amp; Dev Ctr, 5403 1 Ave South, Lethbridge, AB T1J 4B1, Canada; [Cerkowniak, Darrel D.] Agr &amp; Agri Food Canada, Saskatoon Res &amp; Dev Ctr, 107 Sci Pl, Saskatoon, SK S7N 0X2, Canada; [Smith, Ward N.] Agr &amp; Agri Food Canada, Cent Expt Farm, Ottawa Res &amp; Dev Ctr, 960 Carling Ave, Ottawa, ON K1A 0C6, Canada</t>
  </si>
  <si>
    <t>Agriculture &amp; Agri Food Canada; Environment &amp; Climate Change Canada; Agriculture &amp; Agri Food Canada; Agriculture &amp; Agri Food Canada; Agriculture &amp; Agri Food Canada; Agriculture &amp; Agri Food Canada</t>
  </si>
  <si>
    <t>McConkey, BG (corresponding author), Agr &amp; Agri Food Canada, Swift Current Res &amp; Dev Ctr, 1 Airport Rd, Swift Current, SK S9H 3X2, Canada.</t>
  </si>
  <si>
    <t>brian.mcconkey@agr.gc.ca</t>
  </si>
  <si>
    <t>Angers, Denis/AAA-9510-2019; Kröbel, Roland/MTA-8380-2025; Fan, Jianling/AAQ-2614-2021; Smith, Ward/JRX-8136-2023</t>
  </si>
  <si>
    <t>Fan, Jianling/0000-0003-3048-2621; Smith, Ward/0000-0001-7462-5247</t>
  </si>
  <si>
    <t>Agriculture and Agri-Food Canada</t>
  </si>
  <si>
    <t>Agriculture and Agri-Food Canada(Agriculture &amp; Agri Food Canada)</t>
  </si>
  <si>
    <t>This work was funded by Agriculture and Agri-Food Canada. The first author acknowledges the Natural Sciences and Engineering Research Council of Canada for the opportunity to work at Agriculture and Agri-Food Canada as a postdoctoral fellow. We thank Arumugam Thiagarajan of Agriculture and Agri-Food Canada for technical support and many dedicated staff of Agriculture and Agri-Food Canada and Environment and Climate Change Canada. We thank the various researchers and technicians who managed the long-term experiments that we used for validating the RothC model.</t>
  </si>
  <si>
    <t>10.1016/j.geoderma.2018.08.004</t>
  </si>
  <si>
    <t>GW6XO</t>
  </si>
  <si>
    <t>WOS:000447108600005</t>
  </si>
  <si>
    <t>Hussain, K; Xia, YQ; Manzoor, T; Onaizah, AN</t>
  </si>
  <si>
    <t>Hussain, Khurram; Xia, Yuanqing; Manzoor, Tayyab; Onaizah, Ameer N.</t>
  </si>
  <si>
    <t>Employing Consumer Electronics and WSN for Low Carbon Emissions in Agri-Food Practices Through a Hybrid Whale-Wolf Nature-Inspired Model</t>
  </si>
  <si>
    <t>IEEE TRANSACTIONS ON CONSUMER ELECTRONICS</t>
  </si>
  <si>
    <t>Whale optimization algorithms; CSMA/CA; grey wolf optimization algorithm; machine learning; hybridization of nature inspired algorithms; agrofood; agrofood; low carbon; low carbon; carbon emissions; carbon emissions; hybridization of nature inspired algorithms; agrofood; low carbon; carbon emissions</t>
  </si>
  <si>
    <t>MEGAPTERA-NOVAEANGLIAE; CO2 EMISSIONS; OPTIMIZATION; BEHAVIOR</t>
  </si>
  <si>
    <t>Climate change is a global disaster, and emissions of greenhouse gases are the main cause. Reduced emissions of greenhouse gases are largely attributable to the agricultural sector. Governments worldwide are implementing laws to encourage the usage of low-carbon energy sources, which are becoming increasingly important due to the worsening impacts of climate change. The food and agriculture industries are utilising sensors and Wireless Sensor Networks (WSNs) to control processes, track quality, and ensure safety. WSNs facilitate real-time data collection and monitoring of environmental parameters, enhancing agricultural systems' capacity to adapt to climate challenges. Because machine learning (ML) is currently being utilized to solve environmental concerns, it is an opportune time to explore ML models for CO2 projections from the agri-food sector. Additionally, the implementation of Carrier Sense Multiple Access with Collision Avoidance (CSMA/CA) in WSNs allows for efficient management of data transmission, ensuring reliable data collection while reducing the risk of data loss. By enhancing our capacity to predict future energy demand and resource availability, the scientific community and businesses stand to gain substantially from artificial intelligence and big data analysis. This research presents a hybrid model named Whale-Wolf, grounded in nature-inspired algorithms. It aims to address carbon dioxide emissions from the food and agriculture industry. By hybridising Whale Optimization and Grey Wolf Optimization, this research efficiently anticipates carbon emissions and facilitates low-carbon economic calculations. A subset of the most relevant features from the agri-food carbon dioxide emissions dataset is selected using the optimised Whale-Wolf algorithm. The Whale-Wolf, GWO, and WOA algorithms select characteristics of 8, 12, and 14 respectively. Using Whale-Wolf, we achieved a 98.61% success rate with the random forest machine learning classifier.</t>
  </si>
  <si>
    <t>[Hussain, Khurram; Xia, Yuanqing; Onaizah, Ameer N.] Beijing Inst Technol, Sch Automat, Beijing 100081, Peoples R China; [Xia, Yuanqing] Zhongyuan Univ Technol, Zhengzhou 450007, Henan, Peoples R China; [Manzoor, Tayyab] Zhongyuan Univ Technol, Sch Automat &amp; Elect Engn, Zhengzhou 450007, Henan, Peoples R China</t>
  </si>
  <si>
    <t>Beijing Institute of Technology; Zhongyuan University of Technology; Zhongyuan University of Technology</t>
  </si>
  <si>
    <t>Xia, YQ (corresponding author), Zhongyuan Univ Technol, Zhengzhou 450007, Henan, Peoples R China.</t>
  </si>
  <si>
    <t>khurram_hussain@bit.edu.cn; xia_yuanqing@bit.edu.cn; tm.engcst@gmail.com; ameer@bit.edu.cn</t>
  </si>
  <si>
    <t>Manzoor, Tayyab/G-5209-2015; Ameer, Onaizah/J-5863-2018; Xia, Yuanqing/B-3182-2014</t>
  </si>
  <si>
    <t>Onaizah, Ameer/0000-0003-2602-2251; , Mark Jackson/0009-0004-1341-1818;</t>
  </si>
  <si>
    <t>National Natural Science Foundation of China [61836001]; Open Foundation of Key Laboratory of Autonomous Systems and Networked Control (South China University of Technology), Ministry of Education [2024A02]</t>
  </si>
  <si>
    <t>National Natural Science Foundation of China(National Natural Science Foundation of China (NSFC)); Open Foundation of Key Laboratory of Autonomous Systems and Networked Control (South China University of Technology), Ministry of Education</t>
  </si>
  <si>
    <t>This work was supported in part by the National Natural Science Foundation of China under Grant 61836001, and in part by the Open Foundation of Key Laboratory of Autonomous Systems and Networked Control (South China University of Technology), Ministry of Education under Grant 2024A02</t>
  </si>
  <si>
    <t>IEEE-INST ELECTRICAL ELECTRONICS ENGINEERS INC</t>
  </si>
  <si>
    <t>PISCATAWAY</t>
  </si>
  <si>
    <t>445 HOES LANE, PISCATAWAY, NJ 08855-4141 USA</t>
  </si>
  <si>
    <t>0098-3063</t>
  </si>
  <si>
    <t>1558-4127</t>
  </si>
  <si>
    <t>IEEE T CONSUM ELECTR</t>
  </si>
  <si>
    <t>IEEE Trans. Consum. Electron.</t>
  </si>
  <si>
    <t>10.1109/TCE.2025.3553395</t>
  </si>
  <si>
    <t>Engineering, Electrical &amp; Electronic; Telecommunications</t>
  </si>
  <si>
    <t>Engineering; Telecommunications</t>
  </si>
  <si>
    <t>6IY9X</t>
  </si>
  <si>
    <t>WOS:001554484400034</t>
  </si>
  <si>
    <t>Yan, YF; Li, HY; Zhang, M; Liu, XW; Zhang, LX; Wang, YK; Yang, M; Cai, RG</t>
  </si>
  <si>
    <t>Yan, Yanfei; Li, Haoyu; Zhang, Min; Liu, Xiwei; Zhang, Lingxin; Wang, Yaokuo; Yang, Min; Cai, Ruiguo</t>
  </si>
  <si>
    <t>Straw Return or No Tillage? Comprehensive Meta-Analysis Based on Soil Organic Carbon Contents, Carbon Emissions, and Crop Yields in China</t>
  </si>
  <si>
    <t>straw return; no tillage; soil organic carbon; crop yield; carbon emissions; meta-analysis</t>
  </si>
  <si>
    <t>CONSERVATION AGRICULTURE; CO2 EMISSIONS; MAIZE YIELD; WATER-USE; LAND-USE; STORAGE; NITROGEN; IMPACT; WHEAT; TEMPERATURE</t>
  </si>
  <si>
    <t>Conservation tillage methods, including straw return (SR) and no tillage (NT), are widely used to improve the soil organic carbon (SOC) content and crop yield. However, applying SR or NT separately has become a common practice for farmers producing different crops or those in different regions. Evaluating the effects of SR or NT on the SOC content, carbon emissions, and crop yield are important for guiding the correct application of conservation tillage and promoting sustainable agricultural development. Therefore, we conducted a meta-analysis based on 1014 sets of data obtained in China to assess the effects of SR and NT on the SOC content, carbon emissions, and crop yield. Compared with no straw return, SR increased the SOC content and crop yield by 10% and 8.6%, respectively, but with no significant impact on carbon emissions. Compared with conventional tillage, NT increased the SOC content by 2.9% and reduced the carbon emissions and crop yield by 18% and 3.9%, respectively. We also found that SR combined with NT had an additive effect, where the combination improved SOC more than applying SR or NT alone. If applying SR or NT alone, the specific climatic conditions, soil characteristics, and field management strategies need to be considered to maximize SOC. In particular, SR should be used in limited hydrothermal conditions (low temperature or low precipitation) and areas where rice-wheat rotation is implemented. NT can be used under any climate conditions, but it can effectively increase the SOC content in continuous wheat cropping areas.</t>
  </si>
  <si>
    <t>[Yan, Yanfei; Li, Haoyu; Zhang, Min; Zhang, Lingxin; Wang, Yaokuo; Yang, Min; Cai, Ruiguo] Hebei Normal Univ Sci &amp; Technol, Coll Agron &amp; Biotechnol, Hebei Key Lab Crop Stress Biol, Qinhuangdao 066004, Peoples R China; [Liu, Xiwei] Chinese Acad Agr Sci, Inst Crop Sci, Ctr Crop Management &amp; Farming Syst, Key Lab Crop Physiol &amp; Ecol,Minist Agr, Beijing 100081, Peoples R China</t>
  </si>
  <si>
    <t>Hebei Normal University of Science &amp; Technology; Chinese Academy of Agricultural Sciences; Institute of Crop Sciences, CAAS</t>
  </si>
  <si>
    <t>Li, HY; Cai, RG (corresponding author), Hebei Normal Univ Sci &amp; Technol, Coll Agron &amp; Biotechnol, Hebei Key Lab Crop Stress Biol, Qinhuangdao 066004, Peoples R China.</t>
  </si>
  <si>
    <t>yfei2023@126.com; lhaoyu2016@163.com; zhangmin625@126.com; liuxiwei@caas.cn; z3530914835@163.com; wangyaokuo@126.com; 86553117@163.com; cairuiguo@126.com</t>
  </si>
  <si>
    <t>Liu, Xiwei/K-5366-2013</t>
  </si>
  <si>
    <t>Natural Science Foundation of Hebei Provincial; Scientific Research Fund of Hebei Normal University of Science and Technology [2024YB018]; Institute's Basic Scientific Research Business Fee Support Project [S2024QH24]; [C2022407015]</t>
  </si>
  <si>
    <t>Natural Science Foundation of Hebei Provincial; Scientific Research Fund of Hebei Normal University of Science and Technology; Institute's Basic Scientific Research Business Fee Support Project;</t>
  </si>
  <si>
    <t>This research was funded by the Natural Science Foundation of Hebei Provincial (C2022407015), the Scientific Research Fund of Hebei Normal University of Science and Technology (2024YB018), and the Institute's Basic Scientific Research Business Fee Support Project (S2024QH24) for institute-level coordination in 2024.</t>
  </si>
  <si>
    <t>10.3390/agronomy14102263</t>
  </si>
  <si>
    <t>K3Y0O</t>
  </si>
  <si>
    <t>WOS:001343253700001</t>
  </si>
  <si>
    <t>Haas, E; Carozzi, M; Massad, RS; Butterbach-Bahl, K; Scheer, C</t>
  </si>
  <si>
    <t>Haas, Edwin; Carozzi, Marco; Massad, Raia Silvia; Butterbach-Bahl, Klaus; Scheer, Clemens</t>
  </si>
  <si>
    <t>Long term impact of residue management on soil organic carbon stocks and nitrous oxide emissions from European croplands</t>
  </si>
  <si>
    <t>N2O EMISSIONS; AGRICULTURAL SOILS; ARABLE SOILS; NO-TILLAGE; DATA AGGREGATION; REGIONAL-SCALE; CLIMATE-CHANGE; MODEL; CROP; MITIGATION</t>
  </si>
  <si>
    <t>Application of crop residues to agricultural fields is a significant source of the greenhouse gas nitrous oxide (N2O) and an essential factor affecting the soil organic carbon (SOC) balance. Here we present a biogeochemical modelling study assessing the impact of crop residue management on soil C stocks and N2O fluxes for EU-27 using available information on soils, management and climate and by testing various scenarios of residue management. Three biogeochemical models, i.e. CERES-EGC, LandscapeDNDC and LandscapeDNDC-MeTrx, were used in an ensemble approach on a grid of 0.25 x 0.25 spatial resolution for calculating EU-27 wide inventories of changes in SOC stocks and N2O emissions due to residue management for the years 2000-2100 using different climate change projections (RCP4.5 and RCP8.5). Our results show, that climate change poses a threat to cropping systems in Europe, resulting in potential yield declines, increased N2O emissions and loss of SOC. This highlights the need for adapting crop management to mitigate climate change impacts, e.g. by improved residue management. For a scenario with 100% residues retention and reduced tillage we calculated that in average SOC stocks may increase over 50-100 years by 19-23% under RCP8.5 and RCP4.5. However, complete retention of crop residues also resulted in an increase of soil N2O emissions by 17-30%, so that climate benefits due to increases in SOC stocks were eventually compensated by increased N2O emissions. The long-term EFN2O for residue N incorporation was 1.18% and, thus slightly higher as the 1% value used by IPCC. We conclude that residue management can be an important strategy for mitigating climate change im-pacts on SOC stocks, though it requires as well improvements in N management for N2O mitigation.</t>
  </si>
  <si>
    <t>[Haas, Edwin; Butterbach-Bahl, Klaus; Scheer, Clemens] Karlsruhe Inst Technol, Inst Meteorol &amp; Climate Res, Kreuzeckbahnstr 19, D-82467 Garmisch Partenkirchen, Germany; [Carozzi, Marco] Univ Paris Saclay, INRAE, AgroParisTech, UMR SADAPT, F-78850 Thiverval Grignon, France; [Carozzi, Marco; Massad, Raia Silvia] Univ Paris Saclay, INRAE, AgroParisTech, UMR ECOSYS, F-78850 Thiverval Grignon, France</t>
  </si>
  <si>
    <t>Helmholtz Association; Karlsruhe Institute of Technology; AgroParisTech; INRAE; Universite Paris Saclay; Universite Paris Saclay; INRAE; AgroParisTech</t>
  </si>
  <si>
    <t>Haas, E (corresponding author), Karlsruhe Inst Technol, Inst Meteorol &amp; Climate Res, Kreuzeckbahnstr 19, D-82467 Garmisch Partenkirchen, Germany.</t>
  </si>
  <si>
    <t>edwin.haas@kit.edu</t>
  </si>
  <si>
    <t>; Massad, Raia/P-1430-2019; Scheer, Clemens/JZE-5068-2024; Haas, Edwin/A-7890-2013; Carozzi, Marco/GPK-2755-2022; Butterbach-Bahl, Klaus/A-8081-2013</t>
  </si>
  <si>
    <t>Scheer, Clemens/0000-0001-5396-2076; Butterbach-Bahl, Klaus/0000-0001-9499-6598;</t>
  </si>
  <si>
    <t>Improved esti-mation and mitigation of nitrous oxide emissions and soil carbon storage from crop residues (ResidueGas) ? [2817ERA08C]; German Federal Ministry for Food and Agriculture (BMEL) [2817ERA08C]; German Federal Ministry of Education and Research (BMBF) [2817ERA08C]; Make our Planet Great Again - German Research Initiative?; German Academic Exchange Service (DAAD); Institute of Meteorology and Climate Research - Atmospheric Environmental Research (IMK-IFU) of the Karlsruhe Institute of Technology (KIT) , Garmisch-Partenkirchen, Germany; [306060]</t>
  </si>
  <si>
    <t>Improved esti-mation and mitigation of nitrous oxide emissions and soil carbon storage from crop residues (ResidueGas) ?; German Federal Ministry for Food and Agriculture (BMEL); German Federal Ministry of Education and Research (BMBF)(Federal Ministry of Education &amp; Research (BMBF)); Make our Planet Great Again - German Research Initiative?; German Academic Exchange Service (DAAD)(Deutscher Akademischer Austausch Dienst (DAAD)); Institute of Meteorology and Climate Research - Atmospheric Environmental Research (IMK-IFU) of the Karlsruhe Institute of Technology (KIT) , Garmisch-Partenkirchen, Germany;</t>
  </si>
  <si>
    <t>This work was conducted within the EU ERAGAS project Improved estimation and mitigation of nitrous oxide emissions and soil carbon storage from crop residues (ResidueGas)  as funded for KIT staff by the German Federal Ministry for Food and Agriculture (BMEL) [grant number 2817ERA08C] . Edwin Haas and Clemens Scheer received additional funding from the German Federal Ministry of Education and Research (BMBF) under the Make our Planet Great Again - German Research Initiative, grant number 306060, implemented by the German Academic Exchange Service (DAAD) . Marco Carozzi received additional funding from the Institute of Meteorology and Climate Research - Atmospheric Environmental Research (IMK-IFU) of the Karlsruhe Institute of Technology (KIT) , Garmisch-Partenkirchen, Germany.</t>
  </si>
  <si>
    <t>AUG 25</t>
  </si>
  <si>
    <t>10.1016/j.scitotenv.2022.154932</t>
  </si>
  <si>
    <t>MAY 2022</t>
  </si>
  <si>
    <t>1Y4EI</t>
  </si>
  <si>
    <t>WOS:000808094200007</t>
  </si>
  <si>
    <t>Liu, QY; Xu, CT; Han, SW; Li, XX; Kan, ZR; Zhao, X; Zhang, HL</t>
  </si>
  <si>
    <t>Liu, Qiu-Yue; Xu, Cheng-Tang; Han, Shou-Wei; Li, Xiao-Xiao; Kan, Zheng-Rong; Zhao, Xin; Zhang, Hai-Lin</t>
  </si>
  <si>
    <t>Strategic tillage achieves lower carbon footprints with higher carbon accumulation and grain yield in a wheat-maize cropping system</t>
  </si>
  <si>
    <t>Strategic tillage; Greenhouse gases; Carbon footprints; Carbon storage; Grain yield</t>
  </si>
  <si>
    <t>SOIL ORGANIC-CARBON; GREENHOUSE-GAS EMISSIONS; MANAGEMENT-INDUCED CHANGES; NO-TILL; CONSERVATION AGRICULTURE; RESIDUE MANAGEMENT; WINTER-WHEAT; CLIMATE-CHANGE; TOTAL NITROGEN; CHINA</t>
  </si>
  <si>
    <t>Continuous single tillage has the potential to increase greenhouse gas (GHG) emissions and decrease the accumulation of soil organic carbon (SOC), thus increasing carbon footprints (CFs). However, in a wheat-maize cropping system, limited information was available about the effects of strategic tillage on CFs. Thus, a four-year field experiment was conducted, including continuous rotary tillage (RT), continuous no-till (NT), RT + subsoiling (RS), and NT + subsoiling (NS), to investigate the effects of NS (strategic tillage) on the unit area and unit yield. The results showed that CO2 emission was the highest contributor to CFs (73.92%) in a winter wheat-summer maize cropping system, following the order of NS &lt; NT &lt; RS &lt; RT. The direct N2O emissions from fertilizers and residues were 4.43-4.51 t CO2-eq ha(-1) yr(-1) during the wheat and maize seasons, and indirect N2O emissions from irrigation and fertilizer inputs had a proportion of &gt;80% from total agricultural inputs. The differences in SOC storage significantly affected the CFs. Although the NS treatment increased the amount of GHG emissions from the residues returned and consumption of diesel, the enhancement of SOC storage by deeper SOC increased. Thus, lower area-scaled CFs were observed in the NS treatment. Furthermore, a higher grain yield and an annual change of SOC storage compared with other treatments were observed under the NS system, which helped to reduce the CFs. The yield-scaled CFs followed the order of RT &gt; RS &gt; NT &gt; NS when considering the changes in SOC storage. Therefore, the NS treatment resulted in a higher grain yield and SOC sequestration with lower CFs, and thus, it could be recommended as the best tillage method to achieve sustainable production and environmental balance in a wheat-maize cropping system. (C) 2021 Elsevier B.V. All rights reserved.</t>
  </si>
  <si>
    <t>[Zhang, Hai-Lin] China Agr Univ, Coll Agron &amp; Biotechnol, Beijing 100193, Peoples R China; Minist Agr &amp; Rural Affairs China, Key Lab Farming Syst, Beijing 100193, Peoples R China</t>
  </si>
  <si>
    <t>China Agricultural University</t>
  </si>
  <si>
    <t>Zhang, HL (corresponding author), China Agr Univ, Coll Agron &amp; Biotechnol, Beijing 100193, Peoples R China.</t>
  </si>
  <si>
    <t>hailin@cau.edu.cn</t>
  </si>
  <si>
    <t>; Li, Xiaoxiao/AAO-5149-2020; Zhang, Hai-Lin/H-2715-2017; Zhao, Xin/AAH-5629-2019</t>
  </si>
  <si>
    <t>Kan, Zheng-Rong/0000-0002-2175-4675; Zhao, Xin/0000-0002-2977-6430;</t>
  </si>
  <si>
    <t>National Key Research and Develop-ment Program of China [2016YFD0300210]</t>
  </si>
  <si>
    <t>National Key Research and Develop-ment Program of China(National Key Research &amp; Development Program of China)</t>
  </si>
  <si>
    <t>This work was supported by the National Key Research and Develop-ment Program of China (2016YFD0300210) . Thanks to Mr. Jay Lytle for polishing the language.</t>
  </si>
  <si>
    <t>DEC 1</t>
  </si>
  <si>
    <t>10.1016/j.scitotenv.2021.149220</t>
  </si>
  <si>
    <t>UY8DO</t>
  </si>
  <si>
    <t>WOS:000701748100007</t>
  </si>
  <si>
    <t>Nath, CP; Das, TK; Rana, KS; Bhattacharyya, R; Pathak, H; Paul, S; Meena, MC; Singh, SB</t>
  </si>
  <si>
    <t>Nath, Chaitanya Prasad; Das, Tapas Kumar; Rana, Kuldeep Singh; Bhattacharyya, Ranjan; Pathak, Himanshu; Paul, Sangeeta; Meena, Mahesh Chand; Singh, Shashi Bala</t>
  </si>
  <si>
    <t>Greenhouse gases emission, soil organic carbon and wheat yield as affected by tillage systems and nitrogen management practices</t>
  </si>
  <si>
    <t>ARCHIVES OF AGRONOMY AND SOIL SCIENCE</t>
  </si>
  <si>
    <t>Carbon stock; conservation tillage; crop residues; global warming potential; sensor-based nitrogen</t>
  </si>
  <si>
    <t>INDO-GANGETIC PLAINS; CONSERVATION AGRICULTURE; CROPPING SYSTEMS; OXIDE EMISSIONS; RESIDUE MANAGEMENT; SEQUESTRATION; CLIMATE; N2O; FLUXES; NO</t>
  </si>
  <si>
    <t>Agricultural activities are responsible for greenhouse gases (GHGs) emission in the environment. Strategies are required to enhance the soil organic carbon (SOC) and nitrogen (N) sequestration to adapt and mitigate the climate change. We investigated GHGs emission, SOC and N enhancement under conventional tillage (CT) and zero tillage (ZT) with N management in wheat (Triticum aestivum L.). Seasonal carbon dioxide (CO2) emission and global warming potential (GWP) reduced for ZT treatments over CT without residues and 100% of required N with a blanket split application (CT-R+100N). The ZT with 5t ha(-1) maize (Zea mays L.) residues retention and 75% of required N and GreenSeeker(TM) (GS)-aided N management (ZT+R+75N+GS) reduced yield-scaled GHGs emission and increased total organic carbon (C) stock over CT-R+100N. However, nitrous oxide (N2O) emission was lower in CT. The GS-based N management saved 26-35kg N ha(-1) in different tillage systems in both years over blanket application with higher N uptake and associated reduction in N2O emission. The study recommends that ZT with residues retention and GS-based N management can minimize the GHGs emission and improve the SOC.</t>
  </si>
  <si>
    <t>[Nath, Chaitanya Prasad] ICAR Indian Inst Pulses Res, Div Crop Prod, Kanpur, India; [Das, Tapas Kumar; Rana, Kuldeep Singh] ICAR Indian Agr Res Inst, Div Agron, New Delhi, India; [Bhattacharyya, Ranjan; Pathak, Himanshu] ICAR Indian Agr Res Inst, Ctr Environm Sci &amp; Climate Resilient Agr, New Delhi, India; [Paul, Sangeeta] ICAR Indian Agr Res Inst, Div Microbiol, New Delhi, India; [Meena, Mahesh Chand] ICAR Indian Agr Res Inst, Div Soil Sci &amp; Agr Chem, New Delhi, India; [Singh, Shashi Bala] ICAR Indian Agr Res Inst, Div Agr Chem, New Delhi, India</t>
  </si>
  <si>
    <t>Indian Council of Agricultural Research (ICAR); ICAR - Indian Institute of Pulses Research; Indian Council of Agricultural Research (ICAR); ICAR - Indian Agricultural Research Institute; Indian Council of Agricultural Research (ICAR); ICAR - Indian Agricultural Research Institute; Indian Council of Agricultural Research (ICAR); ICAR - Indian Agricultural Research Institute; Indian Council of Agricultural Research (ICAR); ICAR - Indian Agricultural Research Institute; Indian Council of Agricultural Research (ICAR); ICAR - Indian Agricultural Research Institute</t>
  </si>
  <si>
    <t>Nath, CP (corresponding author), ICAR Indian Inst Pulses Res, Div Crop Prod, Kanpur, India.</t>
  </si>
  <si>
    <t>cpnath4@gmail.com</t>
  </si>
  <si>
    <t>; Singh, Shashi/AAS-9889-2021; Nath, C.P./AIA-8855-2022</t>
  </si>
  <si>
    <t>Nath, Chaitanya/0000-0003-1532-7869; Bhattacharyya, Ranjan/0000-0001-6200-2181;</t>
  </si>
  <si>
    <t>ICAR-Indian Agricultural Research Institute (IARI); ICAR-Indian Agricultural Research Institute; Department of Science and Technology (DST), Govt. of India</t>
  </si>
  <si>
    <t>ICAR-Indian Agricultural Research Institute (IARI); ICAR-Indian Agricultural Research Institute; Department of Science and Technology (DST), Govt. of India(Department of Science &amp; Technology (India))</t>
  </si>
  <si>
    <t>This work was supported by the ICAR-Indian Agricultural Research Institute (IARI); ICAR-Indian Agricultural Research Institute and Department of Science and Technology (DST), Govt. of India.</t>
  </si>
  <si>
    <t>0365-0340</t>
  </si>
  <si>
    <t>1476-3567</t>
  </si>
  <si>
    <t>ARCH AGRON SOIL SCI</t>
  </si>
  <si>
    <t>Arch. Agron. Soil Sci.</t>
  </si>
  <si>
    <t>10.1080/03650340.2017.1300657</t>
  </si>
  <si>
    <t>Agronomy; Soil Science</t>
  </si>
  <si>
    <t>FL1HD</t>
  </si>
  <si>
    <t>WOS:000413964400002</t>
  </si>
  <si>
    <t>Holland, SP; Hughes, JE; Knittel, CR; Parker, NC</t>
  </si>
  <si>
    <t>Holland, Stephen P.; Hughes, Jonathan E.; Knittel, Christopher R.; Parker, Nathan C.</t>
  </si>
  <si>
    <t>Unintended Consequences of Carbon Policies: Transportation Fuels, Land-Use, Emissions, and Innovation</t>
  </si>
  <si>
    <t>ENERGY JOURNAL</t>
  </si>
  <si>
    <t>Carbon trading; Renewable fuel standard; Low carbon fuel standard; Transportation</t>
  </si>
  <si>
    <t>BIOFUEL POLICIES; ETHANOL; TECHNOLOGY; INCENTIVES; IMPACTS; ENERGY</t>
  </si>
  <si>
    <t>Renewable fuel standards, low carbon fuel standards, and ethanol subsidies are popular policies to incentivize ethanol production and reduce emissions from transportation. Compared to carbon trading, these policies lead to large shifts in agricultural activity and unexpected social costs. We simulate the 2022 Federal Renewable Fuel Standard (RFS) and find that energy crop production increases by 39 million acres. Land-use costs from erosion and habitat loss are between $277 and $693 million A low carbon fuel standard (LCFS) and ethanol subsidies have similar effects while costs under an equivalent cap and trade (CAT) system are essentially zero. In addition, the alternatives to CAT magnify errors in assigning emissions rates to fuels and can over or under-incentivize innovation. These results highlight the potential negative effects of the RFS, LCFS and subsidies, effects that would be less severe under a CAT policy.</t>
  </si>
  <si>
    <t>[Holland, Stephen P.] Univ N Carolina, Dept Econ, Greensboro, NC 27412 USA; [Hughes, Jonathan E.] Univ Colorado, Dept Econ, Boulder, CO 80309 USA; [Knittel, Christopher R.] MIT, Sloan Sch Management, Energy Econ, Cambridge, MA 02139 USA; [Holland, Stephen P.; Knittel, Christopher R.] Natl Bur Econ Res, Cambridge, MA 02138 USA; [Parker, Nathan C.] Univ Calif Davis, Inst Transportat Studies, Davis, CA 95616 USA</t>
  </si>
  <si>
    <t>University of North Carolina; University of North Carolina Greensboro; University of Colorado System; University of Colorado Boulder; Massachusetts Institute of Technology (MIT); National Bureau of Economic Research; University of California System; University of California Davis</t>
  </si>
  <si>
    <t>Hughes, JE (corresponding author), Univ Colorado, Dept Econ, Boulder, CO 80309 USA.</t>
  </si>
  <si>
    <t>jonathan.e.hughes@colorado.edu</t>
  </si>
  <si>
    <t>Parker, Nathan/JXX-6460-2024</t>
  </si>
  <si>
    <t>INT ASSOC ENERGY ECONOMICS</t>
  </si>
  <si>
    <t>CLEVELAND</t>
  </si>
  <si>
    <t>28790 CHAGRIN BLVD, STE 210, CLEVELAND, OH 44122 USA</t>
  </si>
  <si>
    <t>0195-6574</t>
  </si>
  <si>
    <t>1944-9089</t>
  </si>
  <si>
    <t>ENERG J</t>
  </si>
  <si>
    <t>Energy J.</t>
  </si>
  <si>
    <t>10.5547/01956574.36.3.shol</t>
  </si>
  <si>
    <t>Economics; Energy &amp; Fuels; Environmental Studies</t>
  </si>
  <si>
    <t>CK8CN</t>
  </si>
  <si>
    <t>WOS:000356466100002</t>
  </si>
  <si>
    <t>Leong, H; Leong, H; Foo, DCY; Ng, LY; Andiappan, V</t>
  </si>
  <si>
    <t>Leong, Huini; Leong, Huiyi; Foo, Dominic C. Y.; Ng, Lik Yin; Andiappan, Viknesh</t>
  </si>
  <si>
    <t>Hybrid approach for carbon-constrained planning of bioenergy supply chain network</t>
  </si>
  <si>
    <t>SUSTAINABLE PRODUCTION AND CONSUMPTION</t>
  </si>
  <si>
    <t>Carbon emission pinch analysis; Superstructural optimisation; Output-driven; Emission-driven; Process integration; Palm biomass</t>
  </si>
  <si>
    <t>EMISSIONS PINCH ANALYSIS; MODELING FRAMEWORK; INTEGRATED BIOMASS; ENERGY; OPTIMIZATION; DESIGN; SECTOR; BIOREFINERY</t>
  </si>
  <si>
    <t>With increasing emphasis on sustainable development, developing countries are required to adapt more sustainable approaches to energy policy-making. Bioenergy supply chain planning methodologies can provide viable frameworks for policy-making. However, current methodologies lack the ability to simultaneously consider CO2 emission reduction targets while designing a bioenergy supply chain. As such, the objective of this work is to present a hybrid methodology that combines both carbon emission pinch analysis with superstructure-based optimisation technique. The proposed methodology was demonstrated via a palm-based case study, focused on the state of Selangor, Malaysia. The case study was broken into two scenarios. The first scenario accounted for an output-driven energy policy, whereby the electricity output of the bioenergy supply chain network (BSCN) is prioritised and the corresponding emission reduction is analysed. Results from the first scenario suggests that the optimised BSCN with 5,040 TJ output could reduce CO2 emission intensity by 9.71%. The second scenario focused on an emission-driven policy. Emission-driven policy establishes the emission reduction targets first and then determines the corresponding BSCN to achieve it. Results from this scenario indicate all oil palm plantations could afford to operate on low growth factors of up to 0.8 to avoid sharp drops in possible CO2 reductions for the BSCN. This policy was explored further by conducting sensitivity analysis on the agricultural growth and biomass export factors respectively. The analyses found that the optimised BSCN experience minimal change in costs when plantations have growth factors beyond 1.1. Lastly, analysis was performed to evaluate the range of technologies chosen based on the electricity output. The analysis found that power plant technologies were favoured more as compared to combined heat and power systems. (C) 2019 Institution of Chemical Engineers. Published by Elsevier B.V. All rights reserved.</t>
  </si>
  <si>
    <t>[Leong, Huini; Leong, Huiyi; Ng, Lik Yin; Andiappan, Viknesh] Heriot Watt Univ Malaysia, Sch Engn &amp; Phys Sci, Putrajaya, Wilayah Perseku, Malaysia; [Foo, Dominic C. Y.] Univ Nottingham Malaysia, Dept Chem &amp; Environm Engn, Ctr Excellence Green Technol, Jalan Broga Rd, Semenyih 43500, Selangor, Malaysia</t>
  </si>
  <si>
    <t>Heriot Watt University; University of Nottingham Malaysia</t>
  </si>
  <si>
    <t>Andiappan, V (corresponding author), Heriot Watt Univ Malaysia, Sch Engn &amp; Phys Sci, Putrajaya, Wilayah Perseku, Malaysia.</t>
  </si>
  <si>
    <t>huinileong@gmail.com; huiyileong285@gmail.com; dominic.foo@nottingham.edu.my; l.ng@hw.ac.uk; v.murugappan@hw.ac.uk</t>
  </si>
  <si>
    <t>Andiappan, Viknesh/I-5223-2017; Foo, Ir/O-6335-2019; Foo, Dominic/H-8541-2016; Andiappan, Viknesh/GRR-6017-2022</t>
  </si>
  <si>
    <t>Andiappan, Viknesh/0000-0002-3863-4346; Foo, Dominic/0000-0002-8185-255X; Ng, Lik Yin/0000-0003-1567-6989;</t>
  </si>
  <si>
    <t>2352-5509</t>
  </si>
  <si>
    <t>SUSTAIN PROD CONSUMP</t>
  </si>
  <si>
    <t>Sustain. Prod. Consump.</t>
  </si>
  <si>
    <t>10.1016/j.spc.2019.02.011</t>
  </si>
  <si>
    <t>Green &amp; Sustainable Science &amp; Technology; Environmental Studies</t>
  </si>
  <si>
    <t>HS6XR</t>
  </si>
  <si>
    <t>WOS:000464015100021</t>
  </si>
  <si>
    <t>Stocker, BD; Feissli, F; Strassmann, KM; Spahni, R; Joos, F</t>
  </si>
  <si>
    <t>Stocker, Benjamin D.; Feissli, Fabian; Strassmann, Kuno M.; Spahni, Renato; Joos, Fortunat</t>
  </si>
  <si>
    <t>Past and future carbon fluxes from land use change, shifting cultivation and wood harvest</t>
  </si>
  <si>
    <t>TELLUS SERIES B-CHEMICAL AND PHYSICAL METEOROLOGY</t>
  </si>
  <si>
    <t>land use change; carbon cycle; carbon budget; wood harvest; shifting cultivation; terrestrial carbon sink</t>
  </si>
  <si>
    <t>COVER CHANGE; ATMOSPHERIC CO2; SOIL CARBON; USE TRANSITIONS; SYSTEM MODEL; 3 CENTURIES; CLIMATE; EMISSIONS; NITROGEN; BUDGET</t>
  </si>
  <si>
    <t>Carbon emissions from anthropogenic land use (LU) and land use change (LUC) are quantified with a Dynamic Global Vegetation Model for the past and the 21st century following Representative Concentration Pathways (RCPs). Wood harvesting and parallel abandonment and expansion of agricultural land in areas of shifting cultivation are explicitly simulated (gross LUC) based on the Land Use Harmonization (LUH) dataset and a proposed alternative method that relies on minimum input data and generically accounts for gross LUC. Cumulative global LUC emissions are 72 GtC by 1850 and 243 GtC by 2004 and 27-151 GtC for the next 95 yr following the different RCP scenarios. The alternative method reproduces results based on LUH data with full transition information within &lt;0.1 GtC/yr over the last decades and bears potential for applications in combination with other LU scenarios. In the last decade, shifting cultivation and wood harvest within remaining forests including slash each contributed 19% to the mean annual emissions of 1.2 GtC/yr. These factors, in combination with amplification effects under elevated CO2, contribute substantially to future emissions from LUC in all RCPs.</t>
  </si>
  <si>
    <t>[Stocker, Benjamin D.; Feissli, Fabian; Strassmann, Kuno M.; Spahni, Renato; Joos, Fortunat] Univ Bern, Inst Phys, CH-3012 Bern, Switzerland; [Stocker, Benjamin D.; Feissli, Fabian; Strassmann, Kuno M.; Spahni, Renato; Joos, Fortunat] Univ Bern, Oeschger Ctr Climate Change Res, CH-3012 Bern, Switzerland</t>
  </si>
  <si>
    <t>University of Bern; University of Bern</t>
  </si>
  <si>
    <t>Stocker, BD (corresponding author), Univ Bern, Inst Phys, Sidlerstr 5, CH-3012 Bern, Switzerland.</t>
  </si>
  <si>
    <t>beni@climate.unibe.ch</t>
  </si>
  <si>
    <t>Joos, Fortunat/B-4118-2018; Stocker, Benjamin/K-3194-2015</t>
  </si>
  <si>
    <t>Joos, Fortunat/0000-0002-9483-6030; Stocker, Benjamin/0000-0003-2697-9096</t>
  </si>
  <si>
    <t>Swiss National Science Foundation through the NCCR Climate; Sinergia project iTree; European Commission [243908]</t>
  </si>
  <si>
    <t>Swiss National Science Foundation through the NCCR Climate(Swiss National Science Foundation (SNSF)); Sinergia project iTree; European Commission(European Union (EU)European Commission Joint Research Centre)</t>
  </si>
  <si>
    <t>This study received support from the Swiss National Science Foundation through the NCCR Climate and the Sinergia project iTree as well as by the European Commission through the FP7 projects Past 4 Future (grant no. 243908).</t>
  </si>
  <si>
    <t>1600-0889</t>
  </si>
  <si>
    <t>TELLUS B</t>
  </si>
  <si>
    <t>Tellus Ser. B-Chem. Phys. Meteorol.</t>
  </si>
  <si>
    <t>10.3402/tellusb.v66.23188</t>
  </si>
  <si>
    <t>Meteorology &amp; Atmospheric Sciences</t>
  </si>
  <si>
    <t>AK4ZI</t>
  </si>
  <si>
    <t>WOS:000338432900001</t>
  </si>
  <si>
    <t>Shao, GD; Zhou, J; Liu, BC; Alharbi, SA; Liu, EK; Kuzyakov, Y</t>
  </si>
  <si>
    <t>Shao, Guodong; Zhou, Jie; Liu, Buchun; Alharbi, Sulaiman Almwarai; Liu, Enke; Kuzyakov, Yakov</t>
  </si>
  <si>
    <t>Carbon footprint of maize-wheat cropping system after 40-year fertilization</t>
  </si>
  <si>
    <t>Nitrogen fertilization; Greenhouse gas emission; Straw; Manure; Energy yield</t>
  </si>
  <si>
    <t>ORGANIC AMENDMENTS; SOIL CARBON; GREENHOUSE; DECOMPOSITION; EMISSIONS; SEQUESTRATION; PRODUCTIVITY; FERTILITY; MATTER; MANURE</t>
  </si>
  <si>
    <t>Two main challenges which human society faces for sustainable development goals are the maintenance of food security and mitigation of greenhouse gas (GHG) emissions. Here, we examined the impacts of six fertilization treatments including unfertilized control (CK), mineral nitrogen (N, 90 kg N ha - 1 ), mineral N plus 30 kg P ha -1 phosphorus (NP), NP combined with 3.75 Mg ha - 1 straw (NP + Str), farmyard manure (Man, 75 Mg ha - 1 ), and NP combined with manure (NP + Man) on crop productivity and carbon emissions (soil GHG emission; GHGI, yield -based GHG intensity; NGHGB, net GHG balance; carbon footprint, CF) in a maize -wheat cropping system during two years (April 2018 - June 2020) in a semi -arid continental climate after 40 years of fertilization in the Northwest China. Manure and straw increased total GHG by 38 - 60 % compared to the mineral fertilizers alone, which was mainly due to the 49 - 80 % higher direct emissions of carbon dioxide (CO 2 ) rather than nitrous oxide (N 2 O). Compared to the N fertilizer alone, organic amendments and NP increased cumulative energy yield by 134 - 202 % but decreased GHGI by 38 - 55 %, indicating that organic fertilizers increased crop productivity at the cost of higher GHG emissions. When the soil organic carbon changes ( Delta SOC) were accounted for in the C emission balance, manure application acted as a net C sink due to the NGHGB recorded with -123 kg CO 2 -eq ha -1 year -1 . When producing the same yield and economic benefits, the manure and straw addition decreased the CF by 59 - 85 % compared to N fertilization alone. Overall, the transition from mineral to organic fertilization in the semi -arid regions is a two-way independent solution to increase agricultural productivity along with the reduction of C emissions.</t>
  </si>
  <si>
    <t>[Shao, Guodong; Liu, Buchun; Liu, Enke] Chinese Acad Agr Sci, Inst Environm &amp; Sustainable Dev Agr, Beijing 100081, Peoples R China; [Shao, Guodong] Univ Tubingen, Dept Geosci, Geo Biosphere Interact, D-72076 Tubingen, Germany; [Zhou, Jie] Nanjing Agr Univ, Coll Agr, Nanjing 210095, Peoples R China; [Alharbi, Sulaiman Almwarai] King Saud Univ, Coll Sci, Dept Bot &amp; Microbiol, POB 2455, Riyadh 11451, Saudi Arabia; [Kuzyakov, Yakov] Univ Gottingen, Dept Soil Sci Temperate Ecosyst, D-37077 Gottingen, Germany; [Kuzyakov, Yakov] Peoples Friendship Univ Russia RUDN Univ, Moscow 117198, Russia; [Kuzyakov, Yakov] Kazan Fed Univ, Inst Environm Sci, Kazan 420049, Russia</t>
  </si>
  <si>
    <t>Chinese Academy of Agricultural Sciences; Institute of Environment &amp; Sustainable Development in Agriculture, CAAS; Eberhard Karls University of Tubingen; Nanjing Agricultural University; King Saud University; University of Gottingen; Peoples Friendship University of Russia; Kazan Federal University</t>
  </si>
  <si>
    <t>Liu, BC; Liu, EK (corresponding author), Chinese Acad Agr Sci, Inst Environm &amp; Sustainable Dev Agr, Beijing 100081, Peoples R China.</t>
  </si>
  <si>
    <t>liubuchun@caas.cn; liuenke@caas.cn</t>
  </si>
  <si>
    <t>; Kuzyakov, Yakov/D-1605-2010; Shao, Guodong/GXN-2587-2022</t>
  </si>
  <si>
    <t>Shao, Guodong/0000-0001-7122-1319; Kuzyakov, Yakov/0000-0002-9863-8461;</t>
  </si>
  <si>
    <t>National Key R &amp; D Program of China [2021YFE0101300]; National Natural Science Foundation of China [31961143017, 42050410320]; West -Siberian Interregional Science and Education Center [89 -DON (1)]; Project CarboRus [075-15-2021-610]; RUDN University Strategic Academic Leadership Program</t>
  </si>
  <si>
    <t>National Key R &amp; D Program of China; National Natural Science Foundation of China(National Natural Science Foundation of China (NSFC)); West -Siberian Interregional Science and Education Center; Project CarboRus; RUDN University Strategic Academic Leadership Program</t>
  </si>
  <si>
    <t>This work was supported by the National Key R &amp; D Program of China (2021YFE0101300) , the National Natural Science Foundation of China (31961143017 and 42050410320) , as well as the West -Siberian Interregional Science and Education Center's project No. 89 -DON (1) , Project CarboRus (075-15-2021-610) , and the RUDN University Strategic Academic Leadership Program.</t>
  </si>
  <si>
    <t>MAY 20</t>
  </si>
  <si>
    <t>10.1016/j.scitotenv.2024.172082</t>
  </si>
  <si>
    <t>QX7Z7</t>
  </si>
  <si>
    <t>WOS:001224245600001</t>
  </si>
  <si>
    <t>Rehman, A; Ma, HY; Ahmad, M; Ozturk, I; Chishti, MZ</t>
  </si>
  <si>
    <t>Rehman, Abdul; Ma, Hengyun; Ahmad, Munir; Ozturk, Ilhan; Chishti, Muhammad Zubair</t>
  </si>
  <si>
    <t>How do climatic change, cereal crops and livestock production interact with carbon emissions? Updated evidence from China</t>
  </si>
  <si>
    <t>CO2 emission; Climatic change; Livestock production; Rainfall; Cereal crops production</t>
  </si>
  <si>
    <t>DIOXIDE EMISSIONS; TIME-SERIES; INTEGRATED ASSESSMENT; EMPIRICAL-EVIDENCE; ECONOMIC-GROWTH; ENERGY DEMAND; CO2 EMISSIONS; UNIT-ROOT; AGRICULTURE; IMPACT</t>
  </si>
  <si>
    <t>Carbon dioxide emission and climatic variation have a detrimental influence on the atmosphere as well as on agriculture production. The key aim of the present study was to investigate the influence of carbon dioxide emission on livestock, cereal crops production, rainfall and temperature in China by utilizing the vector autoregressive model and Granger causality test for the period 1988-2017. Variables stationarity was verified by using ADF, P-P and KPSS unit root tests. The outcomes through long-run dynamics exposed that agriculture value added and rainfall have a positive influence on carbon dioxide emission, while cereal crops production, livestock production and temperature have an adverse interaction with carbon dioxide emission. Similarly, the results of the short-run analysis also demonstrate that agriculture value added, cereal crops production, livestock production, rainfall and temperature have a significant influence on carbon dioxide emission with their p-values (0.0488), (0.0885), (0.0263), (0.0096) and (0.5141) respectively. Furthermore, the Granger causality test outcomes also exposed a unidirectional linkage amid the variables. In order to improve agricultural productivity, the Chinese government should take potential steps to minimize the carbon dioxide emission from various industries that trigger climate change.</t>
  </si>
  <si>
    <t>[Rehman, Abdul; Ma, Hengyun] Henan Agr Univ, Coll Econ &amp; Management, Zhengzhou 450002, Peoples R China; [Ahmad, Munir] Zhejiang Univ, Sch Econ, Hangzhou 310027, Peoples R China; [Ozturk, Ilhan] Cag Univ, Fac Econ &amp; Adm Sci, TR-33800 Mersin, Turkey; [Ozturk, Ilhan] China Med Univ, China Med Univ Hosp, Dept Med Res, Taichung, Taiwan; [Ozturk, Ilhan] Asia Univ, Dept Finance, 500 Lioufeng Rd, Taichung 41354, Taiwan; [Chishti, Muhammad Zubair] Quaid I Azam Univ, Sch Econ, Islamabad, Pakistan</t>
  </si>
  <si>
    <t>Henan Agricultural University; Zhejiang University; Cag University - Turkey; China Medical University Taiwan; China Medical University Hospital - Taiwan; Asia University Taiwan; Quaid I Azam University</t>
  </si>
  <si>
    <t>Rehman, A (corresponding author), Henan Agr Univ, Coll Econ &amp; Management, Zhengzhou 450002, Peoples R China.</t>
  </si>
  <si>
    <t>abdrehman@henau.edu.cn; h.y.ma@163.com; munirahmad@zju.edu.cn; ilhanozturk@cag.edu.tr; chishtimz9@gmail.com</t>
  </si>
  <si>
    <t>Rehman, Abdul/AAG-3676-2021; Chishti, Muhammad Zubair/AAP-1992-2020; Ma, Hengyun/P-8034-2019; Ozturk, Ilhan/B-9431-2009</t>
  </si>
  <si>
    <t>Rehman, Abdul/0000-0001-7809-5124; Chishti, Muhammad Zubair/0000-0003-2513-2619;</t>
  </si>
  <si>
    <t>10.1007/s11356-021-12948-0</t>
  </si>
  <si>
    <t>FEB 2021</t>
  </si>
  <si>
    <t>TB2VK</t>
  </si>
  <si>
    <t>WOS:000618606600009</t>
  </si>
  <si>
    <t>Alasbali, N; Masood, F; Alnazzawi, N; Ghaban, W; Alazeb, A; Basurra, S; Saeed, F</t>
  </si>
  <si>
    <t>Alasbali, Nada; Masood, Fahad; Alnazzawi, Noha; Ghaban, Wad; Alazeb, Abdulwahab; Basurra, Shadi; Saeed, Faisal</t>
  </si>
  <si>
    <t>IoT-UAV-Enabled Intelligent Resource Management in Low-Carbon Smart Agriculture Using Federated Reinforcement Learning</t>
  </si>
  <si>
    <t>Consumer electronics; Temperature sensors; Autonomous aerial vehicles; Internet of Things; Smart agriculture; Resource management; Soil moisture; Crops; Convolutional neural networks; Reinforcement learning; Federated reinforcement learning; IoT; UAV; energy efficiency; agriculture consumer electronics</t>
  </si>
  <si>
    <t>The Internet of Things (IoT) and unmanned aerial vehicles (UAVs) continue to advance the low-carbon smart agriculture technologies for next-generation consumer electronics and unlock more informed agricultural practices. Reinforcement learning (RL), federated learning (FL), and federated reinforcement learning (FRL) have demonstrated notable achievements in resolving complex problems, including resource allocation, energy efficiency, anomaly detection, and bandwidth utilization for multimodal tasks. This research explores multimodal data analysis and resource optimization using FRL for agricultural consumer electronics. The proposed framework employs IoT devices to monitor temperature, humidity, soil temperature, and soil moisture in real time, while UAVs provide aerial imagery for soil moisture, crop growth, and pest identification across three fields. This framework supports distributed learning, which trains local RL models on each node and combines them into the global model. The proposed FRL model demonstrated significant enhancements, including a 17% reduction in energy consumption for IoT devices and a 15% reduction for UAVs compared to non-FRL methods. This research emphasizes the effectiveness of FRL in integrating IoT and UAV for efficient resource allocation, energy efficiency, and reduced carbon emissions for low-carbon agricultural consumer electronics.</t>
  </si>
  <si>
    <t>[Alasbali, Nada] King Khalid Univ, Coll Comp Sci, Dept Informat &amp; Comp Syst, Abha 61421, Saudi Arabia; [Masood, Fahad] Abasyn Univ, Dept Comp, Peshawar 25000, Pakistan; [Alnazzawi, Noha] Royal Commiss Jubail &amp; Yanbu, Yanbu Ind Coll, Comp Sci &amp; Engn Dept, Yanbu 46411, Saudi Arabia; [Ghaban, Wad] Univ Tabuk, Appl Coll, Tabuk 47512, Saudi Arabia; [Alazeb, Abdulwahab] Najran Univ, Coll Comp Sci &amp; Informat Syst, Dept Comp Sci, Najran 61441, Saudi Arabia; [Basurra, Shadi; Saeed, Faisal] Birmingham City Univ, Coll Comp, Birmingham B4 7XG, England</t>
  </si>
  <si>
    <t>King Khalid University; Yanbu Industrial College; Royal Commission For Jubail &amp; Yanbu; University of Tabuk; Najran University; Birmingham City University</t>
  </si>
  <si>
    <t>Masood, F (corresponding author), Abasyn Univ, Dept Comp, Peshawar 25000, Pakistan.</t>
  </si>
  <si>
    <t>Nalasbali@kku.edu.sa; fahad.masood@abasyn.edu.pk; alnazzawin@rcjy.edu.sa; Wghaban@ut.edu.sa; afalazeb@nu.edu.sa; shadi.basurra@bcu.ac.uk; faisal.saeed@bcu.ac.uk</t>
  </si>
  <si>
    <t>Ghaban, Wad/HMO-5493-2023; Saeed, Faisal/HNT-0710-2023; Alnazzaawi, Noha/ABG-9130-2021; Alazeb, Abdulwahab/ITU-7130-2023</t>
  </si>
  <si>
    <t>Ghaban, Wad/0000-0003-0564-4377; Alazeb, Abdulwahab/0000-0001-9661-7440; Saeed, Faisal/0000-0002-2822-1708;</t>
  </si>
  <si>
    <t>Deanship of Scientific Research at King Khalid University through a Large Group Research Project [RGP2/324/46]; Deanship of Graduate Studies and Scientific Research at Najran University through the Nama'a Program [NU/GP/SERC/13/18-1]</t>
  </si>
  <si>
    <t>Deanship of Scientific Research at King Khalid University through a Large Group Research Project; Deanship of Graduate Studies and Scientific Research at Najran University through the Nama'a Program</t>
  </si>
  <si>
    <t>This work was supported in part by the Deanship of Scientific Research at King Khalid University through a Large Group Research Project under Grant RGP2/324/46, and in part by the Deanship of Graduate Studies and Scientific Research at Najran University through the Nama'a Program under Project NU/GP/SERC/13/18-1.</t>
  </si>
  <si>
    <t>10.1109/TCE.2025.3572552</t>
  </si>
  <si>
    <t>6IZ0D</t>
  </si>
  <si>
    <t>WOS:001554485100004</t>
  </si>
  <si>
    <t>He, HH; Liu, J; Shu, ZP; Chen, YL; Pan, ZZ; Peng, C; Wang, XX; Zhou, FW; Zhou, M; Du, ZL; Sun, K; Xing, BS; Wang, ZM</t>
  </si>
  <si>
    <t>He, Haohua; Liu, Jie; Shu, Zhipeng; Chen, Yalan; Pan, Zezhen; Peng, Chao; Wang, Xingxing; Zhou, Fengwu; Zhou, Ming; Du, Zhangliu; Sun, Ke; Xing, Baoshan; Wang, Zimeng</t>
  </si>
  <si>
    <t>Microbially Driven Iron Cycling Facilitates Organic Carbon Accrual in Decadal Biochar-Amended Soil</t>
  </si>
  <si>
    <t>ENVIRONMENTAL SCIENCE &amp; TECHNOLOGY</t>
  </si>
  <si>
    <t>soil organic carbon; biochar; iron cycling; fresh organic matter; biotic-abiotic processes; upland soil</t>
  </si>
  <si>
    <t>HYDROXYL RADICALS; ARCTIC SOIL; MATTER; MINERALIZATION; SEQUESTRATION; MECHANISMS; DIVERSITY; DECOMPOSITION; OXIDATION; BACTERIA</t>
  </si>
  <si>
    <t>Soil organic carbon (SOC) is pivotal for both agricultural activities and climate change mitigation, and biochar stands as a promising tool for bolstering SOC and curtailing soil carbon dioxide (CO2) emissions. However, the involvement of biochar in SOC dynamics and the underlying interactions among biochar, soil microbes, iron minerals, and fresh organic matter (FOM, such as plant debris) remain largely unknown, especially in agricultural soils after long-term biochar amendment. We therefore introduced FOM to soils with and without a decade-long history of biochar amendment, performed soil microcosm incubations, and evaluated carbon and iron dynamics as well as microbial properties. Biochar amendment resulted in 2-fold SOC accrual over a decade and attenuated FOM-induced CO2 emissions by approximately 11% during a 56-day incubation through diverse pathways. Notably, biochar facilitated microbially driven iron reduction and subsequent Fenton-like reactions, potentially having enhanced microbial extracellular electron transfer and the carbon use efficiency in the long run. Throughout iron cycling processes, physical protection by minerals could contribute to both microbial carbon accumulation and plant debris preservation, alongside direct adsorption and occlusion of SOC by biochar particles. Furthermore, soil slurry experiments, with sterilization and ferrous iron stimulation controls, confirmed the role of microbes in hydroxyl radical generation and biotic carbon sequestration in biochar-amended soils. Overall, our study sheds light on the intricate biotic and abiotic mechanisms governing carbon dynamics in long-term biochar-amended upland soils.</t>
  </si>
  <si>
    <t>[He, Haohua; Shu, Zhipeng; Pan, Zezhen; Wang, Xingxing; Zhou, Fengwu; Zhou, Ming; Wang, Zimeng] Fudan Univ, Dept Environm Sci &amp; Engn, Shanghai 200433, Peoples R China; [Liu, Jie; Chen, Yalan; Sun, Ke] Beijing Normal Univ, Sch Environm, State Key Lab Water Environm Simulat, Beijing 100875, Peoples R China; [Pan, Zezhen; Wang, Zimeng] Natl Observat &amp; Res Stn Wetland Ecosyst Yangtze Es, Inst Ecochongming, Shanghai 200062, Peoples R China; [Pan, Zezhen; Wang, Zimeng] Shanghai Inst Pollut Control &amp; Ecol Secur, Shanghai 200433, Peoples R China; [Peng, Chao] China West Normal Univ, Coll Environm Sci &amp; Engn, Nanchong 637009, Peoples R China; [Du, Zhangliu] China Agr Univ, Coll Resources &amp; Environm Sci, Beijing Key Lab Biodivers &amp; Organ Farming, Beijing 100193, Peoples R China; [Xing, Baoshan] Univ Massachusetts, Stockbridge Sch Agr, Amherst, MA 01003 USA</t>
  </si>
  <si>
    <t>Fudan University; Beijing Normal University; Shanghai Institute of Pollution Control &amp; Ecological Security; China West Normal University; China Agricultural University; University of Massachusetts System; University of Massachusetts Amherst</t>
  </si>
  <si>
    <t>Pan, ZZ; Wang, ZM (corresponding author), Fudan Univ, Dept Environm Sci &amp; Engn, Shanghai 200433, Peoples R China.;Pan, ZZ; Wang, ZM (corresponding author), Natl Observat &amp; Res Stn Wetland Ecosyst Yangtze Es, Inst Ecochongming, Shanghai 200062, Peoples R China.;Pan, ZZ; Wang, ZM (corresponding author), Shanghai Inst Pollut Control &amp; Ecol Secur, Shanghai 200433, Peoples R China.</t>
  </si>
  <si>
    <t>zezhenpan@fudan.edu.cn; zimengw@fudan.edu.cn</t>
  </si>
  <si>
    <t>; Wang, Xingxing/GRF-4231-2022; Peng, Chao/AAA-9936-2022; Chen, Yalan/HNI-2380-2023; sun, ke/Q-2505-2019; Xing, Baoshan/AAE-7826-2019; Wang, Zimeng/E-1961-2011; Pan, Z/JQJ-3038-2023</t>
  </si>
  <si>
    <t>Pan, Zezhen/0000-0003-1712-3149; Wang, Xingxing/0000-0001-5030-3817; Chen, Yalan/0000-0003-2339-2986; He, Haohua/0009-0004-6280-1396</t>
  </si>
  <si>
    <t>National Natural Science Foundation of China [42125703, 42377402, 42107228]</t>
  </si>
  <si>
    <t>This project was supported by the National Natural Science Foundation of China (42125703, 42377402, 42107228). We thank Lu Lu and Ruiyu Yang at China West Normal University for their assistance in microbial community analysis and lab group member Gaosheng Xi for laboratory assistance. Discussion with Prof. Ming Nie at Fudan University and the comments from three anonymous reviewers helped improving this manuscript.</t>
  </si>
  <si>
    <t>AMER CHEMICAL SOC</t>
  </si>
  <si>
    <t>1155 16TH ST, NW, WASHINGTON, DC 20036 USA</t>
  </si>
  <si>
    <t>0013-936X</t>
  </si>
  <si>
    <t>1520-5851</t>
  </si>
  <si>
    <t>ENVIRON SCI TECHNOL</t>
  </si>
  <si>
    <t>Environ. Sci. Technol.</t>
  </si>
  <si>
    <t>JUL 5</t>
  </si>
  <si>
    <t>10.1021/acs.est.3c09003</t>
  </si>
  <si>
    <t>JUL 2024</t>
  </si>
  <si>
    <t>YM1K6</t>
  </si>
  <si>
    <t>WOS:001265056900001</t>
  </si>
  <si>
    <t>Shiraishi, T; Hirata, R; Hayashi, M; Hirano, T</t>
  </si>
  <si>
    <t>Shiraishi, Tomohiro; Hirata, Ryuichi; Hayashi, Masato; Hirano, Takashi</t>
  </si>
  <si>
    <t>Carbon dioxide emissions through land use change, fire, and oxidative peat decomposition in Borneo</t>
  </si>
  <si>
    <t>SOUTHEAST-ASIA; FOREST LOSS; INDONESIA; BIOMASS; PEATLANDS; BALANCE; EXPANSION; IMPACTS; EXTENT; SINK</t>
  </si>
  <si>
    <t>Borneo has accumulated an abundance of woody carbon in its forests and peat. However, agricultural land conversion accompanied by plantation development, dead wood burning, and peat drying from drainage are major challenges to climate change mitigation. This study aimed to develop a method of estimating carbon dioxide (CO2) emissions from land use change, forest and peat fires, and oxidative peat decomposition, and CO2 uptake from biomass growth across Borneo using remote sensing data from 2001 to 2016. Although CO2 uptake by biomass growth in vast forests has shown a significant increasing trend, an annual net release of 461.10 +/- 436.51 (average +/- 1 standard deviation) Tg CO2 year(-1) was observed. The estimated emissions were predominantly characterized by land use changes from 2001 to 2003, with the highest emissions in 2001. Land use change was evaluated from annual land use maps with an accuracy of 92.0 +/- 1.0% (average +/- 1 standard deviation). Forest and peat fires contributed higher emissions in 2002, 2006, 2009, 2014, and 2015 compared to other years and were strongly correlated with the Southern Oscillation Indexes. These results suggest that more CO2 may have been released into the atmosphere than previously thought.</t>
  </si>
  <si>
    <t>[Shiraishi, Tomohiro; Hirata, Ryuichi] Natl Inst Environm Studies NIES, Earth Syst Div, Ibaraki 3058506, Japan; [Shiraishi, Tomohiro] Nippon Bunri Univ, Sch Engn, Oita 8700397, Japan; [Hayashi, Masato] Japan Aerosp Explorat Agcy JAXA, Earth Observat Res Ctr, Ibaraki 3058505, Japan; [Hirano, Takashi] Hokkaido Univ, Res Fac Agr, Sapporo, Hokkaido 0608589, Japan</t>
  </si>
  <si>
    <t>Nippon Bunri University; Japan Aerospace Exploration Agency (JAXA); Hokkaido University</t>
  </si>
  <si>
    <t>Shiraishi, T (corresponding author), Natl Inst Environm Studies NIES, Earth Syst Div, Ibaraki 3058506, Japan.;Shiraishi, T (corresponding author), Nippon Bunri Univ, Sch Engn, Oita 8700397, Japan.</t>
  </si>
  <si>
    <t>shiraishith@nbu.ac.jp</t>
  </si>
  <si>
    <t>Hirano, Takashi/A-4557-2012</t>
  </si>
  <si>
    <t>Hirano, Takashi/0000-0002-0325-3922</t>
  </si>
  <si>
    <t>JSPS KAKENHI [JP19H05666]</t>
  </si>
  <si>
    <t>JSPS KAKENHI(Ministry of Education, Culture, Sports, Science and Technology, Japan (MEXT)Japan Society for the Promotion of ScienceGrants-in-Aid for Scientific Research (KAKENHI))</t>
  </si>
  <si>
    <t>This study was supported by the JSPS KAKENHI Grant Number JP19H05666. We thank Ruci Wang of Chiba University for creating the supervised data, and Yukako Monda (Kyoto University), Yoshiyuki Kiyono, Tamotsu Sato, and Gen Takao (Forestry and Forest Products Research Institute) for their valuable insights. The MOD14A1 and MCD12Q1 products were retrieved from https:// lpdaac.usgs.gov, maintained by the NASA EOSDIS Land Processes Distributed Active Archive Centre (LP DAAC) at the USGS Earth Resources Observation and Science (EROS) Centre, Sioux Falls, SD, USA. The Globbiomass map was downloaded at http://globbiomass.org/ products/global-mapping. The GEOCARBON global forest biomass map was downloaded at http://lucid.wur. nl/datasets/high-carbon-ecosystems. Fire emission inventories of GFED were downloaded at https://www.geo. vu.nl/~gwerf/GFED/GFED4/. The CO2 emissions data in Indonesia were retrieved from INCAS (http://incas. menlhk.go.id/id/province-data/).</t>
  </si>
  <si>
    <t>AUG 11</t>
  </si>
  <si>
    <t>10.1038/s41598-023-40333-z</t>
  </si>
  <si>
    <t>S0QJ5</t>
  </si>
  <si>
    <t>WOS:001068298400047</t>
  </si>
  <si>
    <t>Guo, SF; Qi, YC; Peng, Q; Dong, YS; He, YL; Yan, ZQ; Wang, LQ</t>
  </si>
  <si>
    <t>Guo Shufang; Qi Yuchun; Peng Qin; Dong Yunshe; He Yunlong; Yan Zhongqing; Wang Liqin</t>
  </si>
  <si>
    <t>Influences of drip and flood irrigation on soil carbon dioxide emission and soil carbon sequestration of maize cropland in the North China Plain</t>
  </si>
  <si>
    <t>JOURNAL OF ARID LAND</t>
  </si>
  <si>
    <t>drip irrigation; flood irrigation; spatio-temporal variation; carbon dioxide; soil organic carbon; North China Plain</t>
  </si>
  <si>
    <t>SPATIAL-TEMPORAL VARIATION; DISSOLVED ORGANIC-CARBON; MICROBIAL BIOMASS; CO2 EFFLUX; WINTER-WHEAT; OXIDE EMISSIONS; INNER-MONGOLIA; COTTON FIELD; NITROGEN; RESPIRATION</t>
  </si>
  <si>
    <t>The need is pressing to investigate soil CO2 (carbon dioxide) emissions and soil organic carbon dynamics under water-saving irrigation practices in agricultural systems for exploring the potentials of soil carbon sequestration. A field experiment was conducted to compare the influences of drip irrigation (DI) and flood irrigation (FI) on soil organic carbon dynamics and the spatial and temporal variations in CO2 emissions during the summer maize growing season in the North China Plain using the static closed chamber method. The mean CO2 efflux over the growing season was larger under DI than that under FI. The cumulative CO2 emissions at the field scale were 1959.10 and 1759.12 g/m(2) under DI and FI, respectively. The cumulative CO2 emission on plant rows (OR) was larger than that between plant rows (BR) under FI, and the cumulative CO2 emission on the irrigation pipes (OP) was larger than that between irrigation pipes (BP) under DI. The cumulative CO2 emissions of OP, BP and bare area (BA) under DI were larger than those of OR, BR and BA under FI, respectively. Additionally, DI promoted root respiration more effectively than FI did. The average proportion of root respiration contributing to the soil CO2 emissions of OP under DI was larger than that of OR under FI. A general conclusion drawn from this study is that soil CO2 emission was significantly influenced by the soil water content, soil temperature and air temperature under both DI and FI. Larger concentrations of dissolved organic carbon (DOC), microbial biomass carbon (MBC) and total organic carbon (TOC) were observed under FI than those under DI. The observed high concentrations (DOC, MBC, and TOC) under FI might be resulted from the irrigation-associated soil saturation that in turn inhibited microbial activity and lowered decomposition rate of soil organic matter. However, DI increased the soil organic matter quality (the ratio of MBC to TOC) at the depth of 10-20 cm compared with FI. Our results suggest that the transformation from conventional FI to integrated DI can increase the CO2 emissions and DI needs to be combined with other management practices to reduce the CO2 emissions from summer maize fields in the North China Plain.</t>
  </si>
  <si>
    <t>[Guo Shufang; Qi Yuchun; Peng Qin; Dong Yunshe; He Yunlong; Yan Zhongqing; Wang Liqin] Chinese Acad Sci, Key Lab Land Surface Pattern &amp; Simulat, Inst Geog Sci &amp; Nat Resources Res, Beijing 100101, Peoples R China</t>
  </si>
  <si>
    <t>Chinese Academy of Sciences; Institute of Geographic Sciences &amp; Natural Resources Research, CAS</t>
  </si>
  <si>
    <t>Dong, YS (corresponding author), Chinese Acad Sci, Key Lab Land Surface Pattern &amp; Simulat, Inst Geog Sci &amp; Nat Resources Res, Beijing 100101, Peoples R China.</t>
  </si>
  <si>
    <t>dongys@igsnrr.ac.cn</t>
  </si>
  <si>
    <t>Special Fund for Agro-scientific Research [201203012]; National Natural Science Foundation of China [41373084, 41330528, 41203054]</t>
  </si>
  <si>
    <t>Special Fund for Agro-scientific Research; National Natural Science Foundation of China(National Natural Science Foundation of China (NSFC))</t>
  </si>
  <si>
    <t>The work was supported by the Special Fund for Agro-scientific Research in the Public Interest (201203012), and the National Natural Science Foundation of China (41373084, 41330528, 41203054). The author thanks ZHAI Xuejun and LIU Zhanmao for their helps and guidance on the field experiment.</t>
  </si>
  <si>
    <t>1674-6767</t>
  </si>
  <si>
    <t>2194-7783</t>
  </si>
  <si>
    <t>J ARID LAND</t>
  </si>
  <si>
    <t>J. Arid Land</t>
  </si>
  <si>
    <t>10.1007/s40333-017-0011-9</t>
  </si>
  <si>
    <t>EN7VO</t>
  </si>
  <si>
    <t>WOS:000396210500006</t>
  </si>
  <si>
    <t>Edelenbosch, OY; Hof, AF; van den Berg, M; de Boer, HS; Chen, HH; Daioglou, V; Dekker, MM; Doelman, JC; den Elzen, MGJ; Harmsen, M; Mikropoulos, S; van Sluisveld, MAE; Stehfest, E; Tagomori, IS; van Zeist, WJ; van Vuuren, DP</t>
  </si>
  <si>
    <t>Edelenbosch, Oreane Y.; Hof, Andries F.; van den Berg, Maarten; de Boer, Harmen Sytze; Chen, Hsing-Hsuan; Daioglou, Vassilis; Dekker, Mark M.; Doelman, Jonathan C.; den Elzen, Michel G. J.; Harmsen, Mathijs; Mikropoulos, Stratos; van Sluisveld, Mariesse A. E.; Stehfest, Elke; Tagomori, Isabela S.; van Zeist, Willem-Jan; van Vuuren, Detlef P.</t>
  </si>
  <si>
    <t>Reducing sectoral hard-to-abate emissions to limit reliance on carbon dioxide removal</t>
  </si>
  <si>
    <t>NATURE CLIMATE CHANGE</t>
  </si>
  <si>
    <t>CO2 EMISSIONS; LONG-TERM; ENERGY; MODELS</t>
  </si>
  <si>
    <t>To reach net-zero greenhouse gas targets, carbon dioxide removal (CDR) technologies are required to compensate for residual emissions in the hard-to-abate sectors. However, dependencies on CDR technologies involve environmental, technical and social risks, particularly related to increased land requirements for afforestation and bioenergy crops. Here, using scenarios consistent with the 1.5 degrees C target, we show that demand and technological interventions can substantially lower emission levels in four hard-to-abate sectors (industry, agriculture, buildings and transport) and reduce reliance on the use of bioenergy with carbon capture and storage. Specifically, demand measures and technology-oriented measures could limit peak annual bioenergy with carbon capture and storage use to 0.5-2.2 GtCO2e per year and 1.9-7.0 GtCO2e per year, respectively, compared with 10.3 GtCO2e per year in the default 1.5 degrees C scenario. Dietary change plays a critical role in the demand measures given its large share in residual agricultural emissions. Moving towards net-zero emissions requires carbon dioxide removal (CDR) technologies, which bring environmental and socioeconomic risks. This study reveals that demand and technological interventions in hard-to-abate sectors help to achieve net-zero targets with less reliance on CDR.</t>
  </si>
  <si>
    <t>[Edelenbosch, Oreane Y.; Hof, Andries F.; Chen, Hsing-Hsuan; Daioglou, Vassilis; Dekker, Mark M.; Harmsen, Mathijs; Mikropoulos, Stratos; van Vuuren, Detlef P.] Univ Utrecht, Copernicus Inst Sustainable Dev, Utrecht, Netherlands; [Hof, Andries F.] Natl Inst Publ Hlth &amp; Environm RIVM, Bilthoven, Netherlands; [van den Berg, Maarten; de Boer, Harmen Sytze; Daioglou, Vassilis; Dekker, Mark M.; Doelman, Jonathan C.; den Elzen, Michel G. J.; Harmsen, Mathijs; van Sluisveld, Mariesse A. E.; Stehfest, Elke; Tagomori, Isabela S.; van Vuuren, Detlef P.] PBL Netherlands Environm Assessment Agcy, The Hague, Netherlands; [den Elzen, Michel G. J.] Vrije Univ Amsterdam, Inst Environm Studies IVM, Amsterdam, Netherlands; [van Zeist, Willem-Jan] Wageningen Univ &amp; Res, Wageningen Econ Res, The Hague, Netherlands</t>
  </si>
  <si>
    <t>Utrecht University; Netherlands National Institute for Public Health &amp; the Environment; Vrije Universiteit Amsterdam; Wageningen University &amp; Research</t>
  </si>
  <si>
    <t>Edelenbosch, OY (corresponding author), Univ Utrecht, Copernicus Inst Sustainable Dev, Utrecht, Netherlands.</t>
  </si>
  <si>
    <t>o.y.edelenbosch@uu.nl</t>
  </si>
  <si>
    <t>; Hof, Andries/AFB-4199-2022; van Sluisveld, Mariësse/AAF-7452-2021; Daioglou, Vassilis/L-7262-2013; Stehfest, Elke/AAZ-4121-2020; den Elzen, Michel/M-2779-2016; van Vuuren, Detlef/A-4764-2009</t>
  </si>
  <si>
    <t>Schmidt Tagomori, Isabela/0000-0002-0469-6055; Daioglou, Vassilis/0000-0002-6028-352X; Dekker, Mark/0000-0002-3543-6889; Chen, Hsing-Hsuan/0000-0003-1671-3331; Edelenbosch, Oreane/0000-0002-6588-5255; Doelman, Jonathan/0000-0002-6842-573X; van den Berg, Maarten/0000-0001-9649-7995; den Elzen, Michel/0000-0002-5128-8150; Hof, Anies/0000-0002-7568-5038</t>
  </si>
  <si>
    <t>European Union [101056873, 101056868]</t>
  </si>
  <si>
    <t>European Union(European Union (EU))</t>
  </si>
  <si>
    <t>This work was supported by the European Union's Horizon Europe programme, grant agreement no. 101056873 (I.S.T. and D.P.v.V.), 'Enabling and Leveraging Climate Action towards Net Zero Emissions' (ELEVATE) and grant agreement no. 101056868 (O.Y.E., V.D., M.v.S. and D.P.v.V.), 'Circular Economy Modelling for Climate Change Mitigation' (CIRCOMOD).</t>
  </si>
  <si>
    <t>1758-678X</t>
  </si>
  <si>
    <t>1758-6798</t>
  </si>
  <si>
    <t>NAT CLIM CHANGE</t>
  </si>
  <si>
    <t>Nat. Clim. Chang.</t>
  </si>
  <si>
    <t>10.1038/s41558-024-02025-y</t>
  </si>
  <si>
    <t>JUN 2024</t>
  </si>
  <si>
    <t>Environmental Sciences; Environmental Studies; Meteorology &amp; Atmospheric Sciences</t>
  </si>
  <si>
    <t>YS4V9</t>
  </si>
  <si>
    <t>WOS:001242154800004</t>
  </si>
  <si>
    <t>Franco-Luesma, S; Cavero, J; Plaza-Bonilla, D; Cantero-Martínez, C; Arrúe, JL; Alvaro-Fuentes, J</t>
  </si>
  <si>
    <t>Franco-Luesma, Samuel; Cavero, Jose; Plaza-Bonilla, Daniel; Cantero-Martinez, Carlos; Luis Arrue, Jose; Alvaro-Fuentes, Jorge</t>
  </si>
  <si>
    <t>Tillage and irrigation system effects on soil carbon dioxide (CO2) and methane (CH4) emissions in a maize monoculture under Mediterranean conditions</t>
  </si>
  <si>
    <t>Soil CO2 emissions; Soil CH4 emissions; Sprinkler irrigation; Flood irrigation; Conventional tillage; No-tillage; Maize monoculture; Maize stover</t>
  </si>
  <si>
    <t>GREENHOUSE-GAS EMISSIONS; FILLED PORE-SPACE; ORGANIC-CARBON; CROP-ROTATION; AGRICULTURAL SOILS; N FERTILIZATION; FLUXES; CORN; N2O; TEMPERATURE</t>
  </si>
  <si>
    <t>Irrigation as well as soil tillage management are considered two possible strategies to reduce carbon dioxide (CO2) and methane (CH4) emissions from the soil in Mediterranean agroecosystems. The objective of this work was to assess the impact of the irrigation system (i.e. flood, F; and sprinkler, S) and the soil tillage system (i.e. conventional tillage, CT; no-tillage maintaining the maize stover, NTr; and no-tillage removing the maize stover, NT) on CO2 and CH4 emissions from the soil during three growing seasons (2015, 2016 and 2017) and two fallow periods between growing seasons (15-16 fallow and 16-17 fallow) in a maize (Zea mays L.) monoculture system. Soil temperature and water-filled pore space (WFPS) had a great influence on daily soil CO2 fluxes but not on daily soil CH4 fluxes. In all tillage-irrigation treatments, daily soil CO2 fluxes showed an increase with soil temperature, being this increment greater when soil temperature was above 15 degrees C in coincidence with the maize plant growth. In contrast, soil WFPS differently affected daily soil CO2 fluxes depending on the irrigation system. Under S irrigation, daily soil CO2 fluxes increased with soil WFPS, whereas under F irrigation a threshold value of 60% WFPS was found, with a positive or negative effect on CO2 fluxes for values below or above this threshold value, respectively. Over the three maize growing seasons, CT-S presented the greatest cumulative soil CO2 emissions with a seasonal average value of 3.28 Mg CO2-C ha(-1). In contrast, for the same period, NTr-S cumulative soil CO2 emissions were up to 42% lower than the CT-S cumulative soil CO2 emissions. Cumulative CH4 emissions were only affected by soil tillage during the 16-17 fallow period, resulting both NTr and NT in greater net CH4 uptake compared with CT. This work highlights the importance of irrigation and soil tillage systems as key agricultural practices to minimize soil CO2 and CH4 emissions under Mediterranean conditions.</t>
  </si>
  <si>
    <t>[Franco-Luesma, Samuel; Cavero, Jose; Luis Arrue, Jose; Alvaro-Fuentes, Jorge] CSIC, Sou &amp; Water Dept Estn Expt Aula Dei EEAD, 1005 Montanana Ave, Zaragoza 50059, Spain; [Plaza-Bonilla, Daniel; Cantero-Martinez, Carlos] Univ Lleida, Crop &amp; Forest Sci Dept, EEAD CSIC Associated Unit, Agrotecnio Ctr, 191Alcalde Rovira Roure Ave, Lleida 25198, Spain</t>
  </si>
  <si>
    <t>Consejo Superior de Investigaciones Cientificas (CSIC); CSIC - Estacion Experimental de Aula Dei (EEAD); Universitat de Lleida; Consejo Superior de Investigaciones Cientificas (CSIC); CSIC - Estacion Experimental de Aula Dei (EEAD)</t>
  </si>
  <si>
    <t>Franco-Luesma, S (corresponding author), CSIC, Sou &amp; Water Dept Estn Expt Aula Dei EEAD, 1005 Montanana Ave, Zaragoza 50059, Spain.</t>
  </si>
  <si>
    <t>sfrancoluesma@gmail.com</t>
  </si>
  <si>
    <t>Cavero, Jose/D-8350-2011; Cantero-Martinez, Carlos/D-3231-2013; Álvaro-Fuentes, Jorge/E-7890-2012; Plaza-Bonilla, Daniel/L-5075-2013; Alvaro-Fuentes, Jorge/E-7890-2012; Cantero-Martinez, Carlos/D-3231-2013; Franco-Luesma, Samuel/AAF-7104-2019; Arrúe, José/G-4056-2011</t>
  </si>
  <si>
    <t>Cantero-Martinez, Carlos/0000-0002-6984-2025; Álvaro-Fuentes, Jorge/0000-0002-0192-7954; Cantero-Martinez, Carlos/0000-0002-6984-2025; Franco-Luesma, Samuel/0000-0003-1269-8664</t>
  </si>
  <si>
    <t>Ministry of Science, Innovation and Universities (MICINN) of Spain [BES-2014-069175]; MICINN [FJCI-2014-19570, IJCI-2016-27784, AGL2013-49062-C4-4-R]</t>
  </si>
  <si>
    <t>Ministry of Science, Innovation and Universities (MICINN) of Spain; MICINN(Spanish GovernmentMinistry of Science &amp; Innovation, Spain (MICINN))</t>
  </si>
  <si>
    <t>The authors would like to thank Elena Paracuellos Planas, Cesar Romano, Miguel Angel Milian Espiau, Valero Perez Laguardia and Florin Ion for laboratory and field assistance. Samuel Franco-Luesma was awarded a FPI fellowship by the Ministry of Science, Innovation and Universities (MICINN) of Spain (ref. BES-2014-069175). Daniel Plaza-Bonilla was awarded a Juan de la Cierva postdoctoral grant by MICINN (refs. FJCI-2014-19570; IJCI-2016-27784). This research was supported by a MICINN grant (ref. AGL2013-49062-C4-4-R).</t>
  </si>
  <si>
    <t>10.1016/j.still.2019.104488</t>
  </si>
  <si>
    <t>JU1CV</t>
  </si>
  <si>
    <t>WOS:000501416400043</t>
  </si>
  <si>
    <t>Rowland, PI; Hagger, V; Lovelock, CE</t>
  </si>
  <si>
    <t>Rowland, Phebe I.; Hagger, Valerie; Lovelock, Catherine E.</t>
  </si>
  <si>
    <t>Opportunities for blue carbon restoration projects in degraded agricultural land of the coastal zone in Queensland, Australia</t>
  </si>
  <si>
    <t>REGIONAL ENVIRONMENTAL CHANGE</t>
  </si>
  <si>
    <t>Blue carbon; Coastal wetland; Melaleuca; Restoration; Land degradation; Coastal agriculture</t>
  </si>
  <si>
    <t>ACID SULFATE SOIL; SALINITY; WATER; DRAINAGE; VALLEY; CONSERVATION; IRRIGATION; INTRUSION; WETLAND; DELTA</t>
  </si>
  <si>
    <t>Restoring degraded agricultural lands to their original coastal wetland cover is an approach for enhancing blue carbon storage. This approach enhances carbon sequestration in biomass and soils whilst reducing greenhouse gas emissions and delivering other conservation benefits such as enhancing biodiversity, improving water quality, and protecting coastlines from sea level rise. In Queensland, Australia, tens of thousands of hectares of coastal land have been converted to agriculture since the 1900s, often through drainage. We evaluated the characteristics of degraded agricultural land to identify opportunities for blue carbon restoration projects. Degraded agricultural land was identified through visual inspection of satellite imagery. Our analysis revealed degradation was associated with historical Melaleuca-dominated wetland vegetation and current land uses other than intensive agriculture. Field sampling of a subset of paired degraded and non-degraded sites found that water content, organic carbon, and electrical conductivity were significantly higher at degraded sites. We also observed standing water, drainage structures, and dead trees at degraded sites. From our analyses, we inferred land degradation is likely caused by waterlogging, salinisation, and land management choices. Degraded land historically vegetated by Melaleuca-dominated wetlands could be targeted for blue carbon restoration projects that protect remaining soil carbon and enhance carbon storage, restore ecosystem services, and provide new income streams for landowners. Further characterisation of the distribution of degraded lands may contribute to prioritisation of sites suitable for restoration.</t>
  </si>
  <si>
    <t>[Rowland, Phebe I.; Hagger, Valerie; Lovelock, Catherine E.] Univ Queensland, Sch Biol Sci, St Lucia, Qld 4072, Australia</t>
  </si>
  <si>
    <t>University of Queensland</t>
  </si>
  <si>
    <t>Rowland, PI (corresponding author), Univ Queensland, Sch Biol Sci, St Lucia, Qld 4072, Australia.</t>
  </si>
  <si>
    <t>p.rowland@uq.net.au</t>
  </si>
  <si>
    <t>Lovelock, Catherine/AAF-7294-2020; Hagger, Valerie/G-1773-2014; Lovelock, Catherine E/G-7370-2012; Fidge, Phebe/KHT-9168-2024</t>
  </si>
  <si>
    <t>Rowland, Phebe/0000-0003-1369-7866; Lovelock, Catherine E/0000-0002-2219-6855; Hagger, Valerie/0000-0001-8408-8449</t>
  </si>
  <si>
    <t>1436-3798</t>
  </si>
  <si>
    <t>1436-378X</t>
  </si>
  <si>
    <t>REG ENVIRON CHANGE</t>
  </si>
  <si>
    <t>Reg. Envir. Chang.</t>
  </si>
  <si>
    <t>10.1007/s10113-022-02013-y</t>
  </si>
  <si>
    <t>9D2JA</t>
  </si>
  <si>
    <t>WOS:000935927600002</t>
  </si>
  <si>
    <t>Fu, CC; Klein, SG; Breavington, J; Lim, KK; Steckbauer, A; Duarte, CM</t>
  </si>
  <si>
    <t>Fu, Chuancheng; Klein, Shannon G.; Breavington, Jessica; Lim, Kah Kheng; Steckbauer, Alexandra; Duarte, Carlos M.</t>
  </si>
  <si>
    <t>Nonuniform organic carbon stock loss in soils across disturbed blue carbon ecosystems</t>
  </si>
  <si>
    <t>NATURE COMMUNICATIONS</t>
  </si>
  <si>
    <t>GREENHOUSE-GAS EMISSIONS; LAND-USE; MANGROVE FOREST; SPARTINA-ALTERNIFLORA; PHYSICAL DISTURBANCE; SEAGRASS ECOSYSTEMS; SALT MARSHES; MASSIVE LOSS; FOOD WEBS; STORAGE</t>
  </si>
  <si>
    <t>Conserving blue carbon ecosystems (BCEs) has gained international attention in climate change mitigation, reflected in United Nations policies and voluntary carbon-offset projects. These efforts assume significant and uniform losses of soil organic carbon (Corg) throughout the top meter following disturbances, yet this assumption lacks robust empirical support. Here, we synthesized 239 paired observations of intact and disturbed BCEs globally. Soil Corg stock losses in the top meters vary widely: from -68.4% (agricultural conversion, +/- 13.4%, 95% confidence interval) to +0.8% (harvesting, +/- 46.2%) in mangroves, -25.9% (climate/hydrological change, +/- 30.7%) to +48.6% (grazing, +/- 78.7%) in saltmarshes, and -34.2% (vegetation cover damage, +/- 22.4%) to -27.4% (dredging, +/- 33.6%) in seagrasses. Extensive disturbances deplete Corg down to 50-200 cm, while limited disturbances impact only the top 10-30 cm or resulted in negligible losses. This refinement contributes to improved global inventories of greenhouse gas emissions from BCEs, supporting abatement policy settings for nationally determined contributions commitments.</t>
  </si>
  <si>
    <t>[Fu, Chuancheng; Klein, Shannon G.; Breavington, Jessica; Lim, Kah Kheng; Steckbauer, Alexandra; Duarte, Carlos M.] King Abdullah Univ Sci &amp; Technol KAUST, Marine Sci Program, Biol &amp; Environm Sci &amp; Engn Div BESE, Thuwal, Saudi Arabia</t>
  </si>
  <si>
    <t>King Abdullah University of Science &amp; Technology</t>
  </si>
  <si>
    <t>Fu, CC (corresponding author), King Abdullah Univ Sci &amp; Technol KAUST, Marine Sci Program, Biol &amp; Environm Sci &amp; Engn Div BESE, Thuwal, Saudi Arabia.</t>
  </si>
  <si>
    <t>chuancheng.fu@kaust.edu.sa</t>
  </si>
  <si>
    <t>Lim, Kah/AAP-7414-2021; Klein, Shannon/L-8536-2013; Chuancheng, Fu/KWU-1658-2024; Duarte, Carlos/A-7670-2013; Duarte, Carlos M/A-7670-2013</t>
  </si>
  <si>
    <t>Klein, Shannon/0000-0001-8190-3188; Breavington, Jessica/0009-0004-8573-8561; Steckbauer, Alexana/0000-0002-8477-2256; Lim, Kah Kheng/0000-0001-9725-5269; Duarte, Carlos M/0000-0002-1213-1361</t>
  </si>
  <si>
    <t>Convex Seascape Survey [RGC/3/5372-01-01]</t>
  </si>
  <si>
    <t>Convex Seascape Survey</t>
  </si>
  <si>
    <t>This research was funded by Convex Seascape Survey with funding provided to C.M.D. (RGC/3/5372-01-01). We thank D. Emde, Y. Zhou, and Y. Wang for their help in developing code for soil organic carbon and dry bulk density modeling and for weighting the effect size in the data synthesis.</t>
  </si>
  <si>
    <t>2041-1723</t>
  </si>
  <si>
    <t>NAT COMMUN</t>
  </si>
  <si>
    <t>Nat. Commun.</t>
  </si>
  <si>
    <t>MAY 11</t>
  </si>
  <si>
    <t>10.1038/s41467-025-59752-9</t>
  </si>
  <si>
    <t>2PQ0Z</t>
  </si>
  <si>
    <t>WOS:001488303200005</t>
  </si>
  <si>
    <t>Ghosh, U; Thapa, R; Desutter, T; He, YB; Chatterjee, A</t>
  </si>
  <si>
    <t>Ghosh, Upasana; Thapa, Resham; Desutter, Thomas; He Yangbo; Chatterjee, Amitava</t>
  </si>
  <si>
    <t>Saline-Sodic Soils: Potential Sources of Nitrous Oxide and Carbon Dioxide Emissions?</t>
  </si>
  <si>
    <t>PEDOSPHERE</t>
  </si>
  <si>
    <t>CO2; electrical conductivity; greenhouse gas emission; moisture; N fertilizer application; N2O; salinity; sodicity; sodium adsorption ratio</t>
  </si>
  <si>
    <t>ORGANIC-MATTER; N2O PRODUCTION; SUGAR-CANE; MOISTURE; MINERALIZATION; WATER; NITRIFICATION; GROWTH; DENITRIFICATION; YIELD</t>
  </si>
  <si>
    <t>Increasing salt-affected agricultural land due to low precipitation, high surface evaporation, irrigation with saline water, and poor cultural practices has triggered the interest to understand the influence of salt on nitrous oxide (N2O) and carbon dioxide (CO2) emissions from soil. Three soils with varying electrical conductivity of saturated paste extract (ECe) (0.44-7.20 dS m(-1)) and sodium adsorption ratio of saturated paste extract (SAR(e)) (1.0-27.7), two saline-sodic soils (S2 and S3) and a non-saline, non-sodic soil (SI), were incubated at moisture levels of 40%, 60%, and 80% water-filled pore space (WFPS) for 30 d, with or without nitrogen (N) fertilizer addition (urea at 525 mu g g(-1) soil). Evolving CO2 and N2O were estimated by analyzing the collected gas samples during the incubation period. Across all moisture and N levels, the cumulative N2O emissions increased significantly by 39.8% and 42.4% in S2 and S3, respectively, compared to 51. The cumulative CO2 emission from the three soils did not differ significantly as a result of the complex interactions of salinity and sodicity. Moisture had no significant effect on N2O emissions, but cumulative CO2 emissions increased significantly with an increase in moisture. Addition of N significantly increased cumulative N2O and CO2 emissions. These showed that saline-sodic soils can be a significant contributor of N2O to the environment compared to non-saline, non-sodic soils. The application of N fertilizer, irrigation, and precipitation may potentially increase greenhouse gas (N2O and CO2) releases from saline-sodic soils.</t>
  </si>
  <si>
    <t>[Ghosh, Upasana; Thapa, Resham; Desutter, Thomas; Chatterjee, Amitava] North Dakota State Univ, Dept Soil Sci, Fargo, ND 58108 USA; [He Yangbo] Huazhong Agr Univ, Key Lab Arable Land Conservat Middle &amp; Lower Reac, Minist Agr, Wuhan 430070, Peoples R China</t>
  </si>
  <si>
    <t>North Dakota State University Fargo; Huazhong Agricultural University</t>
  </si>
  <si>
    <t>Ghosh, U (corresponding author), North Dakota State Univ, Dept Soil Sci, Fargo, ND 58108 USA.</t>
  </si>
  <si>
    <t>upasana.ghosh@ndsu.edu</t>
  </si>
  <si>
    <t>He, Yangbo/K-8159-2013</t>
  </si>
  <si>
    <t>Thapa, Resham/0000-0002-0059-764X</t>
  </si>
  <si>
    <t>1002-0160</t>
  </si>
  <si>
    <t>2210-5107</t>
  </si>
  <si>
    <t>Pedosphere</t>
  </si>
  <si>
    <t>10.1016/S1002-0160(17)60296-0</t>
  </si>
  <si>
    <t>EL6IK</t>
  </si>
  <si>
    <t>WOS:000394725200006</t>
  </si>
  <si>
    <t>Fernandes, MAD; Baeta, BEL; Adarme, OFH; Fonseca, A</t>
  </si>
  <si>
    <t>Fernandes, Matheus Augusto de Oliveira; Baeta, Bruno Eduardo Lobo; Adarme, Oscar Fernando Herrera; Fonseca, Alberto</t>
  </si>
  <si>
    <t>LCA-based carbon footprint analysis of anaerobic digestion of coffee husk waste</t>
  </si>
  <si>
    <t>Carbon footprint; Life cycle assessment; Renewable energy; Biogas; Coffee husks; Anaerobic digestion</t>
  </si>
  <si>
    <t>LIFE-CYCLE ASSESSMENT; GREENHOUSE-GAS EMISSIONS; ENVIRONMENTAL ASSESSMENT; TO-ENERGY; ELECTRICITY-GENERATION; SUGARCANE BAGASSE; GROUNDS; BIOMASS</t>
  </si>
  <si>
    <t>While studies have shown that anaerobic digestion (AD) with energy generation of agricultural residues have many benefits, it is still unclear the extent to which this technology can reduce greenhouse gas (GHG) emissions, particularly in the context of coffee husk wastes. To address this knowledge gap, this work explored three scenarios of coffee husks as an energy source: 0) business-as-usual (landfilling); 1) AD with energy generation; 2) same as the previous one, adding a hydrothermal hydrolysis pre-treatment step. The study adopted a Life Cycle Assessment (LCA) methodology to estimate the environmental impacts of this technology in terms of GHG emissions. The results indicate that the main benefit of using AD is to avoid the impacts of landfilling, as the carbon footprint for the landfilling scenario was more than 13 times higher than the others. The emissions from digestate management were the main source of the overall emissions, accounting for 34 %. However, its use to replace chemical fertilizers affected the environmental performance positively. The inclusion of the pretreatment was a key factor in making the bioenergy from coffee husks less carbon-intensive than natural gas and oil, although common renewable sources such as wind and hydropower tend to have lower GHG emissions. Sensitivity analyses indicate that this type of bioenergy can mitigate GHG emissions from energy generation in coffee-producing countries with fossil-based energy mixes. Overall, this work fills a knowledge gap by providing empirical evidence to the potential benefits of using coffee husks in the world's transition to a low-carbon economy.</t>
  </si>
  <si>
    <t>[Fernandes, Matheus Augusto de Oliveira; Baeta, Bruno Eduardo Lobo; Fonseca, Alberto] Univ Fed Ouro Preto, Ouro Preto, MG, Brazil; [Adarme, Oscar Fernando Herrera] Univ Estadual Campinas, Sao Paulo, Brazil</t>
  </si>
  <si>
    <t>Universidade Federal de Ouro Preto; Universidade Estadual de Campinas</t>
  </si>
  <si>
    <t>Fernandes, MAD (corresponding author), Univ Fed Ouro Preto, Ouro Preto, MG, Brazil.</t>
  </si>
  <si>
    <t>matheus.aof@aluno.ufop.edu.br</t>
  </si>
  <si>
    <t>Fonseca, Alberto/B-1542-2017; BAETA, BRUNO/S-1897-2019; Fonseca, Alberto/OGO-2942-2025; ADARME, OSCAR/X-6318-2019</t>
  </si>
  <si>
    <t>Fonseca, Alberto/0000-0002-6661-5185; HERRERA ADARME, OSCAR FERNANDO/0000-0002-4203-4642; Lobo Baêta, Bruno/0000-0003-2327-0559; Fernandes, Matheus/0000-0001-8710-1039</t>
  </si>
  <si>
    <t>Coordenacao de Aperfeicoamento de Pessoal de Nivel Superior-Brasil (CAPES) [001]; Fundacao de Amparo a Pesquisa do Estado de Minas Gerais (FAPEMIG) [APA 00325-17]; Brazilian National Council for Scientific and Technological Development (CNPq) [311990/2021-5, 152180/2019-2]</t>
  </si>
  <si>
    <t>Coordenacao de Aperfeicoamento de Pessoal de Nivel Superior-Brasil (CAPES)(Coordenacao de Aperfeicoamento de Pessoal de Nivel Superior (CAPES)); Fundacao de Amparo a Pesquisa do Estado de Minas Gerais (FAPEMIG)(Fundacao de Amparo a Pesquisa do Estado de Minas Gerais (FAPEMIG)Fundacao de Amparo a Pesquisa e Inovacao do Estado de Santa Catarina (FAPESC)); Brazilian National Council for Scientific and Technological Development (CNPq)(Conselho Nacional de Desenvolvimento Cientifico e Tecnologico (CNPQ))</t>
  </si>
  <si>
    <t>This study was financed in part by the Coordenacao de Aperfeicoamento de Pessoal de Nivel Superior-Brasil (CAPES) -Finance Code 001 (Matheus Fernandes) ; the Fundacao de Amparo a Pesquisa do Estado de Minas Gerais (FAPEMIG) , project APA 00325-17 (Bruno Baeta) ; and the Brazilian National Council for Scientific and Technological Development (CNPq) , project grants 311990/2021-5 (Alberto Fonseca) and 152180/2019-2 (Oscar Adarme) .</t>
  </si>
  <si>
    <t>10.1016/j.rser.2024.114993</t>
  </si>
  <si>
    <t>J3N9R</t>
  </si>
  <si>
    <t>WOS:001336175500001</t>
  </si>
  <si>
    <t>Raposo, M; Canaveira, P; Domingos, T</t>
  </si>
  <si>
    <t>Raposo, Mariana; Canaveira, Paulo; Domingos, Tiago</t>
  </si>
  <si>
    <t>Estimating Soil Carbon Sequestration Potential in Portuguese Agricultural Soils Through Land-Management and Land-Use Changes</t>
  </si>
  <si>
    <t>soil organic carbon; IPCC guidelines; mitigation; cropland management; grassland management; natural climate solutions</t>
  </si>
  <si>
    <t>CO2 EMISSIONS; TILLAGE; STOCKS; ABANDONMENT; IRRIGATION; MITIGATION; SYSTEMS; EUROPE; IMPACT</t>
  </si>
  <si>
    <t>Soil carbon sequestration (SCS) is a nature-based, low-cost climate mitigation strategy that also contributes to the climate adaptation of agricultural systems. Some land-use and land-management practices potentially lead to an enhancement of the soil organic carbon (SOC) sink, such as no-till, the use of cover crops, leaving residues on fields, improving the variety of legume species in grasslands and reducing grazing intensity. However, uncertainties remain both in estimating and measuring the impact of the application of certain practices, as these vary with the soil, climate and historic land use. IPCC (Intergovernmental Panel on Climate Change) guidelines are commonly used to estimate SOC and SOC sequestration potentials at different tiers. Here, the IPCC's tier 1 methodology was applied to estimate (1) the sequestration potential of nine mitigation practices and (2) the emission or sequestration potential of four current land-change trends for n = 7092 unique agricultural sites in mainland Portugal. The conversion of irrigated crops to improved grasslands resulted in the highest average unit sequestration (1.05 tC ha-1 yr-1), while cropland conversion to poor degraded pasture (abandonment) resulted in the highest unit SOC loss (-0.08 tC ha-1 yr-1). The abandonment of cropland results in a national SOC loss of up to 0.09 MtC yr-1, while the improvement of poor degraded pastures has the highest national sequestration potential, equal to 0.6 MtC yr-1 (2.2 MtCO2eq yr-1), about 4% of Portugal's emissions in 2021, if applied in all managed areas. The results enable a comparison between different practices and land uses; however, to enhance accuracy, a higher tier methodology tailored to the Portuguese context should be developed.</t>
  </si>
  <si>
    <t>[Raposo, Mariana; Canaveira, Paulo; Domingos, Tiago] Univ Lisbon, MARETEC Marine Environm &amp; Technol Ctr, LARSyS Lab Robot &amp; Engn Syst, Inst Super Tecn, Ave Rovisco Pais 1, P-1049001 Lisbon, Portugal; [Canaveira, Paulo] Univ Lisbon, Lab Sustentabilidade Uso Terra &amp; Serv Ecossistemas, LEAF Linking Landscape Environm Ari &amp; Food, P-1349017 Lisbon, Portugal</t>
  </si>
  <si>
    <t>Universidade de Lisboa; Universidade de Lisboa</t>
  </si>
  <si>
    <t>Raposo, M (corresponding author), Univ Lisbon, MARETEC Marine Environm &amp; Technol Ctr, LARSyS Lab Robot &amp; Engn Syst, Inst Super Tecn, Ave Rovisco Pais 1, P-1049001 Lisbon, Portugal.</t>
  </si>
  <si>
    <t>mariana.raposo@tecnico.ulisboa.pt; paulo.canaveira@tecnico.ulisboa.pt; tdomingos@tecnico.ulisboa.pt</t>
  </si>
  <si>
    <t>Domingos, Tiago/D-4558-2012</t>
  </si>
  <si>
    <t>Domingos, Tiago/0000-0002-6194-0405; Raposo, Mariana/0009-0001-2998-1434</t>
  </si>
  <si>
    <t>NdegreesAgroClima projects; FCT/MCTES (PIDDAC) [UIDB/50009/2025, UIDP/50009/2025, LA/P/0083/2020]</t>
  </si>
  <si>
    <t>NdegreesAgroClima projects; FCT/MCTES (PIDDAC)(Fundacao para a Ciencia e a Tecnologia (FCT))</t>
  </si>
  <si>
    <t>This research was funded by N degrees AgroClima projects (1 April 2022 to 30 June 2025), which are funded by the PRR (Plano de Recuperac &amp; atilde;o e Resiliencia) and GreenBeef: Towards carbon neutral Angus beef production in Portugal (PO-CI-01-0247-FEDER-047050), led by Terraprima-Servicos Ambientais and BLOCKCHAIN.PT-Descentralizar Portugal com Blockchain (Contract n.degrees 51), funded by IAPMEI/PRR (Agendas Mobilizadoras para a Inovac &amp; atilde;o Empresarial). This work was also supported by FCT/MCTES (PIDDAC) through projects UIDB/50009/2025, UIDP/50009/2025 and LA/P/0083/2020.</t>
  </si>
  <si>
    <t>10.3390/su17031223</t>
  </si>
  <si>
    <t>W6C0H</t>
  </si>
  <si>
    <t>WOS:001419418100001</t>
  </si>
  <si>
    <t>Zhao, HY; Dong, ZH; Liu, B; Xiong, HY; Guo, CY; Lakshmanan, P; Wang, XZ; Chen, XP; Shi, XJ; Zhang, FS; Zhang, YQ</t>
  </si>
  <si>
    <t>Zhao, Huanyu; Dong, Zhihao; Liu, Bin; Xiong, Huaye; Guo, Chaoyi; Lakshmanan, Prakash; Wang, Xiaozhong; Chen, Xinping; Shi, Xiaojun; Zhang, Fusuo; Zhang, Yueqiang</t>
  </si>
  <si>
    <t>Can citrus production in China become carbon-neutral? A historical retrospect and prospect</t>
  </si>
  <si>
    <t>Citrus; Greenhouse gas emissions; Carbon sequestration; Carbon neutral</t>
  </si>
  <si>
    <t>GREENHOUSE-GAS EMISSIONS; NITROGEN-FERTILIZER APPLICATION; USE EFFICIENCIES; FOOD-CHAIN; AGRICULTURE; WATER; FARM; SEQUESTRATION; FOOTPRINT</t>
  </si>
  <si>
    <t>Reducing greenhouse gas (GHG) emissions and increasing carbon sequestration (CS) in agricultural systems are critical to realize carbon neutrality, and slowdown global climate change. However, a comprehensive analysis of GHG emissions, CS and the ways to achieve carbon neutrality of citrus production systems in China has not been reported. In this study, a NUFER-Citrus-LCA (citrus nutrient flows in food chains, environment, and resource use model combined with life cycle assessment) combined model was used to quantify the spatial and temporal characteristics of GHG emissions and CS from citrus production in China from 2004 to 2018 to determine the potential and the means to achieve carbon neutrality. The results showed that the GHG emissions varied remarkably among major citrus-producing provinces, with a decreasing trend in the last decade except for Guangdong province. However, the estimated emission for 2014-2018 (12,261 kg CO2-eq ha(-1) yr(-1)) was 2-3 times greater than that of other countries, with Guangdong province recording the highest GHG emissions (24,403 kg CO2-eq ha(-1) yr(-1)). Nitrogen fertilizer accounted for 71.5% of the total GHG emissions. The total carbon sequestration (TCS) during 2014-2018 was 24.1-74.5% of the total greenhouse gas (TGHG) emissions, depending on the province, indicating a net positive carbon emission in China's citrus production system. The scenario analysis showed considerable potential for transforming the Chinese citrus production system from a carbon source to a carbon sink. This will, however, require a crop management system that combines optimized nitrogen fertilizer management, 50% replacement of chemical fertilizer with organic fertilizer and use of cover crops, resulting in a total net carbon sequestration of 15.2 Mt CO2-eq yr(-1) nationally. Implementation of this crop management model is imperative for transitioning the Chinese citrus production toward carbon neutrality.</t>
  </si>
  <si>
    <t>[Zhao, Huanyu; Xiong, Huaye; Guo, Chaoyi; Wang, Xiaozhong; Chen, Xinping; Shi, Xiaojun; Zhang, Yueqiang] Southwest Univ, Coll Resources &amp; Environm, Chongqing 400716, Peoples R China; [Dong, Zhihao; Liu, Bin; Zhang, Fusuo] China Agr Univ, Coll Resources &amp; Environm Sci, Beijing 100196, Peoples R China; [Zhao, Huanyu; Liu, Bin; Guo, Chaoyi; Lakshmanan, Prakash; Wang, Xiaozhong; Chen, Xinping; Shi, Xiaojun; Zhang, Fusuo; Zhang, Yueqiang] Southwest Univ, Coll Resources &amp; Environm, Interdisciplinary Res Ctr Agr Green Dev Yangtze Ri, Chongqing 400716, Peoples R China; [Lakshmanan, Prakash] Guangxi Acad Agr Sci, Sugarcane Res Inst, Nanning 530000, Peoples R China; [Lakshmanan, Prakash; Zhang, Fusuo] Univ Queensland, Queensland Alliance Agr &amp; Food Innovat, St Lucia, Qld 4067, Australia; [Zhang, Yueqiang] Southwest Univ, State Cultivat Base Ecoagr Southwest Mountainous L, Chongqing 400716, Peoples R China; [Zhang, Yueqiang] Natl Monitoring Stn Soil Fertil &amp; Fertilizer Effic, Chongqing 400716, Peoples R China</t>
  </si>
  <si>
    <t>Southwest University - China; China Agricultural University; Southwest University - China; Guangxi Academy of Agricultural Sciences; University of Queensland; Southwest University - China</t>
  </si>
  <si>
    <t>Zhang, YQ (corresponding author), Southwest Univ, Coll Resources &amp; Environm, Chongqing 400716, Peoples R China.;Zhang, FS (corresponding author), China Agr Univ, Coll Resources &amp; Environm Sci, Beijing 100196, Peoples R China.</t>
  </si>
  <si>
    <t>zhangfs@cau.edu.cn; zhangyq82@swu.edu.cn</t>
  </si>
  <si>
    <t>Dong, Hao/JYP-7932-2024; ZHAO, HUANYU/JFD-8853-2023; Xinping, Chen/F-7305-2013; Zhang, Yue-Qiang/D-9337-2014; Zhang, Fusuo/AAV-4517-2021; LIU, BIN/KPA-9718-2024</t>
  </si>
  <si>
    <t>Dong, Zhihao/0000-0002-8523-5911; Lakshmanan, Prakash/0000-0003-1725-0391;</t>
  </si>
  <si>
    <t>National Natural Science Foundation of China [32172676]; Chongqing Technology Innovation and Application Development Project [cstc2021jscx-tpyzxX0007]</t>
  </si>
  <si>
    <t>National Natural Science Foundation of China(National Natural Science Foundation of China (NSFC)); Chongqing Technology Innovation and Application Development Project</t>
  </si>
  <si>
    <t>Acknowledgments This work was support by the National Natural Science Foundation of China (32172676) , the Chongqing Technology Innovation and Application Development Project (cstc2021jscx-tpyzxX0007) and the Key project of Integrated Demonstration of Supporting Technology of Fertilizer Quota Application in Chongqing Agricultural Technology Extension Station.</t>
  </si>
  <si>
    <t>10.1016/j.agee.2023.108412</t>
  </si>
  <si>
    <t>I2RD2</t>
  </si>
  <si>
    <t>WOS:001001297700001</t>
  </si>
  <si>
    <t>Cheng, K; Yan, M; Nayak, D; Pan, GX; Smith, P; Zheng, JF; Zheng, JW</t>
  </si>
  <si>
    <t>Cheng, K.; Yan, M.; Nayak, D.; Pan, G. X.; Smith, P.; Zheng, J. F.; Zheng, J. W.</t>
  </si>
  <si>
    <t>Carbon footprint of crop production in China: an analysis of National Statistics data</t>
  </si>
  <si>
    <t>JOURNAL OF AGRICULTURAL SCIENCE</t>
  </si>
  <si>
    <t>EMISSION; TRADE; RICE</t>
  </si>
  <si>
    <t>Assessing carbon footprint (CF) of crop production in a whole crop life-cycle could provide insights into the contribution of crop production to climate change and help to identify possible greenhouse gas (GHG) mitigation options. In the current study, data for the major crops of China were collected from the national statistical archive on cultivation area, yield, application rates of fertilizer, pesticide, diesel, plastic film, irrigated water, etc. The CF of direct and indirect carbon emissions associated with or caused by these agricultural inputs was quantified with published emission factors. In general, paddy rice, wheat, maize and soybean of China had mean CFs of 2472, 794, 781 and 222 kg carbon equivalent (CE)/ha, and 0.37, 0.14, 0.12 and 0.10 kg CE/kg product, respectively. For dry crops (i.e. those grown without flooding the fields: wheat, maize and soybean), 0.78 of the total CFs was contributed by nitrogen (N) fertilizer use, including both direct soil nitrous oxide (N2O) emission and indirect emissions from N fertilizer manufacture. Meanwhile, direct methane (CH4) emissions contributed 0.69 on average to the total CFs of flooded paddy rice. Moreover, the difference in N fertilizer application rates explained 0.86-0.93 of the provincial variations of dry crop CFs while that in CH4 emissions could explain 0.85 of the provincial variation of paddy rice CFs. When a 30% reduction in N fertilization was considered, a potential reduction in GHGs of 60 megatonne (Mt) carbon dioxide equivalent from production of these crops was projected. The current work highlights opportunities to gain GHG emission reduction in production of crops associated with good management practices in China.</t>
  </si>
  <si>
    <t>[Cheng, K.; Yan, M.; Pan, G. X.; Zheng, J. F.; Zheng, J. W.] Nanjing Agr Univ, Inst Resource Ecosyst &amp; Environm Agr, Nanjing 210095, Jiangsu, Peoples R China; [Cheng, K.; Yan, M.; Pan, G. X.; Zheng, J. F.; Zheng, J. W.] Nanjing Agr Univ, Ctr Climate Change &amp; Agr, Nanjing 210095, Jiangsu, Peoples R China; [Nayak, D.; Smith, P.] Univ Aberdeen, Sch Biol Sci, Inst Biol &amp; Environm Sci, Aberdeen AB24 3UU, Scotland</t>
  </si>
  <si>
    <t>Nanjing Agricultural University; Nanjing Agricultural University; University of Aberdeen</t>
  </si>
  <si>
    <t>Pan, GX (corresponding author), Nanjing Agr Univ, Inst Resource Ecosyst &amp; Environm Agr, Nanjing 210095, Jiangsu, Peoples R China.</t>
  </si>
  <si>
    <t>pangenxing@aliyun.com</t>
  </si>
  <si>
    <t>; Smith, Pete/G-1041-2010; Smith, Pete/G-1041-2010; Pan, Genxing/AAH-8501-2019; Cheng, Kun/N-3558-2016</t>
  </si>
  <si>
    <t>Zheng, Jufeng/0000-0002-1304-2803; Smith, Pete/0000-0002-3784-1124; Smith, Pete/0000-0002-3784-1124; Cheng, Kun/0000-0002-6101-0558; Nayak, Dali Rani/0000-0003-0653-0662</t>
  </si>
  <si>
    <t>National Natural Science Foundation of China [40830528, 41371300]; Science and Technology of China [2013BAD11B01]; CDM center, Ministry of Finance [0810010]; Ministry of Agriculture China under the UK-China Sustainable Agriculture Innovation Network (SAIN); Royal Society-Wolfson Research Merit Award; UK BBSRC China Partnership Award</t>
  </si>
  <si>
    <t>National Natural Science Foundation of China(National Natural Science Foundation of China (NSFC)); Science and Technology of China; CDM center, Ministry of Finance; Ministry of Agriculture China under the UK-China Sustainable Agriculture Innovation Network (SAIN); Royal Society-Wolfson Research Merit Award(Royal Society UK); UK BBSRC China Partnership Award(UK Research &amp; Innovation (UKRI)Biotechnology and Biological Sciences Research Council (BBSRC))</t>
  </si>
  <si>
    <t>This study was partially supported by the National Natural Science Foundation of China under a grant numbers 40830528 and 41371300, Science and Technology of China under a grant number 2013BAD11B01, CDM center, Ministry of Finance under a subcontract grant number 0810010, and the Ministry of Agriculture China under the UK-China Sustainable Agriculture Innovation Network (SAIN). PS is a Royal Society-Wolfson Research Merit Award and a UK BBSRC China Partnership Award holder.</t>
  </si>
  <si>
    <t>32 AVENUE OF THE AMERICAS, NEW YORK, NY 10013-2473 USA</t>
  </si>
  <si>
    <t>0021-8596</t>
  </si>
  <si>
    <t>1469-5146</t>
  </si>
  <si>
    <t>J AGR SCI-CAMBRIDGE</t>
  </si>
  <si>
    <t>J. Agric. Sci.</t>
  </si>
  <si>
    <t>10.1017/S0021859614000665</t>
  </si>
  <si>
    <t>CD9JP</t>
  </si>
  <si>
    <t>WOS:000351414900004</t>
  </si>
  <si>
    <t>Liu, Z; Zhao, YM; Li, YX; Liu, XY</t>
  </si>
  <si>
    <t>Liu, Zheng; Zhao, Yingming; Li, Yuanxin; Liu, Xinyu</t>
  </si>
  <si>
    <t>Spatiotemporal Evolution and Regional Disparities in the Carbon Reduction Potential of Fertilized Straw Utilization in China</t>
  </si>
  <si>
    <t>straw; resource utilization; carbon emission reduction; Theil index; spatial autocorrelation</t>
  </si>
  <si>
    <t>POLICY</t>
  </si>
  <si>
    <t>The fertilized utilization of straw is a crucial strategy for green agricultural development and carbon reduction in China. However, regional disparities in resource endowment and utilization create a complex spatial carbon emission reduction potential pattern. This study systematically analyzes the total straw and nutrient resources, as well as the spatiotemporal evolution of carbon reduction potential from fertilized straw utilization across 31 provinces from 2014 to 2023. The Theil index quantifies regional imbalances, while Moran's I and local spatial autocorrelation identify clustering patterns. Results indicate that China's total straw resources remained stable, with the highest concentration in the northeastern and central agricultural regions. The carbon reduction potential increased from 18.15 to 20.00 million tons, with nitrogen contributing 85% of the total reduction. The Theil index reveals narrowing regional disparities, though internal imbalances persist in the east. Spatial analysis highlights significant clustering, with the northeast and central regions showing strong high-high aggregation, while eastern coastal and western areas exhibit low-low clustering. Strengthening regional coordination, optimizing resource allocation, and promoting technology adoption are essential to reducing disparities and enhancing the national carbon reduction potential, contributing to China's green agricultural transformation and dual carbon goals.</t>
  </si>
  <si>
    <t>[Liu, Zheng; Zhao, Yingming; Li, Yuanxin; Liu, Xinyu] Liaoning Acad Agr Sci, Shenyang 110161, Peoples R China; [Liu, Xinyu] China Agr Univ, Organ Cycle Res Inst Suzhou, Suzhou 215100, Peoples R China</t>
  </si>
  <si>
    <t>Liaoning Academy of Agricultural Sciences; China Agricultural University</t>
  </si>
  <si>
    <t>Liu, XY (corresponding author), Liaoning Acad Agr Sci, Shenyang 110161, Peoples R China.;Liu, XY (corresponding author), China Agr Univ, Organ Cycle Res Inst Suzhou, Suzhou 215100, Peoples R China.</t>
  </si>
  <si>
    <t>liuxinyu@slaas.cn</t>
  </si>
  <si>
    <t>Liu, Zheng/KVC-1169-2024; Liu, Xinyu/HPD-3521-2023</t>
  </si>
  <si>
    <t>Liaoning Social Science Planning Fund Project [L21CJY016]</t>
  </si>
  <si>
    <t>Liaoning Social Science Planning Fund Project</t>
  </si>
  <si>
    <t>This study was supported by the Liaoning Social Science Planning Fund Project (L21CJY016) .</t>
  </si>
  <si>
    <t>2025 JUL 3</t>
  </si>
  <si>
    <t>10.15244/pjoes/204567</t>
  </si>
  <si>
    <t>8GE2P</t>
  </si>
  <si>
    <t>WOS:001587893500001</t>
  </si>
  <si>
    <t>Moretti, C; López-Contreras, A; de Vrije, T; Kraft, A; Junginger, M; Shen, L</t>
  </si>
  <si>
    <t>Moretti, Christian; Lopez-Contreras, Ana; de Vrije, Truus; Kraft, Axel; Junginger, Martin; Shen, Li</t>
  </si>
  <si>
    <t>From agricultural (by-)products to jet fuels: Carbon footprint and economic performance</t>
  </si>
  <si>
    <t>Biomass; Life cycle assessment; ABE fermentation; GHG emissions; Minimum selling price</t>
  </si>
  <si>
    <t>WELL-TO-WHEELS; EMISSIONS; SUGARCANE</t>
  </si>
  <si>
    <t>This research assesses thewell-to-tank (WTT) greenhouse gas (GHG) emissions and economic performance of an innovative bio-jet fuel via acetone-butanol-ethanol (ABE) fermentation. Dutch potato by-products fromthe food processing industry and sugar beets are explored as potential feedstocks. Four product systems differentiated by feedstocks, logistics and centralized/decentralized fermenters are investigated. For both feedstocks, it is found that a centralized large-scale fermentation is preferable to decentralized smallscale fermentation (25-30% less expensive and 5% lower WTT emissions). Once commercialization is reached, the cost and carbon performance of this novel bio-jet fuel could be similar to that of other alcohol-to-jet fuels. Depending on the feedstock and configuration considered, the GHG emission mitigation potential of this novel jetfuel was estimated between 41% and 52%. To meet the EU RED II 65% GHG reduction criterion, possible options could be using lowcarbon-intensive processing energy and hydrogen or storing permanently biogenic carbon dioxide from fermentation. (c) 2021 The Author(s). Published by Elsevier B.V. This is an open access article under the CC BY license (http:// creativecommons.org/licenses/by/4.0/).</t>
  </si>
  <si>
    <t>[Moretti, Christian; Junginger, Martin; Shen, Li] Univ Utrecht, Copernicus Inst Sustainable Dev, Utrecht, Netherlands; [Lopez-Contreras, Ana; de Vrije, Truus] Wageningen Univ &amp; Res, Food &amp; Biobased Res, Wageningen, Netherlands; [Kraft, Axel] Fraunhofer Inst Environm Safety &amp; Energy Technol, Oberhausen, Germany</t>
  </si>
  <si>
    <t>Utrecht University; Wageningen University &amp; Research; Fraunhofer Gesellschaft; Fraunhofer Germany; Fraunhofer Environmental Safety &amp; Energy Technology</t>
  </si>
  <si>
    <t>Moretti, C (corresponding author), Univ Utrecht, Copernicus Inst Sustainable Dev, Utrecht, Netherlands.</t>
  </si>
  <si>
    <t>c.moretti@uu.nl</t>
  </si>
  <si>
    <t>Contreras, Ana/J-9074-2015; Junginger, Martin/A-2687-2009; Shen, Li/N-3127-2013; Moretti, Christian/AAP-2432-2021</t>
  </si>
  <si>
    <t>Shen, Li/0000-0001-9378-7372; Moretti, Christian/0000-0001-5682-287X; López-Contreras, Ana María/0000-0001-7015-2622;</t>
  </si>
  <si>
    <t>DutchMinistry of Economy Affairs and Climate Policy through the TKI-BBEG program [TEBE116223]</t>
  </si>
  <si>
    <t>DutchMinistry of Economy Affairs and Climate Policy through the TKI-BBEG program</t>
  </si>
  <si>
    <t>This work is financially supported by the DutchMinistry of Economy Affairs and Climate Policy through the TKI-BBEG program (grant: TEBE116223). We would like to thank all our project partners.</t>
  </si>
  <si>
    <t>10.1016/j.scitotenv.2021.145848</t>
  </si>
  <si>
    <t>RP3DQ</t>
  </si>
  <si>
    <t>WOS:000641612900017</t>
  </si>
  <si>
    <t>Du, RR; Khan, A; Shi, R; Shen, YI; Zhao, MNA</t>
  </si>
  <si>
    <t>Du, Ruirui; Khan, Aftab; Shi, Rui; Shen, Yuiie; Zhao, Miniuan</t>
  </si>
  <si>
    <t>Impact of production outsourcing on the adoption of low-carbon agricultural technologies in China</t>
  </si>
  <si>
    <t>AGRICULTURAL ECONOMICS-ZEMEDELSKA EKONOMIKA</t>
  </si>
  <si>
    <t>agricultural social services; carbon mitigation measures; mediating effect model; propensity score matching; specialised farming; off-farm employment</t>
  </si>
  <si>
    <t>Adopting low -carbon agricultural technologies (LCATs) is fundamental to reducing carbon emissions in agriculture. Our study explores the factors influencing the adoption of LCATs and the roles of production outsourcing and specialised farming within the framework of off -farm employment. In this regard, survey data were collected from 1 040 farmers in the Yellow River region of China in 2020 to examine the effect of production outsourcing on the farmers' adoption of LCATs. Potential mechanisms associated with specialised farming and off -farm employment are considered to comprehend this relationship. We also investigate the heterogeneous effects of production outsourcing on adopting LCATs, taking different education levels and arable land areas into account. The results show a positive association between production outsourcing and farmers' LCATs adoption behaviour, even after considering self-selection bias. Specifically, outsourcing production can significantly increase the likelihood of farmers adopting low -carbon tillage, low -carbon irrigation, and low -carbon fertilisation technologies by 7.2%, 8.1%, and 7.3%, respectively. This effect is more pronounced among farmers with higher levels of education and smaller areas of arable land. Furthermore, production outsourcing increases the LCATs adoption by promoting specialised farming. The findings suggest that outsourcing is vital to alleviating the lack of LCATs adoption resulting from off -farm employment.</t>
  </si>
  <si>
    <t>[Du, Ruirui; Shen, Yuiie; Zhao, Miniuan] Northwest Agr &amp; Forestry Univ, Coll Econ &amp; Management, Yangling, Peoples R China; [Khan, Aftab] Shandong Univ, Inst Blue &amp; Green Dev, Weihai, Peoples R China; [Khan, Aftab] Shandong Univ, Inst Interdisciplinary Res, Weihai, Peoples R China; [Zhao, Miniuan] Xian Univ Finance &amp; Econ, Coll Econ, Xian, Peoples R China</t>
  </si>
  <si>
    <t>Northwest A&amp;F University - China; Shandong University; Shandong University; Xi'an University of Finance &amp; Economics</t>
  </si>
  <si>
    <t>Zhao, MNA (corresponding author), Northwest Agr &amp; Forestry Univ, Coll Econ &amp; Management, Yangling, Peoples R China.;Zhao, MNA (corresponding author), Xian Univ Finance &amp; Econ, Coll Econ, Xian, Peoples R China.</t>
  </si>
  <si>
    <t>minjuan.zhao@nwsuaf.edu.cn</t>
  </si>
  <si>
    <t>khan, Aftab/ACM-9632-2022</t>
  </si>
  <si>
    <t>National Natural Science Foundation of China [72173097]; National Social Science Foundation of China [22ZD083]; Key Special Funds of Ministry of Agriculture and Ministry of Finance [CARS--07-F-1]</t>
  </si>
  <si>
    <t>National Natural Science Foundation of China(National Natural Science Foundation of China (NSFC)); National Social Science Foundation of China(National Office of Philosophy and Social Sciences); Key Special Funds of Ministry of Agriculture and Ministry of Finance</t>
  </si>
  <si>
    <t>Supported by the National Natural Science Foundation of China (No. 72173097), the National Social Science Foundation of China (NO. 22&amp;ZD083), and the Key Special Funds of Ministry of Agriculture and Ministry of Finance (Grant No. CARS--07-F-1).</t>
  </si>
  <si>
    <t>CZECH ACADEMY AGRICULTURAL SCIENCES</t>
  </si>
  <si>
    <t>PRAGUE</t>
  </si>
  <si>
    <t>TESNOV 17, PRAGUE, 117 05, CZECH REPUBLIC</t>
  </si>
  <si>
    <t>0139-570X</t>
  </si>
  <si>
    <t>1805-9295</t>
  </si>
  <si>
    <t>AGR ECON-CZECH</t>
  </si>
  <si>
    <t>Agric. Econ.</t>
  </si>
  <si>
    <t>10.17221/385/2023-AGRICECON</t>
  </si>
  <si>
    <t>PU0V2</t>
  </si>
  <si>
    <t>WOS:001216488200004</t>
  </si>
  <si>
    <t>Abdul-Salam, Y; Hawes, C; Roberts, D; Young, M</t>
  </si>
  <si>
    <t>Abdul-Salam, Yakubu; Hawes, Cathy; Roberts, Deborah; Young, Mark</t>
  </si>
  <si>
    <t>The economics of alternative crop production systems in the context of farmer participation in carbon trading markets</t>
  </si>
  <si>
    <t>AGROECOLOGY AND SUSTAINABLE FOOD SYSTEMS</t>
  </si>
  <si>
    <t>Conventional agriculture; integrated agriculture; economics; carbon emissions trade; premium prices</t>
  </si>
  <si>
    <t>GREENHOUSE-GAS EMISSIONS; FARMING SYSTEMS; LIVESTOCK; IMPACTS</t>
  </si>
  <si>
    <t>Using scaled up data from an experimental farm platform in Scotland, we examined the relative economics of a conventional and a low-carbon integrated management system for two (otherwise identical) farms. By employing a novel market-based approach, we factored the market costs of greenhouse gas (GHG) emissions on the relative economics of both systems. Specifically, farmers are considered to be awarded emission credits in accordance with Scotland's agricultural emissions reduction targets. Farmers are then considered to trade their net GHG emissions in an emissions trading scheme, with the integrated system expected to benefit from this arrangement due to its lower emissions. In further sensitivity analyses, we also considered the effect of premium pricing of integrated system crops on the relative economics of both systems. We find that in both the status quo and emissions trading scenarios, the conventional system is significantly more profitable. In the emissions trading scenario, an emissions price roughly three times the reported median prices over the last five years is required for the integrated system's profitability to break-even with the conventional system. However, even at prevailing emissions prices, a 20% premium pricing of the integrated system crops enables near parity in the profitability of both systems. We conclude that in order to facilitate greater adoption of low-carbon systems, policies may be needed to encourage farmers' realization of the cost of their externalities, in particular GHG emissions. At the same time, support should be given to a market system that recognizes premium prices for low-carbon system products.</t>
  </si>
  <si>
    <t>[Abdul-Salam, Yakubu; Roberts, Deborah] James Hutton Inst, Aberdeen, Scotland; [Hawes, Cathy; Young, Mark] James Hutton Inst, Ctr Sustainable Cropping, Dundee, Invergowrie, Scotland</t>
  </si>
  <si>
    <t>James Hutton Institute; James Hutton Institute</t>
  </si>
  <si>
    <t>Abdul-Salam, Y (corresponding author), Heriot Watt Univ, Ctr Energy Econ Res &amp; Policy, Edinburgh EH14 4AS, Midlothian, Scotland.</t>
  </si>
  <si>
    <t>y.abdul-salam@hw.ac.uk</t>
  </si>
  <si>
    <t>Roberts, Deborah/G-8693-2013; Young, Mark/JAD-1998-2023</t>
  </si>
  <si>
    <t>Young, Mark/0000-0003-2855-4673;</t>
  </si>
  <si>
    <t>Rural and Environment Science and Analytical Services Division</t>
  </si>
  <si>
    <t>This work was supported by the Rural and Environment Science and Analytical Services Division [2.3.9].</t>
  </si>
  <si>
    <t>TAYLOR &amp; FRANCIS INC</t>
  </si>
  <si>
    <t>PHILADELPHIA</t>
  </si>
  <si>
    <t>530 WALNUT STREET, STE 850, PHILADELPHIA, PA 19106 USA</t>
  </si>
  <si>
    <t>2168-3565</t>
  </si>
  <si>
    <t>2168-3573</t>
  </si>
  <si>
    <t>AGROECOL SUST FOOD</t>
  </si>
  <si>
    <t>Agroecol. Sustain. Food Syst.</t>
  </si>
  <si>
    <t>JAN 2</t>
  </si>
  <si>
    <t>10.1080/21683565.2018.1537986</t>
  </si>
  <si>
    <t>HL0IK</t>
  </si>
  <si>
    <t>WOS:000458378000005</t>
  </si>
  <si>
    <t>Adewale, C; Reganold, JP; Higgins, S; Evans, D; Carpenter-Boggs, L</t>
  </si>
  <si>
    <t>Adewale, Cornelius; Reganold, John P.; Higgins, Stewart; Evans, Dave; Carpenter-Boggs, Lynne</t>
  </si>
  <si>
    <t>Agricultural carbon footprint is farm specific: Case study of two organic farms</t>
  </si>
  <si>
    <t>Carbon footprint; LCA; Organic farm; Farm size; Emission factors; Carbon footprint calculator</t>
  </si>
  <si>
    <t>GREENHOUSE-GAS EMISSIONS; LIFE-CYCLE ASSESSMENT; CLIMATE-CHANGE; ENVIRONMENTAL IMPACTS; CROPPING SYSTEMS; SOIL; SEQUESTRATION; ENERGY; METAANALYSIS; MANAGEMENT</t>
  </si>
  <si>
    <t>Making reliable inferences from agricultural carbon footprint (aCF) estimates require increased understanding of factors behind differences in carbon footprint (CF) of different farms and systems. Establishing sources and drivers of differences in aCF accounting can improve the level of accuracy of aCF modeling and help identify meaningful areas for decision-making for greenhouse gas mitigation efforts. Currently, a lack of consideration for different styles, sizes and location of organic farms in many studies comparing CF for agricultural products from organic and conventional farming systems limit our understanding of the factors behind the observed inconsistencies in their results. This study used OFoot tool, a Life Cycle Assessment and CropSyst based carbon footprint calculator for organic farms, to estimate the aCF of two certified organic farms growing several crops in common; one is a small-scale farm located in a maritime climate and the other is a large-scale farm located in a semi-arid climate. The study identified the hotspots of each farm's CF and the underlying reasons for differences in hotspots of the two farms and those of two mutual crops, onion and winter squash, grown by the farms. The CF of the small scale and the large scale farms were 7144 and 3410 kg CO2e ha-1 yr-1 respectively. Identified hotspots differ between the two farms as well. Critical CF hotspots in the small scale farm were fuel use (47.6%), greenhouse facilities (11.3%), and net soil emissions (10.3%), whereas those in the large scale farm were electricity used for irrigation (47.5%), fuel use (26.1%), and soil amendments (20.1%). The estimated CFs of onion and winter squash produced in the small scale farm were 0.188 and 0.276 kg CO2e per kg of crops, respectively, whereas the CFs of the same crops produced in the large-scale farm were 0.05 and 0.07 kg CO2e per kg of crops, respectively. This study identified farm size and site-specific soil and climatic conditions as factors influencing decision-making that have great impact on agricultural CF of the whole farms and individual crops of onion and squash. This study reiterates the importance of using site-specific emission factors in developing models and tools for aCF estimation and echoes the need for whole-farm CF analysis in understanding the context behind major hotspots in the CF of farms and farms products. Published by Elsevier Ltd.</t>
  </si>
  <si>
    <t>[Adewale, Cornelius; Reganold, John P.; Higgins, Stewart; Carpenter-Boggs, Lynne] Washington State Univ, Dept Crop &amp; Soil Sci, Pullman, WA 99164 USA; [Evans, Dave] Washington State Univ, Sch Biol Sci, Pullman, WA 99164 USA</t>
  </si>
  <si>
    <t>Washington State University; Washington State University</t>
  </si>
  <si>
    <t>Adewale, C (corresponding author), Washington State Univ, Dept Crop &amp; Soil Sci, Pullman, WA 99164 USA.</t>
  </si>
  <si>
    <t>cornelius.adewale@wsu.edu</t>
  </si>
  <si>
    <t>Organic Research and Extension Initiative, National Institute of Food and Agriculture, U.S. Department of Agriculture [2010-51300-21620]</t>
  </si>
  <si>
    <t>Organic Research and Extension Initiative, National Institute of Food and Agriculture, U.S. Department of Agriculture</t>
  </si>
  <si>
    <t>This material is based upon work that is supported by the Organic Research and Extension Initiative, National Institute of Food and Agriculture, U.S. Department of Agriculture, under award number 2010-51300-21620. Any opinions, findings, conclusions, or recommendations expressed in this publication are those of the author(s) and do not necessarily reflect the view of the U.S. Department of Agriculture.</t>
  </si>
  <si>
    <t>AUG 20</t>
  </si>
  <si>
    <t>10.1016/j.jclepro.2019.04.253</t>
  </si>
  <si>
    <t>IE9LF</t>
  </si>
  <si>
    <t>WOS:000472695200068</t>
  </si>
  <si>
    <t>Castellano-Hinojosa, A; Maltais-Landry, G; Martens-Habbena, W; Strauss, SL</t>
  </si>
  <si>
    <t>Castellano-Hinojosa, Antonio; Maltais-Landry, Gabriel; Martens-Habbena, Willm; Strauss, Sarah L.</t>
  </si>
  <si>
    <t>Depth-dependent effects of cover crops in citrus orchards on soil carbon and nitrogen cycling, greenhouse gas emissions, and soil microbial communities</t>
  </si>
  <si>
    <t>APPLIED SOIL ECOLOGY</t>
  </si>
  <si>
    <t>Cover cropping; Tree crops; C mineralization; N mineralization; Nitrous oxide; qPCR</t>
  </si>
  <si>
    <t>OXIDE EMISSIONS; AGRICULTURAL SOILS; ORGANIC-MATTER; MINERALIZATION; RESIDUES; DECOMPOSITION; MANAGEMENT; QUALITY; SEQUESTRATION; NITRIFICATION</t>
  </si>
  <si>
    <t>Fruit orchards are a major part of agricultural production, and planting cover crops (CCs) in the row middles of these agroecosystems can increase soil nutrient availability. However, it is largely unknown how different mixtures of CCs may impact soil carbon (C) and nitrogen (N) concentrations, greenhouse gas emissions (GHG), and the soil microbiome at different soil depths, which is important for understanding the contribution of CCs to these agroecosystems. We examined how CC composition (legumes and non-legumes vs. non-legumes only compared to a grower-standard treatment) affects soil properties, nitrification rates and gene abundances, N and C mineralization rates, denitrification gene abundances, and emissions of nitrous oxide (N2O) and dinitrogen (N2) at different soil depths (0-to 10-cm, 10-to 20-cm, and 20-to 30-cm soil layers) in the row middles of a Florida (USA) commercial citrus orchard after 30 months of CC treatment. We found that CC impacts on soil N and C concentrations and mineralization rates, emissions of N2O and N2, and the abundance of N-cycling genes mainly occurred in the top 0-to 10-cm soil layer whereas differences in these variables in deeper layers were not statistically significant. The combined use of legumes and non-legumes led to significantly greater soil NH4+ concentrations, net nitrification and N mineralization rates, and lower N2O emissions. Lower N2O emissions with legumes were linked to a greater abundance of N2O reducers vs. N2O producers compared to non-legumes alone and the grower-standard treatment in the topsoil layer. This study shows that CC impacts on soil nutrient cycling and microbial communities occur primarily in the topsoil of citrus orchards and that planting diverse CC mix-tures is important to enhance soil-microbe interactions to diminish GHGs.</t>
  </si>
  <si>
    <t>[Castellano-Hinojosa, Antonio; Strauss, Sarah L.] Univ Florida, Inst Food &amp; Agr Sci, Southwest Florida Res &amp; Educ Ctr, Dept Soil Water &amp; Ecosyst Sci, 2685 State Rd 29N, Immokalee, FL 34142 USA; [Maltais-Landry, Gabriel] Univ Florida, Inst Food &amp; Agr Sci, Dept Soil Water &amp; Ecosyst Sci, 2181 McCarty Hall A, Gainesville, FL 32611 USA; [Martens-Habbena, Willm] Univ Florida, Inst Food &amp; Agr Sci, Ft Lauderdale Res &amp; Educ Ctr, Dept Microbiol &amp; Cell Sci, 3205 Coll Ave, Davie, FL 33314 USA</t>
  </si>
  <si>
    <t>State University System of Florida; University of Florida; State University System of Florida; University of Florida; State University System of Florida; University of Florida</t>
  </si>
  <si>
    <t>Castellano-Hinojosa, A; Strauss, SL (corresponding author), Univ Florida, Inst Food &amp; Agr Sci, Southwest Florida Res &amp; Educ Ctr, Dept Soil Water &amp; Ecosyst Sci, 2685 State Rd 29N, Immokalee, FL 34142 USA.</t>
  </si>
  <si>
    <t>strauss@ufl.edu</t>
  </si>
  <si>
    <t>Castellano Hinojosa, Antonio/P-1988-2014; Martens-Habbena, Willm/AAK-1372-2021</t>
  </si>
  <si>
    <t>Citrus Research and Development Foundation [7000945]; USDA National Insti- tute of Food and Agriculture Hatch project; [18-059C]</t>
  </si>
  <si>
    <t>Citrus Research and Development Foundation; USDA National Insti- tute of Food and Agriculture Hatch project;</t>
  </si>
  <si>
    <t>This study was supported with funds from the Citrus Research and Development Foundation grant 18-059C and the USDA National Insti- tute of Food and Agriculture Hatch project 7000945. We would like to express our thanks to Brittney Monus and Diderot Saintilma for tech- nical assistance with soil sampling. We also thank the commercial citrus grower for providing space and tree care for this study.</t>
  </si>
  <si>
    <t>0929-1393</t>
  </si>
  <si>
    <t>1873-0272</t>
  </si>
  <si>
    <t>APPL SOIL ECOL</t>
  </si>
  <si>
    <t>Appl. Soil Ecol.</t>
  </si>
  <si>
    <t>10.1016/j.apsoil.2023.105071</t>
  </si>
  <si>
    <t>JUL 2023</t>
  </si>
  <si>
    <t>P8XI8</t>
  </si>
  <si>
    <t>WOS:001053445500001</t>
  </si>
  <si>
    <t>Li, DN; Kou, EF; Li, W; Zhang, HR; Zhang, XJ; Zhuang, JL; Liu, YL; Hu, CF; Zheng, YJ; Yang, QC; Lei, BF</t>
  </si>
  <si>
    <t>Li, Dongna; Kou, Erfeng; Li, Wei; Zhang, Haoran; Zhang, Xuejie; Zhuang, Jianle; Liu, Yingliang; Hu, Chaofan; Zheng, Yinjian; Yang, Qichang; Lei, Bingfu</t>
  </si>
  <si>
    <t>Oxidation-induced quenching mechanism of ultrabright red carbon dots and application in antioxidant RCDs/PVA film</t>
  </si>
  <si>
    <t>CHEMICAL ENGINEERING JOURNAL</t>
  </si>
  <si>
    <t>Red carbon dots; High quantum yield; Oxidation; Antioxidant sunlight conversion film; Practical agricultural planting</t>
  </si>
  <si>
    <t>GRAPHENE QUANTUM DOTS; EMISSION; NANODOTS; LIGHT; NITROGEN; GROWTH; OXYGEN; BLUE</t>
  </si>
  <si>
    <t>Red emissive carbon dots (RCDs) dominated by surface state emission mechanism were prepared by one-step hydrothermal method, the photoluminescence quantum yield (QY) of RCDs reaches to 78.3% in N,N-Dimethylformamide (DMF). RCDs mainly absorb UV and yellowish green light and emit red light in the region from 550 to 800 nm, which perfectly matches the light needed by plant for photosynthesis. Besides, the fluorescence quenching of RCDs is ascribed to oxidation on the surface of RCDs by oxygen. Further evidences about that are obtained from the changes in fluorescence, singlet oxygen (O-1(2)) signal of RCDs and the amount of O elements between the RCDs and quenched RCDs (QCDs). Antioxidant RCDs/PVA film, served as an agricultural sunlight conversion film, consisting of RCDs, polyvinyl alcohol-1799 (PVA-1799) and ascorbic acid, not only converts yellowish green light (500-610 nm) to red light (610-800 nm) from RCDs with tough, environment-friendly, waterproof properties from PVA-1799, but also gain antioxidant ability on account of ascorbic acid preventing the antioxidant RCDs/PVA film from fluorescence quenching. When antioxidant RCDs/PVA film was applied to the practical agricultural planting, the fresh weight, dry weight and the chlorophyll a content of the mung bean sprouts increased by 10.4% and 13.9%, and 7.1%, respectively. The application of the antioxidant RCDs/PVA film improve the utilization rate of solar energy in agricultural field.</t>
  </si>
  <si>
    <t>[Li, Dongna; Kou, Erfeng; Li, Wei; Zhang, Haoran; Zhang, Xuejie; Zhuang, Jianle; Liu, Yingliang; Hu, Chaofan; Lei, Bingfu] South China Agr Univ, Coll Mat &amp; Energy, Key Lab Biobased Mat &amp; Energy, Minist Educ, Guangzhou 510642, Peoples R China; [Li, Wei; Zhang, Haoran; Zhang, Xuejie; Zhuang, Jianle; Liu, Yingliang; Hu, Chaofan; Lei, Bingfu] Maoming Branch, Guangdong Lab Lingnan Modern Agr, Maoming 525100, Peoples R China; [Zheng, Yinjian; Yang, Qichang] Chinese Acad Agr Sci, Inst Urban Agr, Chengdu 610213, Peoples R China</t>
  </si>
  <si>
    <t>South China Agricultural University; Guangdong Laboratory for Lingnan Modern Agriculture; Chinese Academy of Agricultural Sciences; Institute of Urban Agriculture, CAAS</t>
  </si>
  <si>
    <t>Lei, BF (corresponding author), South China Agr Univ, Coll Mat &amp; Energy, Key Lab Biobased Mat &amp; Energy, Minist Educ, Guangzhou 510642, Peoples R China.;Yang, QC (corresponding author), Chinese Acad Agr Sci, Inst Urban Agr, Chengdu 610213, Peoples R China.</t>
  </si>
  <si>
    <t>yangqichang@caas.cn; tleibf@scau.edu.cn</t>
  </si>
  <si>
    <t>liu, Yingliang/AAL-1322-2020; Hu, Chaofan/Y-8873-2019; Lei, Bingfu/B-4421-2014; Zhuang, Jianle/P-2723-2015; Zhang, Xuejie/B-3433-2018</t>
  </si>
  <si>
    <t>Yang, Qichang/0000-0003-3657-7023;</t>
  </si>
  <si>
    <t>National Natural Science Foundations of China [21671070]; Project of GDUPS; National Key R&amp;D Program of China [2020YFB0407902]; Guangdong Provincial Special Fund for Modern Agriculture Industry Technology Innovation Teams [2021KJ122]</t>
  </si>
  <si>
    <t>National Natural Science Foundations of China(National Natural Science Foundation of China (NSFC)); Project of GDUPS; National Key R&amp;D Program of China; Guangdong Provincial Special Fund for Modern Agriculture Industry Technology Innovation Teams</t>
  </si>
  <si>
    <t>The present work was supported by the National Natural Science Foundations of China (Grant No. 21671070), the Project of GDUPS (2018) for Prof. Bingfu LEI, the National Key R&amp;D Program of China (2020YFB0407902), and the Guangdong Provincial Special Fund for Modern Agriculture Industry Technology Innovation Teams (No. 2021KJ122).</t>
  </si>
  <si>
    <t>1385-8947</t>
  </si>
  <si>
    <t>1873-3212</t>
  </si>
  <si>
    <t>CHEM ENG J</t>
  </si>
  <si>
    <t>Chem. Eng. J.</t>
  </si>
  <si>
    <t>10.1016/j.cej.2021.131653</t>
  </si>
  <si>
    <t>WG6SY</t>
  </si>
  <si>
    <t>WOS:000707126000266</t>
  </si>
  <si>
    <t>Hasan, S; Abedullah; Kouser, S</t>
  </si>
  <si>
    <t>Hasan, Sumera; Abedullah; Kouser, Shahzad</t>
  </si>
  <si>
    <t>Economic evaluation of household firewood consumption and carbon footprints in Pakistan: implication for climate change mitigations</t>
  </si>
  <si>
    <t>PAKISTAN JOURNAL OF AGRICULTURAL SCIENCES</t>
  </si>
  <si>
    <t>Household consumption; carbon emissions; HIES; Heckman selection model; Tobit; Pakistan</t>
  </si>
  <si>
    <t>WOOD ENERGY-CONSUMPTION; COOKING FUELS; DETERMINANTS; CHILDREN; CHOICE; HEALTH; FOOD</t>
  </si>
  <si>
    <t>Controlling the carbon footprints of household firewood consumption is critical for promoting global sustainability and mitigating the impacts of climate change. This study aims to investigate the determinants of household firewood consumption and associated carbon footprint in Pakistan by employing the 2018-2019 data of Household Integrated Economic Survey (HIES), Heckman selection model, and Tobit regression method. On average, households consumed 1706 kg of firewood in Pakistan annually, which generated carbon emissions of 19.29 Gg per annum. The results of first stage of Heckman selection model reveal that household head's primary education, agricultural occupation, household size, rural residency, and KP region contribute to choosing firewood as an energy source, while head's higher education, household income, housing types, adoption of cooking range and clean stoves, and residency in Punjab and Sindh provinces discourage firewood use. Similarly, the results of the second stage of Heckman model demonstrate that head's age, household size, income, detached and semi-detached houses, and KP residency significantly account for household firewood consumption expenditure. Findings of Tobit regression uncover that illiterate head with agricultural occupation, household size, and rural residency in particular in KP province have a significant association with household carbon emissions. However, female-headed households, higher education, paid work, household income, and Punjab and Sindh residencies tend to generate lower carbon emissions. Therefore, the study suggests raising awareness among females about the harmful effects of firewood energy, expanding access to alternative cleaner energy sources, and promoting the use of clean and efficient stoves. In addition, increasing household income and decreasing household size could be other valid policy options for reducing household carbon footprints.</t>
  </si>
  <si>
    <t>[Hasan, Sumera; Abedullah] Pakistan Inst Dev Econ PIDE, Islamabad, Pakistan; [Kouser, Shahzad] COMSATS Univ Islamabad, Dept Econ, Islamabad, Pakistan</t>
  </si>
  <si>
    <t>COMSATS University Islamabad (CUI)</t>
  </si>
  <si>
    <t>Hasan, S (corresponding author), Pakistan Inst Dev Econ PIDE, Islamabad, Pakistan.</t>
  </si>
  <si>
    <t>Sumerahasan_16@pide.edu.pk</t>
  </si>
  <si>
    <t>; Kouser, Shahzad/KSM-5235-2024; , Abedullah/AGU-1161-2022</t>
  </si>
  <si>
    <t>Kouser, Shahzad/0000-0002-7538-7428;</t>
  </si>
  <si>
    <t>UNIV AGRICULTURE, FAC VETERINARY SCIENCE</t>
  </si>
  <si>
    <t>FAISALABAD</t>
  </si>
  <si>
    <t>UNIV AGRICULTURE, FAC VETERINARY SCIENCE, FAISALABAD, 00000, PAKISTAN</t>
  </si>
  <si>
    <t>0552-9034</t>
  </si>
  <si>
    <t>2076-0906</t>
  </si>
  <si>
    <t>PAK J AGR SCI</t>
  </si>
  <si>
    <t>Pak. J. Agric. Sci.</t>
  </si>
  <si>
    <t>10.21162/PAKJAS/23.77</t>
  </si>
  <si>
    <t>CL1Y7</t>
  </si>
  <si>
    <t>WOS:001125328000021</t>
  </si>
  <si>
    <t>Xu, H; Liu, S; Ding, J; Liu, L</t>
  </si>
  <si>
    <t>Xu, Hang; Liu, Sheng; Ding, Jia; Liu, Lei</t>
  </si>
  <si>
    <t>Mapping crop-specific emission factors highlights hotspots of ammonia mitigation in China</t>
  </si>
  <si>
    <t>Ammonia emissions; Emission factors; Mitigation potential; Deep fertilization</t>
  </si>
  <si>
    <t>TEMPERATURE; NH3</t>
  </si>
  <si>
    <t>Mapping gridded emission factors (EFs) of crops is vital for estimating ammonia (NH3) emissions in China using the bottom-up methods. However, there is still a lack of high-resolution gridded EFs of NH3 by crops in China, which are affected by climate, soil, and human management. Here, we established a data-driven approach for mapping crop-specific EFs of NH3 in China based on ground-based data and multiple geospatial data. We found that rice exhibited the highest EFs at 13.35 %, followed by wheat at 5.50 %, and maize at 5.15 %. This underscores the significance of utilizing EFs specific to each crop for predicting NH3 emission estimations. Furthermore, our results reveal substantial spatial variations in NH3 EFs across China, with notably higher values observed in South China for rice and elevated EFs in North China for wheat and maize. According to our model, the deep fertilization method emerges as the most effective method for reducing NH3 emissions, offering a remarkable 64 % reduction. Ongoing urbanization in China will lead to a rapid decline in the rural labor force in the coming years, which requires agricultural mechanization with less labor input. This shift in turn could support the implementation of deep fertilization techniques and reduce NH3 emissions by half in 2050. Our findings offer valuable insights for shaping the future trajectory of Chinese agriculture in overcoming agricultural NH3 loss.</t>
  </si>
  <si>
    <t>[Xu, Hang; Liu, Sheng; Ding, Jia; Liu, Lei] Lanzhou Univ, Coll Earth &amp; Environm Sci, Lanzhou 730000, Peoples R China; [Liu, Lei] China Agr Univ, Natl Acad Agr Green Dev, Coll Resources &amp; Environm Sci, Beijing 100193, Peoples R China</t>
  </si>
  <si>
    <t>Lanzhou University; China Agricultural University</t>
  </si>
  <si>
    <t>Liu, L (corresponding author), Lanzhou Univ, Coll Earth &amp; Environm Sci, Lanzhou 730000, Peoples R China.</t>
  </si>
  <si>
    <t>liuleigeo@lzu.edu.cn</t>
  </si>
  <si>
    <t>Liu, Lei/HPC-9852-2023</t>
  </si>
  <si>
    <t>Major Science and Technology Project of Yunnan Province [202202AE090034]; National Natural Science Foundation of China [42371324, 42001347]; Supercomputing Center of Lanzhou University</t>
  </si>
  <si>
    <t>Major Science and Technology Project of Yunnan Province; National Natural Science Foundation of China(National Natural Science Foundation of China (NSFC)); Supercomputing Center of Lanzhou University</t>
  </si>
  <si>
    <t>This study was supported by the the Major Science and Technology Project of Yunnan Province (202202AE090034) , the National Natural Science Foundation of China (42371324 and 42001347) . The analysis in this study is supported by the Supercomputing Center of Lanzhou University.</t>
  </si>
  <si>
    <t>JAN 15</t>
  </si>
  <si>
    <t>10.1016/j.scitotenv.2023.168157</t>
  </si>
  <si>
    <t>NOV 2023</t>
  </si>
  <si>
    <t>Z3SU1</t>
  </si>
  <si>
    <t>WOS:001111313800001</t>
  </si>
  <si>
    <t>Mujica, M; Blanco, G; Santalla, E</t>
  </si>
  <si>
    <t>Mujica, Maria; Blanco, Gabriel; Santalla, Estela</t>
  </si>
  <si>
    <t>Carbon footprint of honey produced in Argentina</t>
  </si>
  <si>
    <t>Carbon footprint; Honey; GHG emissions; Argentina beekeeping chain</t>
  </si>
  <si>
    <t>The urgent need to mitigate the emissions of gases that contribute to climate change is creating a new scenario for the international trade of goods and services. Countries that are making efforts to reduce those emissions are now demanding that imported goods contain low levels of embedded carbon for those goods to fairly compete with locally produced products. For this purpose the implementation of standards such as the carbon footprint becomes critical. Carbon footprint is an environmental sustainability indicator that quantifies the emissions of greenhouse gases generated during the lifecycle of a product. Argentina, as an exporter of agricultural products, has conducted initial studies to estimate the carbon footprint of several food products of high impact in its exports such as meat and wine but yet little had been done about honey production even though the country is one of the world's three largest exporters. This study is the first assessment of the carbon footprint of honey produced in Argentina where almost 95% of the production goes to the export markets. This study also adds scientific value by comparing economic value-based allocation and production-based allocation. Official information, interviews and surveys to key stakeholders in the Argentinean beekeeping chain revealed that the cluster is characterized by low technology development and small-scale production based exclusively in the sale of a commodity (bulk product without differentiation) but recognized by its genuine quality valued on flavor and safety issues. Carbon footprint of honey evaluates greenhouse gas emissions throughout the lifecycle; specifically carbon dioxide, nitrous oxide and methane. Activity data collected includes annual honey production, geographical location of beehives and processing plants, technology used, and fuels and energy consumption. Based on the ISO 14040 method that uses lifecycle assessment, the calculated carbon footprint of honey is 2.5 +/- 0.17 kg CO(2)e/kg honey, being the extraction process responsible for the highest contribution to greenhouse gases (GHG) emissions (90.7%) in contrast to hive management and freight emissions. A strong linear, positive correlation (R-2 = 0.999) is found between process emissions and honey production pointing out a high dependence of the process with the use of fossil energy. Carbon dioxide is the dominant GHG emitted (98%) compared to methane and nitrous oxide emissions. The subdivision method applied to calculate emissions allows tracing the burden of each phase of the production process; the functional unit used to estimate emissions proved adequate for comparison purposes and the results achieved were close to those reported in the literature in spite of honey carbon footprint is strongly dependent on the production practices and honey beekeeping chain characteristics. From the results obtained, energy efficiency measures during the processing stage could alleviate the carbon impact of honey production in Argentina. (C) 2015 Elsevier Ltd. All rights reserved.</t>
  </si>
  <si>
    <t>[Mujica, Maria; Blanco, Gabriel; Santalla, Estela] UNCPBA, INTELYMEC, Fac Ingn, Ave Valle 5737,B7400JWI Olavarria, Rio Cuarto, Argentina</t>
  </si>
  <si>
    <t>Santalla, E (corresponding author), UNCPBA, INTELYMEC, Fac Ingn, Ave Valle 5737,B7400JWI Olavarria, Rio Cuarto, Argentina.</t>
  </si>
  <si>
    <t>esantall@fio.unicen.edu.ar</t>
  </si>
  <si>
    <t>Santalla, Estela/0000-0001-6631-2267</t>
  </si>
  <si>
    <t>Scientific Commission of Buenos Aires Province [BENTR12/2012]</t>
  </si>
  <si>
    <t>Scientific Commission of Buenos Aires Province</t>
  </si>
  <si>
    <t>Thanks are due to CIC (Scientific Commission of Buenos Aires Province) for the scholarship granted to Maria Gabriela Mujica (BENTR12/2012). The authors would also like to thank to the anonymous reviewers for their helpful comments and suggestions.</t>
  </si>
  <si>
    <t>10.1016/j.jclepro.2015.12.086</t>
  </si>
  <si>
    <t>DE8KV</t>
  </si>
  <si>
    <t>WOS:000370885800006</t>
  </si>
  <si>
    <t>Chaplot, V; Abdalla, K; Alexis, M; Bourennane, H; Darboux, F; Dlamini, P; Everson, C; Mchunu, C; Muller-Nedebock, D; Mutema, M; Quenea, K; Thenga, H; Chivenge, P</t>
  </si>
  <si>
    <t>Chaplot, V.; Abdalla, K.; Alexis, M.; Bourennane, H.; Darboux, F.; Dlamini, P.; Everson, C.; Mchunu, C.; Muller-Nedebock, D.; Mutema, M.; Quenea, K.; Thenga, H.; Chivenge, P.</t>
  </si>
  <si>
    <t>Surface organic carbon enrichment to explain greater CO2 emissions from short-term no-tilled soils</t>
  </si>
  <si>
    <t>No-tillage; Carbon dioxide; Climate change; Maize; Small holders; Africa</t>
  </si>
  <si>
    <t>MICROBIAL BIOMASS; RESIDUE MANAGEMENT; CONVENTIONAL TILLAGE; DIOXIDE EMISSIONS; TEMPERATE SOILS; REDUCED TILLAGE; CROP-ROTATION; LOAM SOIL; LAND-USE; EROSION</t>
  </si>
  <si>
    <t>The impact of agricultural practices on CO2 emissions from soils needs to be understood and quantified to enhance ecosystem functions, especially the ability of soils to sequester atmospheric carbon (C), while enhancing food and biomass production. The objective of this study was to assess CO2 emissions in the soil surface following tillage abandonment and to investigate some of the underlying soil physical, chemical and biological controls. Maize (Zea mays) was planted under conventional tillage (T) and no-tillage (NT), both without crop residues under smallholder farming conditions in Potshini, South Africa. Intact top-soil (0-0.05 m) core samples (N = 54) from three 5 x 15 m(2) plots per treatment were collected two years after conversion of T to NT to evaluate the short-term CO2 emissions. Depending on the treatment, cores were left intact, compacted by 5 and 10%, or had surface crusts removed. They were incubated for 20 days with measurements of CO2 fluxes twice a day during the first three days and once a day thereafter. Soil organic C (SOC) content, soil bulk density (Pb), aggregate stability, soil organic matter quality, and microbial biomass and its activity were evaluated at the onset of the incubation. CO2 emissions were 22% lower under NT compared with T with CO2 emissions of 0.9 +/- 0.10 vs 1.1 +/- 0.10 mg C-CO(2)gC(-1) day(-1) under NT and T, respectively, suggesting greater SOC protection under NT. However, there were greater total CO2 emissions per unit of surface by 9% under NT compared to T (1.15 +/- 0.03 vs 1.05 +/- 0.04 g C-CO2 m(-2) day(-1)). SOC protection significantly increased with the increase in soil bulk density (r= 0.89) and aggregate stability (from 1.7 +/- 0.25 mm to 2.3 0.31, r = 0.50), and to the decrease in microbial biomass and its activity (r = -0.59 and -0.57, respectively). In contrast, the greater NT CO2 emissions per m(2) were explained by top-soil enrichment in SOC by 48% (from 12.4 +/- 0.2 to 19.1 +/- 0.4 g kg(-1), r = 0.59). These results on the soil controls of tillage impact on CO2 emissions are expected to inform on the required shifts in agricultural practices for enhancing C sequestration in soils. In the context of the study, any mechanism favoring aggregate stability and promoting SOC allocation deep in the soil profile rather than in the top-soil would greatly diminish soil CO2 outputs and thus stimulate C sequestration. (C) 2015 Published by Elsevier B.V.</t>
  </si>
  <si>
    <t>[Chaplot, V.] IRD UPMC MNHN, UMR CNRS 6159, Lab Oceanog &amp; Climat LOCEAN, Inst Rech Dev, F-75252 Paris 05, France; [Chaplot, V.; Abdalla, K.; Dlamini, P.; Everson, C.; Muller-Nedebock, D.; Mutema, M.; Thenga, H.; Chivenge, P.] Univ KwaZulu Natal, CWRR, Sch Agr Earth &amp; Environm Sci, ZA-3209 Scottsville, South Africa; [Alexis, M.; Quenea, K.] Univ Paris 06, UMR METIS, F-75252 Paris 05, France; [Bourennane, H.; Darboux, F.] INRA, Ctr Rech Vol Loire, UR Sci Sol, UR0272, F-45075 Orleans 2, France; [Mchunu, C.] KwaZulu Natal Dept Agr &amp; Environm Affairs, Soil Fertil &amp; Analyt Serv, ZA-3200 Pietermaritzburg, South Africa; [Chivenge, P.] Int Crops Res Inst Semi Arid Trop, Matopos Res Stn, Bulawayo, Zimbabwe</t>
  </si>
  <si>
    <t>Sorbonne Universite; Museum National d'Histoire Naturelle (MNHN); Institut de Recherche pour le Developpement (IRD); University of Kwazulu Natal; Sorbonne Universite; INRAE; CGIAR; International Crops Research Institute for the Semi-Arid-Tropics (ICRISAT)</t>
  </si>
  <si>
    <t>Chaplot, V (corresponding author), IRD UPMC MNHN, UMR CNRS 6159, Lab Oceanog &amp; Climat LOCEAN, 4 Pl Jussieu, F-75252 Paris 05, France.</t>
  </si>
  <si>
    <t>vincent.chaplot@ird.fr</t>
  </si>
  <si>
    <t>Chivenge, Pauline/AAF-9976-2019; Dlamini, Phesheya/AAV-1068-2020; Chaplot, Vincent/C-3116-2014; Mutema, Macdex/AGL-0525-2022; Abdalla, Khatab/GZG-4305-2022</t>
  </si>
  <si>
    <t>Mutema, Macdex/0000-0002-6150-6895; Dlamini, Phesheya/0000-0002-7439-0449; Abdalla, Khatab/0000-0003-2513-8826; Chaplot, Vincent/0000-0001-5430-362X;</t>
  </si>
  <si>
    <t>Institut de Recherche pour le Developpement (IRD); Water Research Commission [K5/1904-2266]; Institut National des Sciences de l'Univers; University of KwaZulu Natal</t>
  </si>
  <si>
    <t>Institut de Recherche pour le Developpement (IRD); Water Research Commission; Institut National des Sciences de l'Univers; University of KwaZulu Natal(University of Kwazulu Natal)</t>
  </si>
  <si>
    <t>The authors gratefully acknowledge the Institut de Recherche pour le Developpement (IRD, former ORSTOM), the Water Research Commission (projects K5/1904-2266) and the Institut National des Sciences de l'Univers (project EC2CO Destoc) for funding this research and for the SAAES and CWRR of the University of KwaZulu Natal for providing support and assistance. We also thank the Potshini community for kindly allowing the research to be performed on their land and for technical and logistical assistance. Final thanks for the team of reviewers for their very constructive comments.</t>
  </si>
  <si>
    <t>10.1016/j.agee.2015.02.001</t>
  </si>
  <si>
    <t>CF7OF</t>
  </si>
  <si>
    <t>WOS:000352745500014</t>
  </si>
  <si>
    <t>Liu, J; Xu, Q; Zhou, TS</t>
  </si>
  <si>
    <t>Liu, Jin; Xu, Qing; Zhou, Tianshu</t>
  </si>
  <si>
    <t>Role of mechanization: The impact of the cropland use scale on fertilizer reduction</t>
  </si>
  <si>
    <t>agricultural mechanization; cropland scale; fertilizer use; mediation effect; rural China</t>
  </si>
  <si>
    <t>FARMERS</t>
  </si>
  <si>
    <t>The input of chemical fertilizers to save land and the input of agricultural mechanization to save labor have been important driving forces in China's grain production since the reform and opening-up. In recent years, the existing literature discussed the relationship between the scale of agricultural land and the application of chemical fertilizers but ignored the role of mechanization in agricultural production and management. We used the intermediary effect model to examine how the cropland use scale affected farmers' fertilization behavior through agricultural mechanization investment. Our dataset contained data from the Fixed Observation Points of the Ministry of Agriculture and Rural Affairs in China conducted between 2015 and 2017. The results showed that the expansion of the cropland scale significantly reduced the fertilizer input per mu and indirectly reduced the fertilizer input of farmers by increasing the input of agricultural mechanization. In a word, agricultural mechanization played a mediation effect. Further heterogeneity results showed that because grain crops are easier to operate mechanically, the mediation effect was more significant; similarly, under the patterns of south prefer to service, north prefer to self-purchase  and south grow rice and north grow wheat,  southern areas received a more significant reduction effect in mainland China. These findings defined the role of agricultural mechanization and provided a new perspective for realizing the reduction and efficiency of chemical fertilizers and reducing agricultural non-point source pollution.</t>
  </si>
  <si>
    <t>[Liu, Jin; Xu, Qing; Zhou, Tianshu] Shanghai Univ Finance &amp; Econ, Inst Finance &amp; Econ, Shanghai, Peoples R China; [Liu, Jin; Xu, Qing] Shanghai Univ Finance &amp; Econ, Inst Urban Rural Dev, Shanghai, Peoples R China</t>
  </si>
  <si>
    <t>Shanghai University of Finance &amp; Economics; Shanghai University of Finance &amp; Economics</t>
  </si>
  <si>
    <t>Liu, J (corresponding author), Shanghai Univ Finance &amp; Econ, Inst Finance &amp; Econ, Shanghai, Peoples R China.;Liu, J (corresponding author), Shanghai Univ Finance &amp; Econ, Inst Urban Rural Dev, Shanghai, Peoples R China.</t>
  </si>
  <si>
    <t>liu.jin@mail.shufe.edu.cn</t>
  </si>
  <si>
    <t>National Social Science Foundation of China; Program of China Institute for Rural Studies of Tsinghua University; Program for Innovative Research Team of Shanghai University of Finance and Economics; [20AZD046]; [21ZDA060]; [22ZDA030]; [CIRS2022-3]; [2018110693]</t>
  </si>
  <si>
    <t>National Social Science Foundation of China(National Office of Philosophy and Social Sciences); Program of China Institute for Rural Studies of Tsinghua University(Tsinghua University); Program for Innovative Research Team of Shanghai University of Finance and Economics; ; ; ; ;</t>
  </si>
  <si>
    <t>Funding This study was funded by grants from the National Social Science Foundation of China (20AZD046; 21ZDA060; and 22ZDA030), the Program of China Institute for Rural Studies of Tsinghua University (CIRS2022-3), and the Program for Innovative Research Team of Shanghai University of Finance and Economics (2018110693).</t>
  </si>
  <si>
    <t>NOV 25</t>
  </si>
  <si>
    <t>10.3389/fenvs.2022.1053715</t>
  </si>
  <si>
    <t>6V8FK</t>
  </si>
  <si>
    <t>WOS:000895276200001</t>
  </si>
  <si>
    <t>Wang, S; Sun, YH; Yang, C</t>
  </si>
  <si>
    <t>Wang, Sheng; Sun, Yanhong; Yang, Chen</t>
  </si>
  <si>
    <t>Comparative Static Analysis on the Agricultural Mechanization Development Levels in China's Provincial Areas</t>
  </si>
  <si>
    <t>provincial areas; agricultural mechanization development level; gray cluster assessment; sustainable development</t>
  </si>
  <si>
    <t>The foundation of the national economy is agriculture, agricultural modernization is the symbol of national modernization and agricultural mechanization is an important symbol of agricultural modernization. In this paper, the authors conducted an analysis of the agricultural mechanization levels of 31 provincial areas in China. In order to assess the agricultural mechanization levels of the provincial areas in China as accurately as possible, the authors adopted indicators in the year 2005, the year 2010 and the year 2015, and used the comparative static analysis method to observe the dynamic changes in the data over the three years. Eight items, including total agricultural mechanization power/grain output (10 million watts/10 k tons), number of large and medium-sized tractors/grain output (pcs/10 k tons), tractor plowing area/grain output (k hectares/10 k tons), total input of agricultural mechanization business operation/grain output (million yuan/10 k tons), total income of agricultural mechanization business operation/grain output (million yuan/10 k tons), and fuel consumption for agricultural production/grain output (hundred tons/10 k tons), were used as assessment indicators. With the gray weighted cluster assessment instrument, 31 provincial areas of China were classified into five gray categories at high development level, relatively high development level, medium development level, medium to low development level and low development level. An objective, scientific and comprehensive assessment of the cluster results was conducted in an effort to better provide references for the authorities to draft relevant policies and measures.</t>
  </si>
  <si>
    <t>[Wang, Sheng] Henan Radio &amp; Televis Univ, Sch Mech Engn, Zhengzhou 450002, Peoples R China; [Wang, Sheng] Henan Airtight Performance Testing Engn Res Ctr, Zhengzhou 450002, Peoples R China; [Sun, Yanhong] Henan Agr Univ, Acad Affairs Off, Zhengzhou 450002, Peoples R China; [Yang, Chen] Jilin Univ, Coll Biol &amp; Agr Engn, Changchun 130022, Peoples R China</t>
  </si>
  <si>
    <t>Henan Agricultural University; Jilin University</t>
  </si>
  <si>
    <t>Yang, C (corresponding author), Jilin Univ, Coll Biol &amp; Agr Engn, Changchun 130022, Peoples R China.</t>
  </si>
  <si>
    <t>henanddws@163.com; sunyanhong@henau.edu.cn; chenyangliu@126.com</t>
  </si>
  <si>
    <t>Funds of Science and Technology Project of Henan Provincial Department of Science and Technology [202102110280]</t>
  </si>
  <si>
    <t>Funds of Science and Technology Project of Henan Provincial Department of Science and Technology</t>
  </si>
  <si>
    <t>This research was supported by the Funds of Science and Technology Project of Henan Provincial Department of Science and Technology (No. 202102110280).</t>
  </si>
  <si>
    <t>10.3390/pr10071332</t>
  </si>
  <si>
    <t>3G7DK</t>
  </si>
  <si>
    <t>WOS:000831510300001</t>
  </si>
  <si>
    <t>Alexander, P; Moran, D; Rounsevell, MDA</t>
  </si>
  <si>
    <t>Alexander, Peter; Moran, Dominic; Rounsevell, Mark D. A.</t>
  </si>
  <si>
    <t>Evaluating potential policies for the UK perennial energy crop market to achieve carbon abatement and deliver a source of low carbon electricity</t>
  </si>
  <si>
    <t>Agent-based model; Energy crops; Energy policy; Land use; Miscanthus; Short-rotation coppice</t>
  </si>
  <si>
    <t>SHORT-ROTATION COPPICE; OILSEED RAPE; BIOENERGY; MISCANTHUS; SWITCHGRASS; ENGLAND; WILLOW; CONSTRAINTS; IMPACT; YIELD</t>
  </si>
  <si>
    <t>The electricity infrastructure in many developed countries requires significant investment to meet ambitious carbon emissions reduction targets, and to bridge the gap between future supply and demand. Perennial energy crops have the potential to deliver electricity generation capacity while reducing carbon emissions, leading to polices supporting the adoption of these crops. In the UK, for example, support has been in place over the past decade, although uptake and the market development have so far been relatively modest. This paper combines biophysical and socio-economic process representations within an agent-based model (ABM), to offer insights into the dynamics of the development of the perennial energy crop market. Against a changing policy landscape, several potential policy scenarios are developed to evaluate the cost-effectiveness of the market in providing a source of low carbon renewable electricity, and to achieve carbon emissions abatement. The results demonstrate the key role of both energy and agricultural policies in stimulating the rate and level of uptake; consequently influencing the cost-effectiveness of these measures. The UK example shows that energy crops have the potential to deliver significant emissions abatement (up to 24 Mt carbon dioxide equivalent year(-1), 4% of 2013 UK total emissions), and renewable electricity (up to 29 TWh year(-1), 8% of UK electricity or 3% of primary energy demand), but a holistic assessment of related policies is needed to ensure that support is cost-effective. However, recent policy developments suggest that domestically grown perennial energy crops will only play a niche role (&lt;0.2%) of the UK energy balance. (C) 2015 Elsevier Ltd. All rights reserved.</t>
  </si>
  <si>
    <t>[Alexander, Peter; Moran, Dominic] SRUC, Land Econ &amp; Environm Res Grp, Edinburgh EH9 3JG, Midlothian, Scotland; [Alexander, Peter; Rounsevell, Mark D. A.] Univ Edinburgh, Sch Geosci, Ctr Study Environm Change &amp; Sustainabil, Edinburgh EH8 9XP, Midlothian, Scotland</t>
  </si>
  <si>
    <t>University of Edinburgh</t>
  </si>
  <si>
    <t>Alexander, P (corresponding author), SRUC, Land Econ &amp; Environm Res Grp, W Mains Rd, Edinburgh EH9 3JG, Midlothian, Scotland.</t>
  </si>
  <si>
    <t>peter.alexander@sruc.ac.uk</t>
  </si>
  <si>
    <t>Alexander, Peter/AGE-8260-2022; Rounsevell, Mark/AAC-4498-2021</t>
  </si>
  <si>
    <t>Alexander, Peter/0000-0001-6010-1186; Rounsevell, Mark/0000-0001-7476-9398;</t>
  </si>
  <si>
    <t>UKERC project; TSB/NERC project; Scottish Government Rural and Environmental Science and Analytical Services division through ClimatexChange</t>
  </si>
  <si>
    <t>The research was supported by the UKERC project: Spatial analysis and mapping of energy crops in GB to 2050, and the TSB/NERC project: Using environmental data to help industry invest in the UK biomass market. The research made use of resources provided by the Edinburgh Compute and Data Facility (http://www.ecdf.ed.ac.uk/). We also acknowledge our financial supporters: the Scottish Government Rural and Environmental Science and Analytical Services division through ClimatexChange (http://www.climatexchange.org.uk/). The authors would like to thank Pete Smith, Jonathan Hillier and Astley Hastings (University of Aberdeen), Gilla Sunnenberg and Andrew A Lovett (University of East Anglia), Matthew J Tallis (University of Portsmouth), Eric Casella (Forest Research) and Gail Taylor (University of Southampton) for providing the datasets used.</t>
  </si>
  <si>
    <t>10.1016/j.biombioe.2015.04.025</t>
  </si>
  <si>
    <t>CV7DT</t>
  </si>
  <si>
    <t>WOS:000364433300002</t>
  </si>
  <si>
    <t>Jorgensen, SE; Nielsen, SN</t>
  </si>
  <si>
    <t>Jorgensen, Sven Erik; Nielsen, Soren Nors</t>
  </si>
  <si>
    <t>A carbon cycling model developed for the renewable Energy Danish Island, Samso</t>
  </si>
  <si>
    <t>ECOLOGICAL MODELLING</t>
  </si>
  <si>
    <t>Article; Proceedings Paper</t>
  </si>
  <si>
    <t>19th Biennial Conference of the International-Society-for-Ecological-Modelling (ISEM)</t>
  </si>
  <si>
    <t>OCT 28-31, 2013</t>
  </si>
  <si>
    <t>Toulouse, FRANCE</t>
  </si>
  <si>
    <t>Int Soc Ecol Modelling,Univ Toulouse,INRA,INP,CNRS,METEO France,Elsevier,Air France,Federat Rech Agrobiosciences,Interact &amp; Biodiversites,MAD Environnement,SO Toulouse,Galleries Lafayette</t>
  </si>
  <si>
    <t>Carbon cycling model; Carbon dioxide emission; Carbon balance; A powerful environmental management tool</t>
  </si>
  <si>
    <t>Renewable energy has replaced the major part of the energy use on the island Samso during the first decade of the 21st Century and it leads to the key question: How much less carbon dioxide and methane are presently emitted from the island Samso as a result of the introduction of renewable energies? Furthermore, we would like to know, what we can do to reduce the carbon dioxide en:fission further and where it is most sensible to take action in order to do this. When renewable energy is introduced to replace the use of fossil fuels, a significant reduction of the carbon dioxide emission is to be expected, but it is not necessarily the case. To assess the carbon dioxide emission it is necessary to obtain knowledge about all the processes which involve carbon. Emission of a significant amount of carbon dioxide is the result of a number of natural processes for instance decomposition processes of organic matter in nature, and nature is also by the photosynthesis taking up carbon dioxide from the atmosphere. Therefore, in order to find the resulting net emission of carbon dioxide and answer the above mentioned questions, the development of a carbon cycling model (CCM) for the area or region is needed. A total of 26 different carbon pools are considered in the CCM of Samso, including the various agricultural products, three fractions of carbon in soil, forests, wetlands, grasslands, straw used for heating and the production in the industry (Trolleborg). The transfer processes among the various pools are quite well known from literature and estimates of the agricultural and industrial production on the island can be derived from available data. It is furthermore known how much forest, wetland and grassland, that Samso has and how many inhabitants that live on the island, how much solid waste they produce and how much carbon dioxide they respire. The CCM has been developed based on this knowledge and has furthermore been adapted to follow the annual variations. Due to the use of renewable energy, it can be shown by the CCM that Samso to day net removes 26460 t carbon per year in form of carbon dioxide (97020 t/year of carbon dioxide is removed), while no carbon dioxide was net removed in 1997, before introduction of renewable energy on the island. The model is applied as environmental management tool. If it is assumed that Samso is fossil fuel free and 5000 t carbon is removed by the use of supplementary crops, as much as almost 40000 t of carbon as carbon dioxide will be removed from the atmosphere. This amount corresponds also to more than the difference between carbon exported and imported, which means that Samso is even removing in this case the carbon that is emitted as carbon dioxide in the towns when the agricultural production from Samso is utilized as food. A clear improvement of the carbon dioxide is therefore possible by the use of these two measures: make Samso a fossil fuel island and use supplementary crops. These applications of the CCM show that the model can be used as a powerful management tool. It is the intention to use the CCM in the coming years to find the solutions for the development of the energy use on Samso that will yield the biggest reduction of the emission of carbon dioxide and other green house gases. (C) 2014 Elsevier B.V. All rights reserved.</t>
  </si>
  <si>
    <t>[Jorgensen, Sven Erik] Univ Copenhagen, DK-2100 Copenhagen O, Denmark; [Nielsen, Soren Nors] Aalborg Univ, Dept Learning &amp; Philosophy, DK-2450 Copenhagen SV, Denmark</t>
  </si>
  <si>
    <t>University of Copenhagen; Aalborg University</t>
  </si>
  <si>
    <t>Jorgensen, SE (corresponding author), Univ Copenhagen, Univ Pk 2, DK-2100 Copenhagen O, Denmark.</t>
  </si>
  <si>
    <t>msijapan@hotmail.com; soerennorsnielsen@gmail.com</t>
  </si>
  <si>
    <t>Nielsen, Søren/U-6420-2018; Nielsen, Søren Nors/U-6420-2018</t>
  </si>
  <si>
    <t>Nielsen, Søren Nors/0000-0001-6005-1246</t>
  </si>
  <si>
    <t>0304-3800</t>
  </si>
  <si>
    <t>1872-7026</t>
  </si>
  <si>
    <t>ECOL MODEL</t>
  </si>
  <si>
    <t>Ecol. Model.</t>
  </si>
  <si>
    <t>JUN 24</t>
  </si>
  <si>
    <t>10.1016/j.ecolmodel.2014.06.004</t>
  </si>
  <si>
    <t>Ecology</t>
  </si>
  <si>
    <t>Science Citation Index Expanded (SCI-EXPANDED); Conference Proceedings Citation Index - Science (CPCI-S)</t>
  </si>
  <si>
    <t>CJ7VI</t>
  </si>
  <si>
    <t>WOS:000355708000013</t>
  </si>
  <si>
    <t>Hansupalak, N; Piromkraipak, P; Tamthirat, P; Manitsorasak, A; Sriroth, K; Tran, T</t>
  </si>
  <si>
    <t>Hansupalak, Nanthiya; Piromkraipak, Palotai; Tamthirat, Phakamas; Manitsorasak, Apisit; Sriroth, Klanarong; Tran, Thierry</t>
  </si>
  <si>
    <t>Biogas reduces the carbon footprint of cassava starch: a comparative assessment with fuel oil</t>
  </si>
  <si>
    <t>Biogas; Cassava starch; Carbon footprint; Life cycle assessment (LCA)</t>
  </si>
  <si>
    <t>FERMENTATIVE HYDROGEN-PRODUCTION; WASTE-WATER; DISSOLVED METHANE; BIOHYDROGEN PRODUCTION; GREENHOUSE-GAS; EMISSIONS; TECHNOLOGY; RECOVERY; ETHANOL</t>
  </si>
  <si>
    <t>In the past 10 years, 90% of cassava starch factories in Thailand have switched from fuel oil to renewable biogas, to cover part of their energy needs. The environmental benefits of switching to biogas have not been assessed quantitatively. To alleviate this, this study assessed 100-year greenhouse gas (GHG) emissions, or carbon footprint (CF), of cassava starch production for four factories in Thailand. Key results demonstrate that biogas reduces the carbon footprint of the Thai cassava starch industry as a whole by 0.9-1.0 million tons CO(2)eq/year, and highlight methodological precautions to collect LCI data and allocate GHG emissions between co-products with high moisture contents. The system boundaries included farm stage (production of cassava roots), transportation to factory and processing into native starch. The functional unit (FU) was one ton of native cassava starch at 13% water content. Biogas produced from the factory wastewater (95-200 m(3)/FU) was the main source of thermal energy for starch drying, and for on site electricity production when excess biogas was available. The total CF of cassava starch was in the range 609-966 kg CO(2)eq/FU. Agricultural production contributed 60% of the carbon footprint, mainly from the use of nitrogen fertilizers. GHG emissions of root production varied widely due to (1) the diversity of farming practices even within a small radius (50 km), and (2) different agricultural yields in different regions. The contribution of the factory stage to the carbon footprint depended on the use of electricity, biogas and other fuels, ranging from 217 to 342 kg CO(2)eq/FU. Allocation rules such as wet weight or dry weight basis allocations affected the results markedly. (C) 2015 Elsevier Ltd. All rights reserved.</t>
  </si>
  <si>
    <t>[Hansupalak, Nanthiya; Piromkraipak, Palotai; Tamthirat, Phakamas] Kasetsart Univ, Dept Chem Engn, Fac Engn, Bangkok, Thailand; [Piromkraipak, Palotai; Tamthirat, Phakamas] Kasetsart Univ, Interdisciplinary Grad Program Adv &amp; Sustainable, Fac Engn, Int Program, Bangkok, Thailand; [Manitsorasak, Apisit; Sriroth, Klanarong; Tran, Thierry] Kasetsart Univ, Cassava &amp; Starch Technol Res Unit CSTRU BIOTEC, Bangkok, Thailand; [Tran, Thierry] Ctr Cooperat Int Rech Agron Dev CIRAD, UMR Qualisud, Montpellier, France</t>
  </si>
  <si>
    <t>Kasetsart University; Kasetsart University; Kasetsart University; Universite de Montpellier; CIRAD</t>
  </si>
  <si>
    <t>Tran, T (corresponding author), Ctr Cooperat Int Rech Agron Dev CIRAD, UMR Qualisud, Montpellier, France.</t>
  </si>
  <si>
    <t>fengnyh@ku.ac.th; palotai.inbox@gmail.com; modkuku@gmail.com; apisit.manitsorasak@gmail.com; aapkrs@ku.ac.th; thierry.tran@cirad.fr</t>
  </si>
  <si>
    <t>Hansupalak, Nanthiya/C-9703-2017</t>
  </si>
  <si>
    <t>Hansupalak, Nanthiya/0000-0002-9917-403X; Tran, Thierry/0000-0002-9557-3340</t>
  </si>
  <si>
    <t>CGIAR Research Program on Roots, Tubers and Bananas (RTB); Center of Advanced Studies in Industrial Technology, Faculty of Engineering, Kasetsart University; NSTDA (Thailand); MTEC (Thailand); TAIST-Tokyo Tech (Thailand)</t>
  </si>
  <si>
    <t>CGIAR Research Program on Roots, Tubers and Bananas (RTB)(CGIAR); Center of Advanced Studies in Industrial Technology, Faculty of Engineering, Kasetsart University; NSTDA (Thailand); MTEC (Thailand); TAIST-Tokyo Tech (Thailand)</t>
  </si>
  <si>
    <t>Financial support from the following sources is gratefully acknowledged: CGIAR Research Program on Roots, Tubers and Bananas (RTB); The Center of Advanced Studies in Industrial Technology, Faculty of Engineering, Kasetsart University; NSTDA (Thailand); MTEC (Thailand); TAIST-Tokyo Tech (Thailand). The authors express their thanks to Dr. Warinthorn Songkasiri, Dr. Kanchana Saengchan and the EcoWaste team at King Mongkut University of Technology Thonburi (KMUTT, Thailand) for their help with part of the data collection and scientific discussions. The authors express their profound gratitude for the help of all data providers who kindly participated to this study.</t>
  </si>
  <si>
    <t>OCT 15</t>
  </si>
  <si>
    <t>B</t>
  </si>
  <si>
    <t>10.1016/j.jclepro.2015.06.138</t>
  </si>
  <si>
    <t>DV3BY</t>
  </si>
  <si>
    <t>WOS:000382797200012</t>
  </si>
  <si>
    <t>Zaragüeta, A; Enrique, A; Portell, X; Antón, R; Virto, I; Orcaray, L</t>
  </si>
  <si>
    <t>Zaragueta, Armelle; Enrique, Alberto; Portell, Xavier; Anton, Rodrigo; Virto, Inigo; Orcaray, Luis</t>
  </si>
  <si>
    <t>A Fertilisation Strategy Combining Mineral Fertiliser and Biosolid Improves Long-Term Yield and Carbon Storage in a Calcareous Soil</t>
  </si>
  <si>
    <t>long term; calcareous soil; biosolid; mineral fertiliser; fertiliser strategy; extensive crops; yields; nitrogen agronomic efficiency; soil organic carbon</t>
  </si>
  <si>
    <t>NITROGEN USE EFFICIENCY; ORGANIC-MATTER; SEWAGE-SLUDGE; CROP YIELDS; AGRICULTURAL SOIL; INCREASES; AMENDMENTS; MITIGATE; IMPACTS; CLIMATE</t>
  </si>
  <si>
    <t>At a strategic moment for agricultural soils, which are expected to contribute to climate change mitigation through carbon storage while safely feeding a growing world population, the fertiliser strategies used will be key. In a calcareous soil with extensive rainfed agricultural use and straw removal, different fertiliser strategies were evaluated with the aim of determining their effects on crop yield, nitrogen agronomic efficiency, and the storage of organic carbon and total nitrogen in the soil. Different doses of mineral fertiliser, expressed as kg of mineral nitrogen ha(-1) year(-1) (0, 60, 120, 180, and 240 nitrogen fertilising units (NFUs)), were applied to plots with and without biosolid amendment. The biosolid, applied at a rate of 40 Mg ha(-1) every 3 years for 18 years, complied with national and European regulations to be applied on agricultural soil. The use of combined fertilisation reduced the amount of mineral fertiliser applied between 33 and 67% and the total fertiliser units between 7 and 40%, while maintaining similar yields to the reference mineral fertilisation (180 NFUs). These results could be related to a higher nitrogen agronomic efficiency in the combined fertilisation treatments that do not exceed the total NFUs required by the crop. Combined fertilisation was also an effective fertiliser technique to store total nitrogen and organic carbon in the soil. However, compared to the reference mineral fertilisation (180 NFUs), no significant changes in the soil organic carbon were observed, probably due to the crop management method in which the straw is removed and to higher gas emissions. Our results support the need to assess the efficacy of each agricultural technique at local scales in order not to overestimate or underestimate the potential of each agricultural technique to store soil organic carbon.</t>
  </si>
  <si>
    <t>[Zaragueta, Armelle; Enrique, Alberto; Portell, Xavier; Anton, Rodrigo; Virto, Inigo] Univ Publ Navarra, Dept Ciencias, Inst Innovac &amp; Sostenibil Cadena Agroalimentaria I, Pamplona 31006, Spain; [Zaragueta, Armelle; Orcaray, Luis] Inst Navarro Tecnol &amp; Infraestruc Agroalimentarias, Secc Sistemas Sostenibles, Area Innovac, Villava 31610, Spain; [Anton, Rodrigo] INRAE, Info&amp;Sols, F-45075 Orleans, France</t>
  </si>
  <si>
    <t>Universidad Publica de Navarra; INRAE</t>
  </si>
  <si>
    <t>Zaragüeta, A; Enrique, A (corresponding author), Univ Publ Navarra, Dept Ciencias, Inst Innovac &amp; Sostenibil Cadena Agroalimentaria I, Pamplona 31006, Spain.;Zaragüeta, A (corresponding author), Inst Navarro Tecnol &amp; Infraestruc Agroalimentarias, Secc Sistemas Sostenibles, Area Innovac, Villava 31610, Spain.</t>
  </si>
  <si>
    <t>azaragueta@intiasa.es; alberto.enrique@unavarra.es; xavier.portell@unavarra.es; rodrigo.anton@unavarra.es; inigo.virto@unavarra.es; lorcaray@intiasa.es</t>
  </si>
  <si>
    <t>Virto, Iñigo/L-9915-2015; Echeverría, Luis/Q-2810-2019; Antón, Rodrigo/LEN-1210-2024; Portell, Xavier/LKM-7011-2024; Virto, Inigo/L-9915-2015; ENRIQUE, Alberto/ABH-7272-2020; Enrique Martín, Alberto/ABH-7272-2020</t>
  </si>
  <si>
    <t>Virto, Iñigo/0000-0002-7682-4570; Portell, Xavier/0000-0001-7702-0219; Enrique Martín, Alberto/0000-0003-3404-7117</t>
  </si>
  <si>
    <t>National Institute for Agricultural and Food Research and Technology (INIA) [RTA2017-00088-C03-01]</t>
  </si>
  <si>
    <t>National Institute for Agricultural and Food Research and Technology (INIA)(Instituto de Investigacion Agropecuaria (INIA))</t>
  </si>
  <si>
    <t>This study was funded and promoted by the National Institute for Agricultural and Food Research and Technology (INIA) which granted aid for the hiring of teaching and research staff through the RTA2017-00088-C03-01 project from 2019 to 2023.</t>
  </si>
  <si>
    <t>10.3390/agriculture13040860</t>
  </si>
  <si>
    <t>F0OM7</t>
  </si>
  <si>
    <t>WOS:000979426300001</t>
  </si>
  <si>
    <t>Pezzuolo, A; Dumont, B; Sartori, L; Marinello, F; Migliorati, MD; Basso, B</t>
  </si>
  <si>
    <t>Pezzuolo, Andrea; Dumont, Benjamin; Sartori, Luigi; Marinello, Francesco; Migliorati, Massimiliano De Antoni; Basso, Bruno</t>
  </si>
  <si>
    <t>Evaluating the impact of soil conservation measures on soil organic carbon at the farm scale</t>
  </si>
  <si>
    <t>COMPUTERS AND ELECTRONICS IN AGRICULTURE</t>
  </si>
  <si>
    <t>No tillage; Conventional tillage; Crop model; Carbon dioxide; Soil organic carbon</t>
  </si>
  <si>
    <t>SITE-SPECIFIC TILLAGE; CLIMATE; CROP; SEQUESTRATION; WHEAT; MANAGEMENT; SIMULATION; NITROGEN; MAIZE; MODEL</t>
  </si>
  <si>
    <t>No-tillage (NT) is considered the least invasive conservation agriculture technique and has shown to be the effective in increasing soil C stocks, and reducing losses compared to others tillage systems. In Italy, the Veneto Region was the first to establish a subsidies scheme aimed at promoting the adoption of NT practices. This program encourages farmers to perform direct seeding, alternate autumn and winter crops and maintain soil cover throughout the year by leaving crop residues or sowing cover crops. The goals of this study were to: (i) compare the CO2 emission and soil C sequestration patterns of agricultural soils under CT and NT management practices in the Veneto region and (ii) analyse the potential mid-term benefits (2010-2025) of NT management in terms of soil organic C dynamics and CO2 balance. Agronomic data and soil organic carbon levels were measured from 2010 to 2014 in eight farms in the Veneto region that had adopted CT and NT techniques. Field measurements were used to calibrate first and then validate the SALUS model to compare the mid-term impact of CT and NT practices using climate projections. SOC carbon pools in the model were initialized using the procedure described in Basso et al. (2011c). This is the first study to employ a model using such an extensive dataset at the farm level to assess the CT and NT strategies within this region. Results of this research will assist farmers and policy makers in the region to define the tillage systems most suited to improve soil C stocks and thereby minimize CO2 emissions from agricultural soils. Overall, simulations indicated that SOC stocks can decrease under both CT and NT regimes, however SOC oxidation rates were substantially lower under NT. Critically, the greatest reduction in CO2 emission was observed when NT was adopted in soil with high levels of SOM. This highlights the benefits of NT adoption in terms of soil fertility preservation and CO2 emissions mitigation. (C) 2017 Elsevier B.V. All rights reserved.</t>
  </si>
  <si>
    <t>[Pezzuolo, Andrea; Sartori, Luigi; Marinello, Francesco] Univ Padua, Dept Agroforesty &amp; Landscape, Padua, Italy; [Dumont, Benjamin; Basso, Bruno] Michigan State Univ, Dept Earth &amp; Environm Sci, E Lansing, MI 48824 USA; [Dumont, Benjamin; Basso, Bruno] Michigan State Univ, WK Kellogg Biol Stn, E Lansing, MI 48824 USA; [Migliorati, Massimiliano De Antoni] Queensland Univ Technol, Inst Future Environm, Brisbane, Qld, Australia</t>
  </si>
  <si>
    <t>University of Padua; Michigan State University; Michigan State University; Queensland University of Technology (QUT)</t>
  </si>
  <si>
    <t>Pezzuolo, A (corresponding author), Univ Padua, Dept Agroforesty &amp; Landscape, Padua, Italy.</t>
  </si>
  <si>
    <t>Marinello, Francesco/H-5619-2019; Dumont, Benjamin/KBA-3769-2024; Basso, Bruno/A-3128-2012; Basso, Bruno/AAF-1271-2019; Pezzuolo, Andrea/I-2618-2019</t>
  </si>
  <si>
    <t>Marinello, Francesco/0000-0002-3283-5665; Dumont, Benjamin/0000-0001-8411-3990; Basso, Bruno/0000-0003-2090-4616; De Antoni Migliorati, Massimiliano/0000-0002-5651-5834;</t>
  </si>
  <si>
    <t>Veneto Agriculture; USDA NIFA Awards [2015-68007-23133]</t>
  </si>
  <si>
    <t>Veneto Agriculture; USDA NIFA Awards</t>
  </si>
  <si>
    <t>This study was partially supported by Veneto Agriculture and USDA NIFA Awards USDA-NIFA Award no. 2015-68007-23133. Any opinions, findings, and conclusions or recommendations expressed in this publication are those of the authors and do not necessarily reflect the views of USDA. The funders had no role in study design, data collection and analysis, decision to publish, or preparation of the manuscript.</t>
  </si>
  <si>
    <t>0168-1699</t>
  </si>
  <si>
    <t>1872-7107</t>
  </si>
  <si>
    <t>COMPUT ELECTRON AGR</t>
  </si>
  <si>
    <t>Comput. Electron. Agric.</t>
  </si>
  <si>
    <t>10.1016/j.compag.2017.02.004</t>
  </si>
  <si>
    <t>Agriculture, Multidisciplinary; Computer Science, Interdisciplinary Applications</t>
  </si>
  <si>
    <t>Agriculture; Computer Science</t>
  </si>
  <si>
    <t>ER4HK</t>
  </si>
  <si>
    <t>WOS:000398759500018</t>
  </si>
  <si>
    <t>Nemet, G; Greene, J; Müller-Hansen, F; Minx, JC</t>
  </si>
  <si>
    <t>Nemet, Gregory; Greene, Jenna; Mueller-Hansen, Finn; Minx, Jan C.</t>
  </si>
  <si>
    <t>Dataset on the adoption of historical technologies informs the scale-up of emerging carbon dioxide removal measures</t>
  </si>
  <si>
    <t>COMMUNICATIONS EARTH &amp; ENVIRONMENT</t>
  </si>
  <si>
    <t>FORMATIVE PHASES; DIFFUSION</t>
  </si>
  <si>
    <t>A variety of agricultural, industrial, and consumer technologies have been adopted over the past century and can provide insight into the scale-up of emerging technologies, such as carbon removal. Here we present the Historical Adoption of Technology dataset-a set of harmonized global annual time series from the early 20th century to present. We use three growth metrics to compare historical growth to that of carbon removal in emissions scenarios and future targets. We find heterogeneity in growth rates in the diffusion of historical technologies, ranging from 1.1 to 14.3% (median 6.2%) for our preferred growth metric based on a logistic function. Most emissions scenarios show growth within this range (median 5.9%, range 1 to &gt;100%). Company announcements and policy targets imply faster growth than both historical technologies and carbon removal in emissions scenarios. Further work can explain the heterogeneity and facilitate more precise comparisons.</t>
  </si>
  <si>
    <t>[Nemet, Gregory; Greene, Jenna] Univ Wisconsin Madison, La Follette Sch Publ Affairs, 1225 Observ Dr, Madison, WI 53706 USA; [Mueller-Hansen, Finn; Minx, Jan C.] Mercator Res Inst Global Commons &amp; Climate Change, Torgauer Str 12-15, D-10829 Berlin, Germany; [Minx, Jan C.] Univ Leeds, Priestley Int Ctr Climate Futures, Leeds LS2 9JT, England</t>
  </si>
  <si>
    <t>University of Wisconsin System; University of Wisconsin Madison; University of Leeds</t>
  </si>
  <si>
    <t>Nemet, G (corresponding author), Univ Wisconsin Madison, La Follette Sch Publ Affairs, 1225 Observ Dr, Madison, WI 53706 USA.</t>
  </si>
  <si>
    <t>nemet@wisc.edu</t>
  </si>
  <si>
    <t>Minx, Jan/AAC-5948-2019; Nemet, Gregory/B-3422-2008; Müller-Hansen, Finn/MTD-0804-2025; Greene, Jenna/LSI-8676-2024; Mueller-Hansen, Finn/MTD-0804-2025</t>
  </si>
  <si>
    <t>Nemet, Gregory/0000-0001-7859-4580; Minx, Jan Christoph/0000-0002-2862-0178; Greene, Jenna/0000-0003-3043-1330; Müller-Hansen, Finn/0000-0002-0425-1996;</t>
  </si>
  <si>
    <t>European Union's Horizon 2020 research and innovation programme under the European Research Council (ERC) [951542-GENIE-ERC-2020-SyG]</t>
  </si>
  <si>
    <t>European Union's Horizon 2020 research and innovation programme under the European Research Council (ERC)(European Research Council (ERC))</t>
  </si>
  <si>
    <t>The authors are grateful for comments received at meetings of the consortium on Geoengineering and Negative Emissions in Europe and the 2nd International Conference on Negative Emissions. This project has received funding from the European Union's Horizon 2020 research and innovation programme under the European Research Council (ERC) Grant Agreement No. 951542-GENIE-ERC-2020-SyG, GeoEngineering and NegatIve Emissions pathways in Europe (GENIE).</t>
  </si>
  <si>
    <t>2662-4435</t>
  </si>
  <si>
    <t>COMMUN EARTH ENVIRON</t>
  </si>
  <si>
    <t>Commun. Earth Environ.</t>
  </si>
  <si>
    <t>OCT 30</t>
  </si>
  <si>
    <t>10.1038/s43247-023-01056-1</t>
  </si>
  <si>
    <t>Z9IE9</t>
  </si>
  <si>
    <t>WOS:001115128200001</t>
  </si>
  <si>
    <t>Boy, J; Strey, S; Schönenberg, R; Strey, R; Weber-Santos, O; Nendel, C; Klingler, M; Schumann, C; Hartberger, K; Guggenberger, G</t>
  </si>
  <si>
    <t>Boy, Jens; Strey, Simone; Schoenenberg, Regine; Strey, Robert; Weber-Santos, Oscarlina; Nendel, Claas; Klingler, Michael; Schumann, Charlotte; Hartberger, Korbinian; Guggenberger, Georg</t>
  </si>
  <si>
    <t>Seeing the forest not for the carbon: why concentrating on land-use-induced carbon stock changes of soils in Brazil can be climate-unfriendly</t>
  </si>
  <si>
    <t>Soil carbon; Alternative land uses; Climate change mitigation; Food production; Brazil</t>
  </si>
  <si>
    <t>ORGANIC-MATTER; EASTERN AMAZON; RAIN-FOREST; SEQUESTRATION; DEFORESTATION; MANAGEMENT; CROP; PASTURES; DYNAMICS; TILLAGE</t>
  </si>
  <si>
    <t>Soil carbon stocks of 29 plots along a transect through tropical Brazil showed only minor soil carbon losses after land use shift, although replacement of forest-derived carbon was detectable in subsoil and topsoil, indicating that new equilibria in soil carbon stocks might not have been reached after deforestation. The proportion of carbon lost from soils was negligible as compared to the emissions from biomass reduction by deforestation itself. Industrial agriculture had the best ratio between food production and carbon loss, pointing toward a potential reduction of deforestation pressure by further agricultural intensification, which is not achieved in practice due to institutional obstacles and uneven benefit sharing. In contrast, farmers at the agricultural frontier were identified as change agents if alternative sustainable land uses, taking advantage of biodiversity-related ecosystem services, are fostered by better access to credit lines and extension management. Thus, constraining the climate change debate in agriculture to sole management of carbon stock changes in soil is misleading and draws the attention from the most urgent problems: deforestation caused by wrong incentives.</t>
  </si>
  <si>
    <t>[Boy, Jens; Strey, Simone; Strey, Robert; Guggenberger, Georg] Leibniz Univ Hannover, Inst Soil Sci, Herrenhauser Str 2, D-30419 Hannover, Germany; [Schoenenberg, Regine; Schumann, Charlotte; Hartberger, Korbinian] Free Univ Berlin, Lateinamerika Inst LAI, Rudesheimer Str 54-56, D-14197 Berlin, Germany; [Weber-Santos, Oscarlina] Univ Fed Mato Grosso UFMT FAMEV, Dept Solos &amp; Engn Rural, Ave Fernando Correa da Costa S-N, BR-78060900 Cuiaba, MT, Brazil; [Nendel, Claas] Leibniz Zentrum Agrarlandschaftsforsch ZALF, Inst Landschaftssyst Anal, Eberswalderstr 84, D-15374 Muncheberg, Germany; [Klingler, Michael] Univ Innsbruck, Inst Geog, Bruno Sander Haus 6, A-6020 Innsbruck, Austria</t>
  </si>
  <si>
    <t>Leibniz University Hannover; Free University of Berlin; Universidade Federal de Mato Grosso; Leibniz Association; Leibniz Zentrum fur Agrarlandschaftsforschung (ZALF); University of Innsbruck</t>
  </si>
  <si>
    <t>Boy, J (corresponding author), Leibniz Univ Hannover, Inst Soil Sci, Herrenhauser Str 2, D-30419 Hannover, Germany.</t>
  </si>
  <si>
    <t>boy@ifbk.uni-hannover.de</t>
  </si>
  <si>
    <t>Guggenberger, Georg/C-8423-2013; Boy, Jens/B-2926-2018; Klingler, Michael/JWO-5612-2024; Nendel, Claas/C-8844-2013</t>
  </si>
  <si>
    <t>Boy, Jens/0000-0002-2751-957X; Klingler, Michael/0000-0003-0598-9180; Nendel, Claas/0000-0001-7608-9097; Guggenberger, Georg/0000-0002-6962-8264</t>
  </si>
  <si>
    <t>German Ministry of Education and Research (BMBF) in the FONA-line [01LL0902F]</t>
  </si>
  <si>
    <t>German Ministry of Education and Research (BMBF) in the FONA-line(Federal Ministry of Education &amp; Research (BMBF))</t>
  </si>
  <si>
    <t>This study was carried out in the framework of the interdisciplinary project CarBioCial funded by the German Ministry of Education and Research (BMBF) in the FONA-line, under the grant number 01LL0902F. We want to thank the Brazilian counterpart project Carbioma (UFMT, UFPA-NAEA, Embrapa Arroz e Feijao) for collaboration, all involved farmers, stakeholders, and Brazilian scientific colleagues for their creative contributions, support and their patience during the sampling campaign. We express our gratitude to the Kayapo people that allowed us on their territory and accompanied our research activities with interest and understanding. Without the cooperation of their Institute Kabu, important data presented here could not have been collected. Our gratitude also belongs to the anonymous reviewers for their support to improve the manuscript, and Silke Bokeloh and Steffen Soffker for their valuable technical support.</t>
  </si>
  <si>
    <t>10.1007/s10113-016-1008-1</t>
  </si>
  <si>
    <t>FR6EE</t>
  </si>
  <si>
    <t>WOS:000419157400006</t>
  </si>
  <si>
    <t>Ridzuan, NHAM; Marwan, NF; Khalid, N; Ali, MH; Tseng, ML</t>
  </si>
  <si>
    <t>Ridzuan, Nur Hilfa Awatif Mohamad; Marwan, Nur Fakhzan; Khalid, Norlin; Ali, Mohd Helmi; Tseng, Ming-Lang</t>
  </si>
  <si>
    <t>Effects of agriculture, renewable energy, and economic growth on carbon dioxide emissions: Evidence of the environmental Kuznets curve</t>
  </si>
  <si>
    <t>CO2 emissions; Agriculture; Environmental Kuznets curve hypothesis; Renewable energy; Urbanisation</t>
  </si>
  <si>
    <t>CO2 EMISSIONS; NONRENEWABLE ENERGY; NUCLEAR-ENERGY; CONSUMPTION; HYPOTHESIS; INCOME; CHINA; COINTEGRATION; URBANIZATION; MALAYSIA</t>
  </si>
  <si>
    <t>This study contributes to (1) discovering that carbon dioxide (CO2) emissions are not directly influenced by modernisation; (2) attaining sustainable agriculture by incorporating renewable energy into the agriculture sector as an effective CO2 emissions mitigation measure; and (3) applying the environmental Kuznets curve (EKC) to test the relationships among attributes in Malaysia. Prior studies have not addressed the associations between the release of CO2 and economic development, renewable energy, urbanisation, and agriculture in Malaysia. Hence, the objective of the study is to investigate the relationships of the emissions of CO2 and economic development, renewable energy, urbanisation, and agricultural subsectors, such as crops, livestock, and fisheries, in Malaysia for the period 1978 to 2016. By the utilisation of the autoregressive distributed lag test for cointegration, CO2 emissions significantly increased due to economic growth and urbanisation but insignificantly increased due to livestock in the long term. Crops, fisheries, and renewable energy significantly reduced emissions in this period. Moreover, this study reveals that the association between emissions of CO2 and economic development is an inverted U. This finding indicates that CO2 emissions eventually decrease despite the increase in CO2 emissions and economic development in the long term upon reaching a specific level of growth. These findings are consistent for Malaysia in terms of the EKC hypothesis.</t>
  </si>
  <si>
    <t>[Ridzuan, Nur Hilfa Awatif Mohamad; Marwan, Nur Fakhzan] Univ Teknol MARA, Fac Business &amp; Management, Merbok, Kedah, Malaysia; [Khalid, Norlin; Ali, Mohd Helmi; Tseng, Ming-Lang] Univ Kebangsaan Malaysia, Fac Econ &amp; Management, Bangi, Malaysia; [Tseng, Ming-Lang] Asia Univ, Inst Innovat &amp; Circular Econ, Taichung, Taiwan; [Tseng, Ming-Lang] China Med Univ, China Med Univ Hosp, Dept Med Res, Taichung, Taiwan</t>
  </si>
  <si>
    <t>Universiti Kebangsaan Malaysia; Asia University Taiwan; China Medical University Taiwan; China Medical University Hospital - Taiwan</t>
  </si>
  <si>
    <t>Tseng, ML (corresponding author), Asia Univ, Inst Innovat &amp; Circular Econ, Taichung, Taiwan.</t>
  </si>
  <si>
    <t>hilfa160@uitm.edu.my; nurfakhzan@uitm.edu.my; nrlin@ukm.edu.my; mohdhelmiali@ukm.edu.my; Tsengminglang@asia.edu.tw</t>
  </si>
  <si>
    <t>Marwan, Nur/AAY-5288-2020; Khalid, Norlin/O-1717-2019; KHALID, NORLIN/O-1717-2019; Ali, Mohd Helmi/P-5560-2014; Tseng, Ming Lang/M-9051-2014; Ali, Mohd/P-5560-2014</t>
  </si>
  <si>
    <t>KHALID, NORLIN/0000-0003-2059-4216; Ali, Mohd Helmi/0000-0002-2774-2659; Tseng, Ming Lang/0000-0002-2702-3590;</t>
  </si>
  <si>
    <t>Universiti Kebangsaan Malaysia (UKM) [DCP-2017-019/2]</t>
  </si>
  <si>
    <t>Universiti Kebangsaan Malaysia (UKM)</t>
  </si>
  <si>
    <t>We thank Universiti Kebangsaan Malaysia (UKM) for funding this study via Dana Cabaran Perdana Research Grant (DCP-2017-019/2).</t>
  </si>
  <si>
    <t>10.1016/j.resconrec.2020.104879</t>
  </si>
  <si>
    <t>LY6BP</t>
  </si>
  <si>
    <t>Y</t>
  </si>
  <si>
    <t>N</t>
  </si>
  <si>
    <t>WOS:000540613000011</t>
  </si>
  <si>
    <t>Wang, G; Feng, Y</t>
  </si>
  <si>
    <t>Wang, Geng; Feng, Yan</t>
  </si>
  <si>
    <t>Assessment and prediction of net carbon emission from fishery in Liaoning Province based on eco-economic system simulation</t>
  </si>
  <si>
    <t>Fishery eco-economic systems; Carbon emissions; System dynamics; LMDI method</t>
  </si>
  <si>
    <t>CITY-LEVEL; ENERGY; DECOMPOSITION; MITIGATION</t>
  </si>
  <si>
    <t>The fishery eco-economic system has multiple economic-ecological-social values, and the marine fishery has the dual characteristics of carbon source and carbon sink; net carbon emissions are essential to agricultural production activities' carbon emissions. This is a breakthrough in achieving the goal of carbon peaking and carbon neutrality goals. This study defines the connotation of the fishery eco-economic system and innovatively proposes to combine the Logarithmic Mean Divisia Index (LMDI) method with the SD model to construct a dynamic model of net carbon emission of the fishery eco-economic system in Liaoning. In this study, the main drivers of carbon emissions from fishery were investigated by using the LMDI method, the net carbon emissions from the marine fishery in Liaoning Province from 2005 to 2020 were estimated by using a system dynamics model from the perspective of fishery ecosystem, and a multi-scenario projection of net carbon emissions from fisheries from 2021 to 2040 was made. The results show that: (1) The energy structure and energy intensity have a negative inhibitory effect on carbon emissions, and the fishery economy and the fishery population have a favorable driving effect on carbon emissions. (2) During 2005-2020, carbon emissions from fishery reached a maximum of 2.5 x 105t in 2010 and began to decline after that. Carbon emissions from marine fishing account for 60% of the total carbon emissions. (3) Across the five forecast scenarios from 2021 to 2040, rapid economic growth significantly affects carbon emissions growth, reducing energy use in fisheries through technological advancements helps to reduce carbon emissions, and increasing shellfish and algal production simultaneously increases carbon sinks.</t>
  </si>
  <si>
    <t>[Wang, Geng] Liaoning Normal Univ, Ctr Studies Marine Econ &amp; Sustainable Dev, Key Res Base Humanities &amp; Social Sci, Minist Educ, Dalian 116029, Peoples R China; [Wang, Geng; Feng, Yan] Liaoning Normal Univ, Sch Geog Sci, Dalian 116029, Peoples R China; [Wang, Geng; Feng, Yan] Liaoning Normal Univ, 850 Huanghe Rd, Dalian, Liaoning, Peoples R China</t>
  </si>
  <si>
    <t>Liaoning Normal University; Liaoning Normal University; Liaoning Normal University</t>
  </si>
  <si>
    <t>Wang, G; Feng, Y (corresponding author), Liaoning Normal Univ, 850 Huanghe Rd, Dalian, Liaoning, Peoples R China.</t>
  </si>
  <si>
    <t>wanggeng@lnnu.edu.cn; fengyanlinyi@163.com</t>
  </si>
  <si>
    <t>Special Research Fund of the Center for Studies of Marine Economy and Sustainable Development, Liaoning Normal University [203050032320]</t>
  </si>
  <si>
    <t>Special Research Fund of the Center for Studies of Marine Economy and Sustainable Development, Liaoning Normal University</t>
  </si>
  <si>
    <t>The project was supported by the Special Research Fund of the Center for Studies of Marine Economy and Sustainable Development, Liaoning Normal University (No.203050032320) .</t>
  </si>
  <si>
    <t>SEP 20</t>
  </si>
  <si>
    <t>10.1016/j.jclepro.2023.138080</t>
  </si>
  <si>
    <t>P3FT8</t>
  </si>
  <si>
    <t>WOS:001049540200001</t>
  </si>
  <si>
    <t>Wang, GF; Zhao, BH; Zhao, MQ</t>
  </si>
  <si>
    <t>Wang, Guofeng; Zhao, Baohui; Zhao, Mengqi</t>
  </si>
  <si>
    <t>Investigation into the Performance Characteristics of the Organic Dry Farming Transition and the Corresponding Impact on Carbon Emissions Reduction</t>
  </si>
  <si>
    <t>organic dry farming; transformation performance; carbon emissions reduction</t>
  </si>
  <si>
    <t>Global warming affects food security and ecological security, and it threatens economic stability and sustainable agricultural development. The transformation and development of agriculture have significant implications for the achievement of the dual-carbon goals and the promotion of sustainable agricultural development. Based on panel data on organic dry farming in China from 2005 to 2020, this study aimed to comprehensively assess the transformation performance of organic dry farming (TRODF) in 15 provinces. It explored the impact of the transformation of organic dry farming on carbon emissions by utilizing a spatial Markov chain and spatial measurement models. Our findings are as follows: (1) The performance of the organic dryland agriculture transformation has gradually improved and is accompanied by a corresponding trend of fluctuating regional disparities, which are on the rise. Moreover, the disparities between the five major regions mainly stem from intra-regional differences. (2) TRODF agriculture presents the possibility of state transfer during different periods, featuring four convergent zones: a lagging zone, a starting zone, a crossing zone, and an advanced zone. The spatial Markov chain indicates that state transitions typically occur between adjacent levels, with fewer instances of jump-type transitions. Moreover, there is a clear trend of differentiation in the state transitions between non-adjacent areas. (3) The organic dry farming transformation exhibits a significant carbon reduction effect, which is characterized by heterogeneity across different stages of agricultural development, provinces, and time periods. This study emphasizes that economic and industrial transformation, along with the transformation of the ecological environment, represents a crucial direction for conserving resources and achieving a further reduction in carbon emissions.</t>
  </si>
  <si>
    <t>[Wang, Guofeng; Zhao, Baohui; Zhao, Mengqi] Shanxi Univ Finance &amp; Econ, Fac Int &amp; Trade, Taiyuan 030000, Peoples R China</t>
  </si>
  <si>
    <t>Shanxi University Finance &amp; Economics</t>
  </si>
  <si>
    <t>Wang, GF (corresponding author), Shanxi Univ Finance &amp; Econ, Fac Int &amp; Trade, Taiyuan 030000, Peoples R China.</t>
  </si>
  <si>
    <t>wanggf@sxufe.edu.cn; zhaobh_aee@163.com</t>
  </si>
  <si>
    <t>National Natural Science Foundation of China</t>
  </si>
  <si>
    <t>We thank the anonymous reviewers for their efforts to improve this paper.</t>
  </si>
  <si>
    <t>10.3390/agriculture14030459</t>
  </si>
  <si>
    <t>MD1T0</t>
  </si>
  <si>
    <t>WOS:001191603900001</t>
  </si>
  <si>
    <t>Wang, HB; Liu, XP; Shu, YC; Li, G; Sun, CL; Jones, DL; Zhu, YG; Lin, XY</t>
  </si>
  <si>
    <t>Wang, Hai-Bo; Liu, Xi-Peng; Shu, Yu-Chen; Li, Gang; Sun, Cheng-Liang; Jones, Davey L.; Zhu, Yong-Guan; Lin, Xian-Yong</t>
  </si>
  <si>
    <t>Molecular Composition of Exogenous Dissolved Organic Matter Regulates Dissimilatory Iron Reduction and Carbon Emissions in Paddy Soil</t>
  </si>
  <si>
    <t>greenhouse gas emissions; biochar; dissimilatoryiron reduction; carbon sequestration; organic amendments; soil microbiome</t>
  </si>
  <si>
    <t>BIOCHAR AMENDMENT; IMPACT</t>
  </si>
  <si>
    <t>Soil carbon (C) cycling under anoxic conditions is mechanistically linked to dissimilatory iron (Fe) reduction, potentially influenced by exogenous dissolved organic matter (DOM). However, the impact of complex exogenous DOM on soil microbial activity and C-Fe coupling in paddy soils remains underexplored. With a 100-day microcosm experiment, we found that biochar-DOM significantly promoted Fe reduction and accelerated CH4 and CO2 emissions, and manure-DOM increased soil CO2 emissions. These effects may be caused by the following mechanisms: DOM molecules with high aromaticity and high double bond equivalence (DBE), including lignins-polyphenols, lignins-polycyclic aromatics, and condensed aromatics-polycyclic aromatics, promoted soil Fe reduction and CH4 emissions with enrichment of soil Fe-reducing bacteria, r-strategists, and reduction of methanotrophs at the early stage of incubation. Conversely, DOM with low aromaticity, low DBE, and high H/C enhanced CO2 emissions with the enhancement of recalcitrant C degradation and CH4 oxidation at the late stage of incubation. In conclusion, our study highlights the importance of the molecular composition of organic amendment-derived DOM in regulating soil Fe reduction and greenhouse gas emissions. The findings offer novel insights into the effective utilization of agricultural resources and the potential mitigation of greenhouse gas production and emissions.</t>
  </si>
  <si>
    <t>[Wang, Hai-Bo; Shu, Yu-Chen; Sun, Cheng-Liang; Zhu, Yong-Guan; Lin, Xian-Yong] Zhejiang Univ, Coll Environm &amp; Resource Sci, MOE Key Lab Environm Remediat &amp; Ecol Hlth, Hangzhou 310058, Peoples R China; [Wang, Hai-Bo; Jones, Davey L.] Bangor Univ, Sch Environm &amp; Nat Sci, Bangor LL57 2UW, Wales; [Liu, Xi-Peng] Ctr Natl Rech Sci CNRS, Lab Ecol Microbienne LEM, UMR5557, F-69100 Villeurbanne, France; [Li, Gang] Chinese Acad Sci, Inst Urban Environm, Key Lab Urban Environm &amp; Hlth, Ningbo Urban Environm Observat &amp; Res Stn, Xiamen 361021, Peoples R China; [Zhu, Yong-Guan] Chinese Acad Sci, Res Ctr Ecoenvironm Sci, State Key Lab Urban &amp; Reg Ecol, Beijing 100085, Peoples R China</t>
  </si>
  <si>
    <t>Zhejiang University; Bangor University; VetAgro Sup; Centre National de la Recherche Scientifique (CNRS); Universite Claude Bernard Lyon 1; Chinese Academy of Sciences; Institute of Urban Environment, CAS; Chinese Academy of Sciences; Research Center for Eco-Environmental Sciences (RCEES), CAS</t>
  </si>
  <si>
    <t>Lin, XY (corresponding author), Zhejiang Univ, Coll Environm &amp; Resource Sci, MOE Key Lab Environm Remediat &amp; Ecol Hlth, Hangzhou 310058, Peoples R China.</t>
  </si>
  <si>
    <t>xylin@zju.edu.cn</t>
  </si>
  <si>
    <t>Li, Gang/H-3179-2012; Zhu, Yong-Guan/A-1412-2009; wang, haibo/OIT-5522-2025; jones, davey/C-7411-2011</t>
  </si>
  <si>
    <t>Li, Gang/0000-0002-1674-4587; WANG, HAIBO/0009-0005-5393-9868;</t>
  </si>
  <si>
    <t>Department of Agriculture and Rural Affairs of Zhejiang Province [42477335]; National Natural Science Foundation of China [2023YFD1902901]; National Key Research and Development Program of China [2023SNJF039]; Zhejiang Province Agriculture, Rural Areas, Rural People and Nine Institutions Science and Technology Collaboration Program</t>
  </si>
  <si>
    <t>Department of Agriculture and Rural Affairs of Zhejiang Province; National Natural Science Foundation of China(National Natural Science Foundation of China (NSFC)); National Key Research and Development Program of China(National Key Research &amp; Development Program of China); Zhejiang Province Agriculture, Rural Areas, Rural People and Nine Institutions Science and Technology Collaboration Program</t>
  </si>
  <si>
    <t>This work was supported by the National Natural Science Foundation of China (42477335), the National Key Research and Development Program of China (2023YFD1902901), and the Zhejiang Province Agriculture, Rural Areas, Rural People and Nine Institutions Science and Technology Collaboration Program (2023SNJF039).</t>
  </si>
  <si>
    <t>10.1021/acs.est.5c03323</t>
  </si>
  <si>
    <t>4LP9A</t>
  </si>
  <si>
    <t>WOS:001518051300001</t>
  </si>
  <si>
    <t>Arca, P; Vagnoni, E; Duce, P; Franca, A</t>
  </si>
  <si>
    <t>Arca, Pasquale; Vagnoni, Enrico; Duce, Pierpaolo; Franca, Antonello</t>
  </si>
  <si>
    <t>How does soil carbon sequestration affect greenhouse gas emissions from a sheep farming system? Results of a life cycle assessment case study</t>
  </si>
  <si>
    <t>ITALIAN JOURNAL OF AGRONOMY</t>
  </si>
  <si>
    <t>Sheep farming; life cycle assessment; greenhouse gas emissions; carbon sequestration; extensification; permanent grasslands; temporary grasslands</t>
  </si>
  <si>
    <t>ENVIRONMENTAL IMPACTS; AGRICULTURAL SOILS; BIOGENIC CARBON; MILK; INTENSIFICATION; MITIGATION; ROTATIONS; GRASSLAND; FOOTPRINT; DYNAMICS</t>
  </si>
  <si>
    <t>A life cycle assessment (LCA) study of a transition from semi-intensive to semi-extensive Mediterranean dairy sheep farm suggests that the latter has a strong potential for offsetting greenhouse gas (GHG) emissions through the soil C sequestration (C-seq) in permanent grasslands. The extensification process shows clear environmental advantage when emission intensity is referred to the area-based functional unit (FU). Several LCA studies reported that extensive livestock systems have greater GHG emissions per mass of product than intensive one, due to their lower productivity. However, these studies did not account for soil C-seq of temporary and permanent grasslands, that have a strong potential to partly mitigate the GHG balance of ruminant production systems. Our LCA study was carried out considering the transition from a semi-intensive (SI) towards a semi-extensive (SE) production system, adopted in a dairy sheep farm located in North-Western Sardinia (Italy). Impact scope included enteric methane emissions, feed production, on-farm energy use and transportation, infrastructures as well as the potential C sink from soil C(seq )compared to emission intensity. In order to provide a more comprehensive analysis, we used the following FUs: 1 kg of fat and protein corrected milk (FPCM) and 1 ha of utilised agricultural area (UAA). We observed that the extensification of production system determined contrasting environmental effects when using different FUs accounting for soil C-seq. When soil C-seq in emission intensity estimate was included, we observed slightly lower values of GHG emissions per kg of FPCM in the SI production system (from 3.37 to 3.12 kg CO2 equivalents - CO2-eq), whereas a greater variation we observed in the SE one (from 3.54 to 2.90 kg CO2-eq). Considering 1 ha of LJAA as FU and including the soil C-seq, the emission intensity in SI moved from 6257 to 5793 kg CO2-eq, whereas values varied from 4020 to 3299 kg CO2-eq in SE. These results indicated that the emission intensity from semi-extensive Mediterranean dairy sheep farms can be considerably reduced through the soil C-seq, although its measurement is influenced by the models used in the estimation.</t>
  </si>
  <si>
    <t>[Arca, Pasquale; Vagnoni, Enrico; Duce, Pierpaolo] Natl Res Council Italy, Inst BioEcon, CNR, IBE, Trav La Crucca 3, I-07100 Sassari, Italy; [Franca, Antonello] Natl Res Council Italy, Inst Anim Prod Syst Mediterranean Environm, CNR, ISPAAM, Sassari, Italy</t>
  </si>
  <si>
    <t>Consiglio Nazionale delle Ricerche (CNR); Istituto per la BioEconomia (IBE-CNR); Consiglio Nazionale delle Ricerche (CNR); Istituto Per Il Sistema Produzione Animale In Ambiente Mediterraneo (ISPAAM-CNR)</t>
  </si>
  <si>
    <t>Vagnoni, E (corresponding author), Natl Res Council Italy, Inst BioEcon, CNR, IBE, Trav La Crucca 3, I-07100 Sassari, Italy.</t>
  </si>
  <si>
    <t>enrico.vagnoni@ibe.cnr.it</t>
  </si>
  <si>
    <t>Vagnoni, Enrico/KDO-5637-2024; Duce, Pierpaolo/B-7634-2015; Franca, Antonello/AAX-1876-2020</t>
  </si>
  <si>
    <t>Vagnoni, Enrico/0000-0002-7493-4856; Arca, Pasquale/0000-0003-0507-1556; FRANCA, ANTONIO/0000-0003-2123-305X;</t>
  </si>
  <si>
    <t>European Union [LIFE15 CCM/IT/000123]</t>
  </si>
  <si>
    <t>this study was supported by the LIFE financial instrument of the European Union (project SheepToShip LIFE Looking for an eco-sustainable sheep supply chain: environmental benefits and implications, LIFE15 CCM/IT/000123).</t>
  </si>
  <si>
    <t>1125-4718</t>
  </si>
  <si>
    <t>2039-6805</t>
  </si>
  <si>
    <t>ITAL J AGRON</t>
  </si>
  <si>
    <t>Ital. J. Agron.</t>
  </si>
  <si>
    <t>10.4081/ija.2021.1789</t>
  </si>
  <si>
    <t>UJ5GC</t>
  </si>
  <si>
    <t>WOS:000691312400002</t>
  </si>
  <si>
    <t>Kitsou, D; Chantzi, P; Galanis, G; Gkoutzikostas, D; Roussonikolos, V; Karyotis, K; Giortsou, M; Tiliopoulou, N; Papastergiou, A; Zalidis, G</t>
  </si>
  <si>
    <t>Kitsou, Daphne; Chantzi, Paraskevi; Galanis, Georgios; Gkoutzikostas, Dimitris; Roussonikolos, Vasilios; Karyotis, Konstantinos; Giortsou, Maria; Tiliopoulou, Nikoleta; Papastergiou, Argiro; Zalidis, Georgios</t>
  </si>
  <si>
    <t>Life cycle assessment of soil carbon dynamics in peach and olive cultivation in Greece: Implementing nature-based solutions</t>
  </si>
  <si>
    <t>SEQUESTRATION; MANAGEMENT</t>
  </si>
  <si>
    <t>Carbon sequestration is a natural process that removes carbon dioxide from the atmosphere and stores it in plant biomass, soils, oceans, and geological formations- a very important process for reducing greenhouse gas concentrations, mitigating climate change and improving soil health. This study explores the environmental impact of implementing Nature Based Solutions (NBSs) in peach orchards and olive groves in Greece, using a cradle-to-farm-gate Life Cycle Assessment (LCA) approach. It specifically examines the chemical, physical, and soil conditions necessary for humification and organic carbon accumulation. The objectives are to: (1) assess the effectiveness NBSs in enhancing soil carbon sequestration within different agricultural management practices, (2) quantify the impact of cultivation transitions on soil carbon storage capacity and greenhouse gas (GHG) emissions, (3) integrate soil carbon stock dynamics into LCA methodologies to improve accuracy in carbon footprint assessments, and (4) highlight the importance of soil organic carbon (SOC) pools and soil properties in refining LCA interpretations for sustainable land management. By Implementing NBSs at pilot sites and using the Monitoring, Reporting and Verification system to track GHG emissions and SOC changes in the field, carbon stocks increased: -179.2 kg CO2 eq in the peach orchard and -186.3 kg CO2 eq in the olive grove. GHG emissions reduced by 16.4% in peach cultivation and 51.1% per hectare in olive grove. Main emission sources included crop protection and field energy use; in olives, residue management also played a significant role. This study provides empirical evidence on how NBSs can enhance soil carbon sequestration and reduce GHG emissions, contributing to both climate change mitigation and sustainable agricultural management. These findings demonstrate the value of integrating SOC dynamics into LCA for more reliable carbon assessments, offering a more accurate representation of carbon sequestration potential. The study can support policymakers, farmers, and stakeholders in adopting strategies that maximize environmental benefits and promote soil health. More long- term research on the implementation of Nature Based Solutions is required to properly assess their impact across cultivations, soil types and pedoclimatic zones.</t>
  </si>
  <si>
    <t>[Kitsou, Daphne; Chantzi, Paraskevi; Galanis, Georgios; Gkoutzikostas, Dimitris; Roussonikolos, Vasilios; Giortsou, Maria; Tiliopoulou, Nikoleta; Papastergiou, Argiro; Zalidis, Georgios] InterBalkan Environm Ctr, Lagadas, Greece; [Kitsou, Daphne; Chantzi, Paraskevi; Galanis, Georgios; Gkoutzikostas, Dimitris; Roussonikolos, Vasilios; Karyotis, Konstantinos; Giortsou, Maria; Papastergiou, Argiro; Zalidis, Georgios] Aristotle Univ Thessaloniki, Fac Agr Forestry &amp; Nat Environm, Thessaloniki, Greece</t>
  </si>
  <si>
    <t>Aristotle University of Thessaloniki</t>
  </si>
  <si>
    <t>Chantzi, P (corresponding author), InterBalkan Environm Ctr, Lagadas, Greece.;Chantzi, P (corresponding author), Aristotle Univ Thessaloniki, Fac Agr Forestry &amp; Nat Environm, Thessaloniki, Greece.</t>
  </si>
  <si>
    <t>pchantzi@auth.gr</t>
  </si>
  <si>
    <t>Karyotis, Konstantinos/0000-0003-1190-5772; Kitsou, Daphne/0009-0001-6282-5265; Papastergiou, Argiro/0009-0008-3547-3728; Chantzi, Paraskevi/0000-0001-5444-4887</t>
  </si>
  <si>
    <t>Horizon Europe HORIZON-WIDERA-2022-ACCESS-04-01-Excellence Hubs program [101087233]; Horizon Europe - Horizontal Pillar [101087233] Funding Source: Horizon Europe - Horizontal Pillar</t>
  </si>
  <si>
    <t>Horizon Europe HORIZON-WIDERA-2022-ACCESS-04-01-Excellence Hubs program; Horizon Europe - Horizontal Pillar(European Union (EU)Horizon Europe Horizontal Pillar)</t>
  </si>
  <si>
    <t>The present work was carried out in the framework of CARBONICA project that has received funding from the Horizon Europe HORIZON-WIDERA-2022-ACCESS-04-01-Excellence Hubs program under Grant Agreement No. 101087233. The funders had no role in study design, data collection and analysis, decision to publish, or preparation of the manuscript</t>
  </si>
  <si>
    <t>e0325757</t>
  </si>
  <si>
    <t>10.1371/journal.pone.0325757</t>
  </si>
  <si>
    <t>3ZP7W</t>
  </si>
  <si>
    <t>WOS:001512793300043</t>
  </si>
  <si>
    <t>Bleuler, M; Farina, R; Francaviglia, R; di Bene, C; Napoli, R; Marchetti, A</t>
  </si>
  <si>
    <t>Bleuler, Mira; Farina, Roberta; Francaviglia, Rosa; di Bene, Claudia; Napoli, Rosario; Marchetti, Alessandro</t>
  </si>
  <si>
    <t>Modelling the impacts of different carbon sources on the soil organic carbon stock and CO2 emissions in the Foggia province (Southern Italy)</t>
  </si>
  <si>
    <t>AGRICULTURAL SOILS; COVER CROPS; ROTHC MODEL; CLIMATE-CHANGE; SEQUESTRATION; MATTER; MANAGEMENT; DYNAMICS; TURNOVER; SYSTEMS</t>
  </si>
  <si>
    <t>The effects of systematic compost addition or cover cropping throughout the agricultiral land of the Foggia province (Southern Italy) on the soil organic carbon (SOC) stocks and the CO2-C emissions were predicted over a period of 20 years (1994-2013). Therefore, the bio-physical model RothC1ON was used in combination with spatially explicit input data including soil types, soil textures, land use and climate. Actual crop successions and crop types on a grid with a resolution of 30-arc sec (1 km at the equator) were included in the input data. Compost application and cover cropping were not adopted as a general input to all soils and land use classes, but according to applicability in the particular cropping systems, therefore representing a realistic input scenario under given soil use practices in the area. The results of the modelling process were spatialized with regression kriging, using soil maps, land use maps and satellite images as co-variates. While the control scenario led to a SOC depletion of 0.81 Tg and a total CO2-C emission of 21.1 Tg over 20 years in the Foggia province, systematic compost addition could reduce the loss of SOC to 0.56 Tg C while slightly increasing CO2-C emissions to 21.6 of Tg C. Cover cropping led to an overall SOC accumulation of 0.61 Tg and cumulated CO2-C emissions of 24.6 of Tg. Cover cropping therefore represents the most promising tool for carbon sequestration in the Foggia province.</t>
  </si>
  <si>
    <t>[Bleuler, Mira] Zurich Univ Appl Sci ZHAW, Inst Nat Resource Sci, Gruentalstr 14, CH-8820 Wadenswil, Switzerland; [Farina, Roberta; Francaviglia, Rosa; di Bene, Claudia; Napoli, Rosario; Marchetti, Alessandro] Consiglio Ric Agr &amp; Anal Econ Agr, Ctr Ric Agr &amp; Ambiente CREA AA, Via Navicella 2-4, I-00184 Rome, Italy</t>
  </si>
  <si>
    <t>Zurich University of Applied Sciences; Consiglio per la Ricerca in Agricoltura e L'analisi Dell'economia Agraria (CREA)</t>
  </si>
  <si>
    <t>Bleuler, M (corresponding author), Zurich Univ Appl Sci ZHAW, Inst Nat Resource Sci, Gruentalstr 14, CH-8820 Wadenswil, Switzerland.</t>
  </si>
  <si>
    <t>mira.bleuler@zhaw.ch</t>
  </si>
  <si>
    <t>Di Bene, Claudia/B-4530-2011; Francaviglia, Rosa/J-7466-2012; Farina, Roberta/S-6335-2018; NAPOLI, Rosario/AEY-9177-2022</t>
  </si>
  <si>
    <t>Di Bene, Claudia/0000-0002-3830-251X; FARINA, ROBERTA/0000-0003-4378-0484; Marchetti, Alessano/0000-0001-6141-2402; Napoli, Rosario/0000-0002-2780-8734; Francaviglia, Rosa/0000-0002-4362-5428;</t>
  </si>
  <si>
    <t>10.1016/j.agsy.2017.07.017</t>
  </si>
  <si>
    <t>FK1ZR</t>
  </si>
  <si>
    <t>WOS:000413282600022</t>
  </si>
  <si>
    <t>Lefebvre, D; Fawzy, S; Aquije, CA; Osman, AI; Draper, KT; Trabold, TA</t>
  </si>
  <si>
    <t>Lefebvre, David; Fawzy, Samer; Aquije, Camila A.; Osman, Ahmed I.; Draper, Kathleen T.; Trabold, Thomas A.</t>
  </si>
  <si>
    <t>Biomass residue to carbon dioxide removal: quantifying the global impact of biochar</t>
  </si>
  <si>
    <t>BIOCHAR</t>
  </si>
  <si>
    <t>Pyrolysis; Biochar; Waste biomass; Carbon sequestration; Negative emissions technologies (NETs); Nationally Determined Contributions (NDCs)</t>
  </si>
  <si>
    <t>GREENHOUSE-GAS; ENERGY; PYROLYSIS; EMISSIONS; SYSTEMS</t>
  </si>
  <si>
    <t>The Climate Change Conference of Parties (COP) 21 in December 2015 established Nationally Determined Contributions toward reduction of greenhouse gas emissions. In the years since COP21, it has become increasingly evident that carbon dioxide removal (CDR) technologies must be deployed immediately to stabilize concentration of atmospheric greenhouse gases and avoid major climate change impacts. Biochar is a carbon-rich material formed by high-temperature conversion of biomass under reduced oxygen conditions, and its production is one of few established CDR methods that can be deployed at a scale large enough to counteract effects of climate change within the next decade. Here we provide a generalized framework for quantifying the potential contribution biochar can make toward achieving national carbon emissions reduction goals, assuming use of only sustainably supplied biomass, i.e., residues from existing agricultural, livestock, forestry and wastewater treatment operations. Our results illustrate the significant role biochar can play in world-wide CDR strategies, with carbon dioxide removal potential of 6.23 +/- 0.24% of total GHG emissions in the 155 countries covered based on 2020 data over a 100-year timeframe, and more than 10% of national emissions in 28 countries. Concentrated regions of high biochar carbon dioxide removal potential relative to national emissions were identified in South America, northwestern Africa and eastern Europe. Biochar production via biomass pyrolysis is one of few carbon dioxide removal (CDR) technologies that can be deployed at scale.Modeled biochar CDR potential of nearly every country, based on available biomass residues and national average soil temperature.Biochar can offset over 10% of national emissions in many countries, with concentrated impacts in three global regions.</t>
  </si>
  <si>
    <t>[Lefebvre, David] Univ British Columbia, Vancouver, BC V6T 1Z4, Canada; [Fawzy, Samer; Osman, Ahmed I.] Queens Univ Belfast, Sch Chem &amp; Chem Engn, Belfast BT9 5AG, North Ireland; [Fawzy, Samer] Trinity Biocarbon, POB 135098, Masdar, Abu Dhabi, U Arab Emirates; [Aquije, Camila A.; Draper, Kathleen T.] Int Biochar Initiat, Longmont, CO 80501 USA; [Trabold, Thomas A.] Rochester Inst Technol, Golisano Inst Sustainabil, Rochester, NY 14623 USA</t>
  </si>
  <si>
    <t>University of British Columbia; Queens University Belfast; Rochester Institute of Technology</t>
  </si>
  <si>
    <t>Trabold, TA (corresponding author), Rochester Inst Technol, Golisano Inst Sustainabil, Rochester, NY 14623 USA.</t>
  </si>
  <si>
    <t>tatasp@rit.edu</t>
  </si>
  <si>
    <t>; Osman, Ahmed/S-2958-2016; Trabold, Thomas/A-9808-2009; Draper, Kathleen/ISS-0088-2023; Lefebvre, David/AAB-3312-2020</t>
  </si>
  <si>
    <t>Lefebvre, David/0000-0003-0281-8781; Trabold, Thomas/0000-0001-5334-2918;</t>
  </si>
  <si>
    <t>The authors would like to thank Dr. Annette Cowie (NSW Department of Primary Industries, New South Wales, Australia), and Dr. Johannes Lehmann (Cornell University, New York, USA) for their review of the manuscript and very helpful suggestions for improving</t>
  </si>
  <si>
    <t>The authors would like to thank Dr. Annette Cowie (NSW Department of Primary Industries, New South Wales, Australia), and Dr. Johannes Lehmann (Cornell University, New York, USA) for their review of the manuscript and very helpful suggestions for improving the quality of the final submission.</t>
  </si>
  <si>
    <t>SPRINGER SINGAPORE PTE LTD</t>
  </si>
  <si>
    <t>SINGAPORE</t>
  </si>
  <si>
    <t>152 Beach Road, #21-01 Gateway East, SINGAPORE, SINGAPORE</t>
  </si>
  <si>
    <t>2524-7972</t>
  </si>
  <si>
    <t>2524-7867</t>
  </si>
  <si>
    <t>Biochar</t>
  </si>
  <si>
    <t>10.1007/s42773-023-00258-2</t>
  </si>
  <si>
    <t>Environmental Sciences; Soil Science</t>
  </si>
  <si>
    <t>Environmental Sciences &amp; Ecology; Agriculture</t>
  </si>
  <si>
    <t>T4OS6</t>
  </si>
  <si>
    <t>WOS:001077804900001</t>
  </si>
  <si>
    <t>Wei, TY; Yang, B; Wang, GY; Yang, K</t>
  </si>
  <si>
    <t>Wei, Tianyi; Yang, Bin; Wang, Guangyu; Yang, Kun</t>
  </si>
  <si>
    <t>County land use carbon emission and scenario prediction in Mianyang Science and Technology City New District, Sichuan Province, China</t>
  </si>
  <si>
    <t>Land use; CLUE-S model; Carbon emission; Planning scenarios</t>
  </si>
  <si>
    <t>CLUE-S MODEL; URBAN EXPANSION; IMPACTS; INTENSITY; GROWTH; UNCERTAINTY; SIMULATION; DYNAMICS; DRIVERS; STORAGE</t>
  </si>
  <si>
    <t>The role of carbon emissions resulting from land use change in the compilation of national greenhouse gas emission inventories is of paramount significance. This study is centered on the Mianyang Science and Technology City New Area located in Sichuan Province, China. We used the CLUE-S model and Sentinel-2A remote sensing data from 2017 to simulate and validate land use changes in 2022. Based on this validation, we established three simulation scenarios: a baseline scenario, an agricultural development scenario, and a construction development scenario. Using remote sensing data from 2022, we projected the land use for 2030. We also used CO2 concentration data collected in 2022 and 2023, processed the data using ArcGIS and Python, and conducted a quantitative analysis of carbon emissions under each scenario. Ultimately, the accuracy of both measured and predicted CO2 values for 2023 was juxtaposed and authenticated, thus concluding the investigative cycle of this study. Key findings include: (1) The accuracy of the CLUE-S model in the study area was assessed using overall accuracy, quantity disagreement and allocation disagreement indexes. In 2022, the overall accuracy is 98.19%, the quantity disagreement is 1.7%, and the allocation disagreement is 2.2%. (2) Distinct land resource utilization characteristics in scenarios, highlighting potential impacts on economic development and pollution. (3) Increased carbon emissions across scenarios, with construction development showing the highest rise (4.170%) and agricultural development the lowest (0.766%). (4) The predictive accuracy of the validation group's CO2 concentration values can reach 99.5%. This study proposes precise CO2 prediction at the county level, thus laying the groundwork for future research endeavors. Such findings are indispensable for informing carbon policy formulation and promoting low-carbon development strategies.</t>
  </si>
  <si>
    <t>[Wei, Tianyi; Yang, Bin; Wang, Guangyu; Yang, Kun] Southwest Univ Sci &amp; Technol, Sch Environm &amp; Resources, Mianyang 621010, Sichuan, Peoples R China; [Yang, Bin] Natl Remote Sensing Ctr, Mianyang Sci &amp; Technol City Branch, Mianyang 621010, Sichuan, Peoples R China; [Yang, Bin] Southwest Univ Sci &amp; Technol SWUST, Tianfu Inst Res &amp; Innovat TIRI, Chengdu 610299, Sichuan, Peoples R China</t>
  </si>
  <si>
    <t>Southwest University of Science &amp; Technology - China; Southwest University of Science &amp; Technology - China</t>
  </si>
  <si>
    <t>Yang, B (corresponding author), Southwest Univ Sci &amp; Technol, Sch Environm &amp; Resources, Mianyang 621010, Sichuan, Peoples R China.;Yang, B (corresponding author), Natl Remote Sensing Ctr, Mianyang Sci &amp; Technol City Branch, Mianyang 621010, Sichuan, Peoples R China.;Yang, B (corresponding author), Southwest Univ Sci &amp; Technol SWUST, Tianfu Inst Res &amp; Innovat TIRI, Chengdu 610299, Sichuan, Peoples R China.</t>
  </si>
  <si>
    <t>xjgis@126.com</t>
  </si>
  <si>
    <t>Wei, Tianyi/KLZ-0436-2024; Wang, Guangyu/AAM-5940-2021</t>
  </si>
  <si>
    <t>APR 23</t>
  </si>
  <si>
    <t>10.1038/s41598-024-60036-3</t>
  </si>
  <si>
    <t>OL3V9</t>
  </si>
  <si>
    <t>WOS:001207399200112</t>
  </si>
  <si>
    <t>Blume, O; Guitard, E; Crann, C; Orekhov, M; Amos, R; Clark, I; Lapen, D; Blowes, D; Ptacek, C; Craiovan, E; Sunohara, M</t>
  </si>
  <si>
    <t>Blume, Oliver; Guitard, Eric; Crann, Carley; Orekhov, Michel; Amos, Richard; Clark, Ian; Lapen, David; Blowes, David; Ptacek, Carol; Craiovan, Emilia; Sunohara, Mark</t>
  </si>
  <si>
    <t>Relationships between carbon age and CO2 efflux in agricultural and drainage ditch soils using the thermonuclear bomb pulse</t>
  </si>
  <si>
    <t>VADOSE ZONE JOURNAL</t>
  </si>
  <si>
    <t>AMS LABORATORY OTTAWA; ORGANIC-MATTER; ATMOSPHERIC RADIOCARBON; MICROBIAL BIOMASS; C-14; EMISSIONS; DYNAMICS; TILLAGE; FLUXES; RESPIRATION</t>
  </si>
  <si>
    <t>Agricultural soils contribute significantly to global CO2 emissions. Soils can be both a CO2 sink and source depending on vegetation cover and the physical-chemical characteristics of the soil environment. This study uses a new C-14 dating approach to elucidate soil physical and geochemical properties that drive the production and transport of CO2 in cultivated and noncultivated drainage ditch soil environments. As expected, CO2 production and fluxes decrease with soil depth. Relating depth-specific subsurface radiocarbon of CO2 ((CO2)-C-14) to the atmospheric scenario generated from the testing of thermonuclear bombs in the 1950s and 1960s provides a means to date the labile organic C pools responsible for soil respiration that are otherwise generalized as having a modern age (&lt;= 1950 AD). Depth-specific (CO2)-C-14 measurements showed that CO2 in shallow soils (&lt;= 22.5-cm depth) have a younger age than CO2 in deeper soils (&gt;22.5-cm depth). The (CO2)-C-14 of surface emissions were comparable to those of shallow soils (&lt;= 22.5-cm depth), showing that respiration in the deeper soils (&gt;22.5-cm depth) do not contribute significantly to surface emissions, and the higher CO2 concentrations at depth in soil result from processes limiting CO2 transport to surface. Coupling the C-14 data with CO2 flux profiles confirms that CO2 effluxes are derived from modern soil organic C (&lt;10 yr since sequestered) from the shallowest soil depths in all soil environments studied, but changes in physical soil processes governing gas transport at depth could release these deeper CO2 stores.</t>
  </si>
  <si>
    <t>[Blume, Oliver; Guitard, Eric; Amos, Richard] Carleton Univ, Dept Earth Sci, Herzberg Labs, 1125 Colonel By Dr, Ottawa, ON K1S5B6, Canada; [Blume, Oliver; Guitard, Eric; Crann, Carley; Orekhov, Michel; Clark, Ian] Univ Ottawa, Dept Earth &amp; Environm Sci, Adv Res Complex,25 Templeton St, Ottawa, ON K1N6N5, Canada; [Blume, Oliver; Lapen, David; Craiovan, Emilia; Sunohara, Mark] Agr &amp; Agri Food Canada, Ottawa Res &amp; Dev Ctr, 960 Carling Ave, Ottawa, ON K1A 0C6, Canada; [Blowes, David; Ptacek, Carol] Univ Waterloo, Dept Earth &amp; Environm Sci, 200 Univ Ave West, Waterloo, ON N2L3G1, Canada</t>
  </si>
  <si>
    <t>Carleton University; University of Ottawa; Agriculture &amp; Agri Food Canada; University of Waterloo</t>
  </si>
  <si>
    <t>Blume, O (corresponding author), Carleton Univ, Dept Earth Sci, Herzberg Labs, 1125 Colonel By Dr, Ottawa, ON K1S5B6, Canada.</t>
  </si>
  <si>
    <t>oliverblume@cmail.carleton.ca</t>
  </si>
  <si>
    <t>Agriculture and Agri-Food Canada's (AAFC's) Agriculture Greenhouse Gas Program (AGGP); AAFC [J002305, J001839]</t>
  </si>
  <si>
    <t>Agriculture and Agri-Food Canada's (AAFC's) Agriculture Greenhouse Gas Program (AGGP)(Agriculture &amp; Agri Food Canada); AAFC(Agriculture &amp; Agri Food Canada)</t>
  </si>
  <si>
    <t>The authors would like to specifically thank Agriculture and Agri-Food Canada (AAFC) staff (E. Gregorich, A. Spasojevic) for their assistance with CO2 and SOC analyses. We would also like to thank the A.E. Lalonde AMS Laboratory for their assistance with 14C analyses. Funding for this research was provided by Agriculture and Agri-Food Canada's (AAFC's) Agriculture Greenhouse Gas Program (AGGP) and AAFC's J002305 (Environmental Change Onehealth Observatory [ECO2]) and J001839 (Emerging ecosystem services of landscape features and biodiverse cropping systems).</t>
  </si>
  <si>
    <t>1539-1663</t>
  </si>
  <si>
    <t>VADOSE ZONE J</t>
  </si>
  <si>
    <t>Vadose Zone J.</t>
  </si>
  <si>
    <t>e20208</t>
  </si>
  <si>
    <t>10.1002/vzj2.20208</t>
  </si>
  <si>
    <t>Environmental Sciences; Soil Science; Water Resources</t>
  </si>
  <si>
    <t>Environmental Sciences &amp; Ecology; Agriculture; Water Resources</t>
  </si>
  <si>
    <t>4P2LK</t>
  </si>
  <si>
    <t>WOS:000826786400001</t>
  </si>
  <si>
    <t>Gredilla, A; de Vallejuelo, SFO; Rodriguez-Iruretagoiena, A; Gomez, L; Oliveira, MLS; Arana, G; de Diego, A; Madariaga, JM; Silva, LFO</t>
  </si>
  <si>
    <t>Gredilla, Ainara; Fdez-Ortiz de Vallejuelo, Silvia; Rodriguez-Iruretagoiena, Azibar; Gomez, Leandro; Oliveira, Marcos L. S.; Arana, Gorka; de Diego, Alberto; Manuel Madariaga, Juan; Silva, Luis F. O.</t>
  </si>
  <si>
    <t>Evidence of mercury sequestration by carbon nanotubes and nanominerals present in agricultural soils from a coal fired power plant exhaust</t>
  </si>
  <si>
    <t>JOURNAL OF HAZARDOUS MATERIALS</t>
  </si>
  <si>
    <t>Mercury; Agricultural soils; Coal fly ash; Environmental risk; Human health; Carcinogenic risk</t>
  </si>
  <si>
    <t>HAZARDOUS ELEMENTS; SANTA-CATARINA; CONTAMINATION; ACCUMULATION; ADSORPTION; DESORPTION; EXPOSURE; COMPLEX; METALS; FATE</t>
  </si>
  <si>
    <t>Mercury (Hg) in agricultural soils could have negative effects on the environment and the human health. The exposure to high level of Hg through different absorption pathways, such as ingestion and diet through soil-plant system could permanently damage developing foetus of animals and humans. With the aim to assess the potential environmental and health risk and to study the behaviour and fate of Hg from agricultural soils to the environment, 47 soil samples were collected around a thermoelectric power plant in the Santa Catarina (Brazil). The Hg concentration measured by inductively coupled plasma mass spectrometry (ICP-MS) ranged from 0.16 to 0.56 mg kg(-1). The distribution obtained by kriging interpolation allowed the identification of the main pollution sources. To see the morphology and composition of soil samples, field emission scanning electron microscopy (FE-SEM) and high resolution transmission electron microscopy (HR-TEM) were used combined with energy dispersive X-ray spectroscopy (EDS), showing that the carbon nanotubes and magnetite as nanomineral contributed to Hg retention. The mentioned molecular characterization, and the low Contamination Factors (CF) values obtained, suggested that there is low risk to the food security of the agro-ecosystems area near to the CFPP in the terms of Hg inputs and contamination.</t>
  </si>
  <si>
    <t>[Gredilla, Ainara] Univ Basque Country, Fac Chem, Dept Appl Chem, UPV EHU, PC 2018, San Sebastian, Basque Country, Spain; [Fdez-Ortiz de Vallejuelo, Silvia; Rodriguez-Iruretagoiena, Azibar; Arana, Gorka; de Diego, Alberto; Manuel Madariaga, Juan] Univ Basque Country, Dept Analyt Chem, Fac Sci &amp; Technol, UPV EHU, POB 644, Bilbao 48080, Basque Country, Spain; [Gomez, Leandro; Oliveira, Marcos L. S.; Silva, Luis F. O.] Univ Costa, Dept Civil &amp; Environm, Calle 58 55-66, Barranquilla 080002, Atlantico, Colombia; [Gomez, Leandro; Oliveira, Marcos L. S.; Silva, Luis F. O.] Fac Merid IMED, Senador Pinheiro 304, BR-99070220 Passo Fundo, RS, Brazil</t>
  </si>
  <si>
    <t>University of Basque Country; University of Basque Country; Universidad de la Costa</t>
  </si>
  <si>
    <t>de Vallejuelo, SFO (corresponding author), Univ Basque Country, UPV EHU, Bilbao, Basque Country, Spain.;Silva, LFO (corresponding author), Univ Costa, Barranquilla, Atlantico, Colombia.</t>
  </si>
  <si>
    <t>silvia.femandez@ehu.eus; felipeqma@hotmail.com</t>
  </si>
  <si>
    <t>Oliveira, Marcos/A-8571-2018; de Diego, Alberto/L-7381-2014; Arana, Gorka/K-5958-2014; Gómez Plata, leano/M-8682-2016; Gredilla, Ainara/AAA-2621-2019; Oliveira, Marcos/AAF-1290-2019; Madariaga, Juan/L-6333-2014; DE VALLEJUELO, SILVIA/I-4115-2015; Plata, leandro/AAR-1535-2020; Silva, Luis/S-9681-2017</t>
  </si>
  <si>
    <t>Oliveira, Marcos/0000-0002-7771-5085; Gredilla, Ainara/0000-0002-8289-0048; Arana, Gorka/0000-0001-7854-855X; Gómez Plata, leano/0000-0002-2944-4479; Silva, Luis/0000-0001-7678-9130</t>
  </si>
  <si>
    <t>0304-3894</t>
  </si>
  <si>
    <t>1873-3336</t>
  </si>
  <si>
    <t>J HAZARD MATER</t>
  </si>
  <si>
    <t>J. Hazard. Mater.</t>
  </si>
  <si>
    <t>10.1016/j.jhazmat.2019.120747</t>
  </si>
  <si>
    <t>JC3OP</t>
  </si>
  <si>
    <t>WOS:000489188300045</t>
  </si>
  <si>
    <t>Petter, FA; de Lima, LB; de Morais, LA; Tavanti, RFR; Nunes, ME; Freddi, OD; Marimon, B</t>
  </si>
  <si>
    <t>Petter, Fabiano Andre; de Lima, Larissa Borges; de Morais, Leidimar Alves; Rimoldi Tavanti, Renan Francisco; Nunes, Marcos Eusebio; Freddi, Ona da Silva; Marimon, Ben Hur, Jr.</t>
  </si>
  <si>
    <t>Carbon stocks in oxisols under agriculture and forest in the southern Amazon of Brazil</t>
  </si>
  <si>
    <t>GEODERMA REGIONAL</t>
  </si>
  <si>
    <t>Soil carbon; Carbon sequestration; Fractions of soil organic matter; Amazon; Oxisols</t>
  </si>
  <si>
    <t>ORGANIC-MATTER; COVER CROPS; LONG-TERM; MANAGEMENT INDEX; SOIL; CERRADO; SYSTEM; FRACTIONS; QUALITY; YIELD</t>
  </si>
  <si>
    <t>We evaluated the initial effects of different agricultural management systems on carbon stocks in Oxisols in the southern Amazon and compared them to the adjacent native forest. Four management systems in a commercial area of grain production (soybeans in monoculture, summer soybeans with corn and Panicum milaceum as second crop, summer soybeans with corn and Urochloa brizantha as second crop, and summer soybeans with U. brizantha + Crotalaria juncea) were evaluated in a completely randomized design with five repetitions. It was found with removal of native vegetation and introduction of annual crops that there was a reduction of 30% (-8.1 Mg ha(-1)) in soil C stocks with the traditional management system of soybean monoculture/second crop corn. However, it is possible to maintain C stocks at levels comparable to the native vegetation with soy cultivation in summer and cover crops U. brizantha + C. juncea as second crop. With this strategy, there was storage of 0.2 and 0.12 Mg ha(-1) C-CO2 per year at depths of 0-0.1 m and 0.1-0.2 m, respectively. In soybean monoculture/ corn there was C-CO2 emission of 6.45 and 2.09 Mg ha(-1) yr(-1) at depths of 0-0.1 m and 0.1-0.2 m, respectively. These results suggest that the practices traditionally used in commercial agricultural areas may not be sufficient to maintain C stocks in Amazon soil compared to the native vegetation. Therefore, large-scale management for low green-house gas emission (C-friendly agriculture) in the Amazon must be rethought and alternative strategies, such as rotation with pastures (e. g. integrated crop-livestock systems), should be adopted in order to preserve and/or increase C stocks, reducing the impact of CO2 emissions into the atmosphere.</t>
  </si>
  <si>
    <t>[Petter, Fabiano Andre; de Lima, Larissa Borges; de Morais, Leidimar Alves; Rimoldi Tavanti, Renan Francisco; Nunes, Marcos Eusebio; Freddi, Ona da Silva] Univ Fed Mato Grosso UFMT, Inst Ciencias Agr &amp; Ambientais, BR-78557267 Sinop, MT, Brazil; [Marimon, Ben Hur, Jr.] Univ Estado Mato Grosso UNEMAT, Campus Nova Xavantina,POB 08, BR-78690000 Nova Xavantina, MT, Brazil</t>
  </si>
  <si>
    <t>Universidade Federal de Mato Grosso do Sul; Universidade do Estado de Mato Grosso</t>
  </si>
  <si>
    <t>Petter, FA (corresponding author), Univ Fed Mato Grosso UFMT, Inst Ciencias Agr &amp; Ambientais, BR-78557267 Sinop, MT, Brazil.</t>
  </si>
  <si>
    <t>petter@ufmt.br</t>
  </si>
  <si>
    <t>; Petter, Fabiano/AAX-4826-2021; Marimon Junior, Ben Hur/AAT-9354-2020; Tavanti, Renan/K-2442-2019</t>
  </si>
  <si>
    <t>Freddi, Onã/0000-0002-1617-6954; Marimon Junior, Ben Hur/0000-0002-6359-6281; Tavanti, Renan/0000-0002-4496-9660;</t>
  </si>
  <si>
    <t>National Council for Science and Technology (National Council for Scientific and Technological Development - CNPq) [310808/2014-6]</t>
  </si>
  <si>
    <t>National Council for Science and Technology (National Council for Scientific and Technological Development - CNPq)(Conselho Nacional de Desenvolvimento Cientifico e Tecnologico (CNPQ)Fundacao de Apoio a Pesquisa do Distrito Federal (FAPDF))</t>
  </si>
  <si>
    <t>We thank the National Council for Science and Technology (National Council for Scientific and Technological Development - CNPq) for productivity research - PQ2 (310808/2014-6) for the first and last author and financial support for the project coordinated by Fabiano Andre Petter and Ben Hur Marimon-Junior.</t>
  </si>
  <si>
    <t>2352-0094</t>
  </si>
  <si>
    <t>GEODERMA REG</t>
  </si>
  <si>
    <t>Geoderma Reg.</t>
  </si>
  <si>
    <t>10.1016/j.geodrs.2017.09.001</t>
  </si>
  <si>
    <t>VH8WT</t>
  </si>
  <si>
    <t>WOS:000457280400007</t>
  </si>
  <si>
    <t>Mo, F; Yu, KL; Crowther, TW; Wang, JY; Zhao, H; Xiong, YC; Liao, YC</t>
  </si>
  <si>
    <t>Mo, Fei; Yu, Kai-Liang; Crowther, Thomas W.; Wang, Jian-Yong; Zhao, Hong; Xiong, You-Cai; Liao, Yun-Cheng</t>
  </si>
  <si>
    <t>How plastic mulching affects net primary productivity, soil C fluxes and organic carbon balance in dry agroecosystems in China</t>
  </si>
  <si>
    <t>Soil organic carbon; Soil carbon fluxes; Plastic mulching; Dry croplands; China</t>
  </si>
  <si>
    <t>GREENHOUSE-GAS; FILM MULCH; MAIZE; WATER; TEMPERATURE; NITROGEN; WHEAT; SEQUESTRATION; METAANALYSIS; FEEDBACKS</t>
  </si>
  <si>
    <t>Agricultural soil management has a great potential to reduce the anthropogenic emissions of carbon (C), mainly via increasing soil organic carbon (SOC) sequestration. The global use of agricultural plastic mulches has emerged as a widespread soil management practice due to its apparent economic benefits, especially in the dry croplands of China. However, the integrated effects of plastic mulching in China's drylands on net primary productivity (NPP) of staple crops (i.e. maize, wheat, and potato), SOC stocks, and C emissions have rarely been assessed quantitatively. We conducted a meta.analysis of nationwide dataset and found that compared with traditional non. mulching farming, plastic mulching on average increased national aboveground NPP by 1.41 Mg C ha(-1) y(-1), while it led to rising soil CO2 emissions (437 kg C ha(-1) y(-1) higher than non.mulching) because of stimulated microbial metabolism, such as higher microbial biomass C and extracellular enzyme activities. Critically, plastic mulching not only enhanced crop-sourced C inputs into the soil by 0.24 Mg C ha(-1) y(-1) through improving belowground NPP, but also facilitated soil CH4 absorption by 0.25 kg C ha(-1) y(-1) across the entire dataset. As a result, a significant increase in SOC storage under plastic mulching was estimated as 0.012 Mg C ha(-1) y(-1), and crop types, N input, and precipitation seems to be the strongest predictors explaining variability in mulching-driven SOC sequestration. These results suggest that plastic mulching in dry agroecosystems can have a distinct potential to curtail the anthropogenic emissions of C through significant increases in both SOC sequestration and crop C fixation. (C) 2020 Elsevier Ltd. All rights reserved.</t>
  </si>
  <si>
    <t>[Mo, Fei; Liao, Yun-Cheng] Northwest A&amp;F Univ, Coll Agron, Key Lab Crop Physiecol &amp; Tillage Sci Northwestern, Minist Agr, Yangling, Shaanxi, Peoples R China; [Yu, Kai-Liang; Crowther, Thomas W.] Swiss Fed Inst Technol, Inst Integrat Biol, Univ Str 16, CH-8006 Zurich, Switzerland; [Wang, Jian-Yong] Northeast Normal Univ, Inst Grassland Sci, Changchun 130024, Peoples R China; [Zhao, Hong] China Meteorol Adm, Inst Arid Meteorol, Key Open Lab Arid Change &amp; Disaster Reduct CMA, Key Lab Arid Climat Change &amp; Reducing Disaster Ga, Lanzhou 730020, Peoples R China; [Xiong, You-Cai] Lanzhou Univ, Sch Life Sci, Inst Arid Agroecol, State Key Lab Grassland Agroecosyst, Lanzhou 730000, Peoples R China; [Liao, Yun-Cheng] Shanxi Agr Univ, Collage Agr, Taigu 030801, Peoples R China</t>
  </si>
  <si>
    <t>Northwest A&amp;F University - China; Swiss Federal Institutes of Technology Domain; ETH Zurich; Northeast Normal University - China; China Meteorological Administration; Institute of Arid Meteorology, China Meteorological Administration; Lanzhou University; Shanxi Agricultural University</t>
  </si>
  <si>
    <t>Mo, F (corresponding author), Northwest A&amp;F Univ, Coll Agron, Key Lab Crop Physiecol &amp; Tillage Sci Northwestern, Minist Agr, Yangling, Shaanxi, Peoples R China.;Xiong, YC (corresponding author), Lanzhou Univ, Sch Life Sci, Inst Arid Agroecol, State Key Lab Grassland Agroecosyst, Lanzhou 730000, Peoples R China.</t>
  </si>
  <si>
    <t>mofei@nwafu.edu.cn; xiongyc@lzu.edu.cn</t>
  </si>
  <si>
    <t>Mo, Fei/R-5645-2017; Mo, Fei/MOF-1929-2025; Xiong, You-Cai/HDL-8596-2022; hong, zhao/D-2088-2017; crowther, thomas/B-4807-2012</t>
  </si>
  <si>
    <t>Mo, Fei/0000-0002-7538-0453; Xiong, You-Cai/0000-0002-4394-8331; Crowther, Thomas/0000-0001-5674-8913;</t>
  </si>
  <si>
    <t>National Natural Science Foundation of China [31801318, 41505099]; China Postdoctoral Science Foundation [2018M641028]</t>
  </si>
  <si>
    <t>National Natural Science Foundation of China(National Natural Science Foundation of China (NSFC)); China Postdoctoral Science Foundation(China Postdoctoral Science Foundation)</t>
  </si>
  <si>
    <t>We thank Colin Averill for useful discussions. The research was funded by the National Natural Science Foundation of China (31801318, 41505099) and China Postdoctoral Science Foundation (2018M641028).</t>
  </si>
  <si>
    <t>10.1016/j.jclepro.2020.121470</t>
  </si>
  <si>
    <t>LT6FS</t>
  </si>
  <si>
    <t>WOS:000537165200004</t>
  </si>
  <si>
    <t>Zheng, YY; Liu, C; Zhu, J; Sang, YR; Wang, JL; Zhao, WJ; Zhuang, MH</t>
  </si>
  <si>
    <t>Zheng, Yingying; Liu, Chang; Zhu, Jie; Sang, Yuanrui; Wang, Jinglong; Zhao, Wenjing; Zhuang, Minghao</t>
  </si>
  <si>
    <t>Carbon Footprint Analysis for Biomass-Fueled Combined Heat and Power Station: A Case Study</t>
  </si>
  <si>
    <t>agricultural residues; carbon footprint; combined heat and power; global warming potential; life-cycle assessments; wood pellets; wheat straw</t>
  </si>
  <si>
    <t>LIFE-CYCLE ASSESSMENT; SCALE COMBINED HEAT; INDUSTRIAL CHP; CO2 EMISSIONS; ENERGY; BIOENERGY; DENMARK; PLANTS; STRAW</t>
  </si>
  <si>
    <t>Biomass could substitute fossil fuels in heat- and power-generation projects to reduce air pollution and greenhouse gas from many stages of the life cycle. The Nordjylland Power Station, one of Denmark's largest power plants, is a 100% coal-fired combined heat and power plant. To reduce carbon dioxide emissions, this power plant is converting to be 100% biomass-fueled. However, biomass cannot be assumed as an emission-free energy source, even though it has certain advantages in terms of carbon sink capability. The environmental impacts among various biomass sources are unclear. Wheat straw and wood pellets are two of the most abundant biomass resources in Denmark. In this study, by conducting a screening life-cycle assessment, the expected savings of global warming potential emissions due to the substitution of coal with wheat straw or wood pellets are quantified. The life-cycle assessment's results indicate that for producing 1 MJ of heat, the carbon dioxide equivalent from coal, wheat straw, and wood pellets are 117.01, 22.73, and 78.19 g, respectively. The combustion stage accounts for most of the carbon dioxide emissions. The recommendation is that wheat straw is preferred over wood pellets in terms of carbon emissions based on the current assumptions.</t>
  </si>
  <si>
    <t>[Zheng, Yingying; Liu, Chang; Zhu, Jie; Wang, Jinglong; Zhao, Wenjing] China Agr Univ, Coll Informat &amp; Elect Engn, Beijing 100081, Peoples R China; [Sang, Yuanrui] Univ Texas El Paso, Dept Elect &amp; Comp Engn, El Paso, TX 79925 USA; [Zhuang, Minghao] China Agr Univ, Coll Resources &amp; Environm Sci, Beijing 100081, Peoples R China</t>
  </si>
  <si>
    <t>China Agricultural University; University of Texas System; University of Texas El Paso; China Agricultural University</t>
  </si>
  <si>
    <t>Zhuang, MH (corresponding author), China Agr Univ, Coll Resources &amp; Environm Sci, Beijing 100081, Peoples R China.</t>
  </si>
  <si>
    <t>yyzheng@cau.edu.cn; chang_liu@cau.edu.cn; cieezhujie@cau.edu.cn; ysang@utep.edu; jlwang2000@outlook.com; zwjzwj35@outlook.com; zhuangminghao@cau.edu</t>
  </si>
  <si>
    <t>Sang, Yuanrui/0000-0003-0461-4512</t>
  </si>
  <si>
    <t>Chinese Universities Scientific Fund [15052002]</t>
  </si>
  <si>
    <t>Chinese Universities Scientific Fund</t>
  </si>
  <si>
    <t>This research was funded by the Chinese Universities Scientific Fund under grant number 15052002.</t>
  </si>
  <si>
    <t>10.3390/agriculture12081146</t>
  </si>
  <si>
    <t>4C3EF</t>
  </si>
  <si>
    <t>WOS:000846340600001</t>
  </si>
  <si>
    <t>Davies, RW; Morton, O; Lawson, D; Mallord, JW; Nelson, L; Boafo, K; Lamb, I; Edwards, DP</t>
  </si>
  <si>
    <t>Davies, Robert W.; Morton, Oscar; Lawson, David; Mallord, John W.; Nelson, Luke; Boafo, Kwame; Lamb, Ieuan; Edwards, David P.</t>
  </si>
  <si>
    <t>Protecting habitats in low-intensity tropical farmland using carbon-based payments for ecosystem services</t>
  </si>
  <si>
    <t>carbon-based payments for ecosystem services; farmland habitats; opportunity cost; palearctic migrants; land sharing</t>
  </si>
  <si>
    <t>AFRO-PALEARCTIC MIGRANT; FOREST REGENERATION; AGRICULTURAL LANDS; BIODIVERSITY; CONSERVATION; PRODUCTIVITY; IMPACTS; DEFORESTATION; AGROFORESTRY; DEGRADATION</t>
  </si>
  <si>
    <t>Tropical land-use change for agricultural expansion is the primary driver of global biodiversity decline. Efforts to stem this decline often focus on protecting pristine habitats or returning farmland to forest, yet such approaches fail to protect vulnerable taxa reliant on habitats within low-intensity farmland. We assess the economic viability of carbon-based payments for ecosystem services (PES) to protect farmland trees and fallowing in Ghana, which provide vital wintering sites for imperiled Afro-palearctic migrant birds and enhance landscape-level carbon storage. We estimate the carbon breakeven prices (BEPs) associated with alternative agricultural management scenarios that protect existing farmland trees. BEPs associated with tree protection on existing farmland were very low, ranging from US$2.49 to US$6.45 t(-1) CO2. Extending and reintroducing fallow periods also carried competitive BEPs, US$4.67-US$15.45 t(-1) CO2, when combined with the protection of 50 trees per hectare. Accounting for leakage and economic uncertainty increased BEPs considerably, but scenarios protecting farmland trees and extending fallow periods remained below EU Emissions Trading Scheme prices. Protecting low-intensity farmland habitats and associated biodiversity is cost-effective under carbon-based PES. Implementation should be combined with efforts to close yield gaps, providing greater local food security and resilience.</t>
  </si>
  <si>
    <t>[Davies, Robert W.; Morton, Oscar; Nelson, Luke; Lamb, Ieuan; Edwards, David P.] Univ Sheffield, Sch Biosci, Ecol &amp; Evolutionary Biol, Sheffield S10 2TN, S Yorkshire, England; [Lawson, David] Univ Manchester, Global Dev Inst, Sch Environm Educ &amp; Dev, Manchester, Lancs, England; [Mallord, John W.] Royal Soc Protect Birds, RSPB Ctr Conservat Sci, Sandy SG19 2DL, Beds, England; [Boafo, Kwame] Ghana Wildlife Soc, Independence Ave, Accra, Ghana</t>
  </si>
  <si>
    <t>University of Sheffield; University of Manchester; Royal Society for Protection of Birds</t>
  </si>
  <si>
    <t>Davies, RW (corresponding author), Univ Sheffield, Sch Biosci, Ecol &amp; Evolutionary Biol, Sheffield S10 2TN, S Yorkshire, England.</t>
  </si>
  <si>
    <t>robertdavies1996@gmail.com</t>
  </si>
  <si>
    <t>; Edwards, David/AAC-5091-2019</t>
  </si>
  <si>
    <t>Boafo, Kwame/0009-0005-9546-1065; Edwards, David/0000-0001-8562-3853; Davies, Rob/0000-0002-7795-414X; Lawson, David/0000-0002-8277-9163; Morton, Oscar/0000-0001-5483-4498; Nelson, Luke/0000-0002-3405-714X</t>
  </si>
  <si>
    <t>NERC studentship through the ACCE (Adapting to the Challenges of a Changing Environment) Doctoral Training Partnership [NE/L002450/1]; Natural Environment Research Council [NE/R017441/1]; NERC [NE/R017441/1] Funding Source: UKRI</t>
  </si>
  <si>
    <t>NERC studentship through the ACCE (Adapting to the Challenges of a Changing Environment) Doctoral Training Partnership; Natural Environment Research Council(UK Research &amp; Innovation (UKRI)Natural Environment Research Council (NERC)); NERC(UK Research &amp; Innovation (UKRI)Natural Environment Research Council (NERC))</t>
  </si>
  <si>
    <t>We thank the Ghana Forest Department for granting permission to carry out the work, Ghana Wildlife Society for logistical assistance with the fieldwork, and all landowners and farmers who allowed access to their land. L N was funded by a NERC studentship through the ACCE (Adapting to the Challenges of a Changing Environment) Doctoral Training Partnership (Grant No. NE/L002450/1). D P E was supported by Natural Environment Research Council (Grant No. NE/R017441/1).</t>
  </si>
  <si>
    <t>10.1088/1748-9326/ac3030</t>
  </si>
  <si>
    <t>WN8VX</t>
  </si>
  <si>
    <t>WOS:000712046300001</t>
  </si>
  <si>
    <t>Tang, XJ; Woodcock, CE; Olofsson, P; Hutyra, LR</t>
  </si>
  <si>
    <t>Tang, Xiaojing; Woodcock, Curtis E.; Olofsson, Pontus; Hutyra, Lucy R.</t>
  </si>
  <si>
    <t>Spatiotemporal assessment of land use/land cover change and associated carbon emissions and uptake in the Mekong River Basin</t>
  </si>
  <si>
    <t>REMOTE SENSING OF ENVIRONMENT</t>
  </si>
  <si>
    <t>Carbon emission; Southeast Asia; MODIS; CCDC; Time series; Mekong</t>
  </si>
  <si>
    <t>Land use and land cover (LULC) change caused by human activities is a major source of anthropogenic carbon emissions and a driver of climate change. The Mekong Region is highly dynamic, experiencing extensive LULC change in recent decades. This study provides a spatially and temporally continuous estimate of LULC change for the Mekong River Basin for 2001-2019 using time series analysis of MODIS data coupled with a spatiotemporal carbon bookkeeping model to track carbon losses and recovery. The LULC change product has an overall accuracy of 74.4 +/- 1.9% (82.1 +/- 1.7% after consolidating tree-dominated classes), including an increase of 5.6% after combining with existing MODIS products (referred to as the M-CCDC process). Two of the largest components of LULC change in the region are the establishment of plantations and agricultural expansion, which were estimated to be 33,617 +/- 7342 km(2) and 14,915 +/- 4682 km(2) between 2003 and 2014. We found that 82% of the deforested area was converted to tree plantations. Among all the newly added plantations, 86% replaced natural forests and 12% replaced agricultural land. In addition, existing maps of annual tree canopy cover (TCC) were used to assess forest disturbances that do not result in LULC conversions. The M-CCDC results combined with the forest disturbances derived from TCC maps were coupled to a spatiotemporal carbon bookkeeping model to estimate carbon emissions and uptake. Carbon emissions were 72.9 +/- 6.2 Tg C yr(-1) during 2001-2017; emissions increase to 102.8 +/- 8.6 Tg C yr(-1) if including carbon not yet released to the atmosphere in the form of decomposing slash and wood products. Carbon uptake for the same period was-35.5 +/- 4.9 Tg C yr(-1), with carbon uptake from new plantations offsetting almost half of the emissions from deforestation in this area. Assessment of post-deforestation land use is crucial for quantifying the short-and longer-term carbon consequences of LULC change.</t>
  </si>
  <si>
    <t>[Tang, Xiaojing; Woodcock, Curtis E.; Olofsson, Pontus; Hutyra, Lucy R.] Boston Univ, Dept Earth &amp; Environm, 685 Commonwealth Ave, Boston, MA 02215 USA</t>
  </si>
  <si>
    <t>Boston University</t>
  </si>
  <si>
    <t>Tang, XJ (corresponding author), Boston Univ, Dept Earth &amp; Environm, 685 Commonwealth Ave, Boston, MA 02215 USA.</t>
  </si>
  <si>
    <t>xjtang@bu.edu; curtis@bu.edu; olofsson@bu.edu; lrhutyra@bu.edu</t>
  </si>
  <si>
    <t>; Tang, Xiaojing/KIE-0186-2024; Hutyra, Lucy/KWU-0684-2024; Woodcock, Curtis/Y-2478-2019</t>
  </si>
  <si>
    <t>Hutyra, Lucy/0009-0009-7229-0063; Tang, Xiaojing/0000-0002-2834-6105; Woodcock, Curtis/0000-0001-7860-6254</t>
  </si>
  <si>
    <t>NASA Interdisciplinary Research in Earth Science [80NSSC17K041]; NASA Carbon Monitoring System [NNX16AP26G]; NASA [897337, NNX16AP26G] Funding Source: Federal RePORTER</t>
  </si>
  <si>
    <t>NASA Interdisciplinary Research in Earth Science; NASA Carbon Monitoring System; NASA(National Aeronautics &amp; Space Administration (NASA))</t>
  </si>
  <si>
    <t>This research was funded by the NASA Interdisciplinary Research in Earth Science (80NSSC17K041) and the NASA Carbon Monitoring System (NNX16AP26G) . The authors would like to thank Qianning Qin, Julia Nassar, Josh Taylor, Kaiya Weatherby, Shuntian Guan, and Yingqiang Xu for the help collecting reference data. The authors would also like to thank the three anonymous reviewers whose suggestions and comments helped improve the clarity and relevance of this manuscript.</t>
  </si>
  <si>
    <t>ELSEVIER SCIENCE INC</t>
  </si>
  <si>
    <t>STE 800, 230 PARK AVE, NEW YORK, NY 10169 USA</t>
  </si>
  <si>
    <t>0034-4257</t>
  </si>
  <si>
    <t>1879-0704</t>
  </si>
  <si>
    <t>REMOTE SENS ENVIRON</t>
  </si>
  <si>
    <t>Remote Sens. Environ.</t>
  </si>
  <si>
    <t>10.1016/j.rse.2021.112336</t>
  </si>
  <si>
    <t>Environmental Sciences; Remote Sensing; Imaging Science &amp; Photographic Technology</t>
  </si>
  <si>
    <t>Environmental Sciences &amp; Ecology; Remote Sensing; Imaging Science &amp; Photographic Technology</t>
  </si>
  <si>
    <t>QT5MV</t>
  </si>
  <si>
    <t>WOS:000626632500002</t>
  </si>
  <si>
    <t>Datta, A; Nayak, D; Smith, JU; Sharma, PC; Jat, HS; Yadav, AK; Jat, ML</t>
  </si>
  <si>
    <t>Datta, Ashim; Nayak, Dali; Smith, J. U.; Sharma, P. C.; Jat, H. S.; Yadav, A. K.; Jat, M. L.</t>
  </si>
  <si>
    <t>Climate smart agricultural practices improve soil quality through organic carbon enrichment and lower greenhouse gas emissions in farms of bread bowl of India</t>
  </si>
  <si>
    <t>CCAFS-MOT; climate smart village; conservation agriculture; green house gas emission; soil organic carbon; soil properties; soil quality; wheat grain yield</t>
  </si>
  <si>
    <t>RICE-WHEAT SYSTEM; NITROUS-OXIDE EMISSION; LONG-TERM TILLAGE; CONSERVATION AGRICULTURE; PHYSICAL-PROPERTIES; GANGETIC PLAINS; BULK-DENSITY; NO-TILLAGE; MANAGEMENT; MATTER</t>
  </si>
  <si>
    <t>Context. Climate change can impact greatly on poorer and vulnerable communities, increasing the risk of natural disasters, and affecting agricultural production. Aims. This study aims to explore the potential impacts of climate smart agricultural practices (CSAP) on working farms in Karnal, Haryana, India. Methods. Practices studied included zero tillage, crop residue retention and crop diversification. We surveyed soil physical and chemical properties and greenhouse gas emissions on farms managed by either CSAP or conventional agriculture. Soil samples were collected at 0-20 cm depth under wheat grown in the winter season. Key results. Of the 70 farmers surveyed, 22 followed CSAP while 48 farmers used conventional practices. Soil pH was lower (7.76) for CSAP farms compared to conventional practices (7.99). Soil carbon was also higher (0.19% compared to 0.13%), as were total organic carbon stock (32.03 Mg ha(-1) compared to 25.26 Mg ha(-1)) and total carbon (0.24% compared to 0.16%). Significant interactions between farming type, pH and organic carbon, gravimetric and volumetric water content were observed. Conservation agriculture registered similar to 31% higher soil quality index over conventional practice. Higher wheat grain yield (5.99 t ha(-1)) was observed under conservation agriculture over conventional (5.49 t ha(-1)). Greenhouse gas emissions were also similar to 63% higher in conventional practices compared to CSAP. Conclusion. CSAP can improve soil properties through enrichment in soil organic carbon at the same time as reducing emissions of greenhouse gases. Implications. CSAP provide an alternative to conventional agriculture practices in north-west India, irrespective of farm type and size. CSAP not only improve soil carbon pools, but also improve the overall quality of the soil.</t>
  </si>
  <si>
    <t>[Datta, Ashim; Sharma, P. C.; Jat, H. S.; Yadav, A. K.] ICAR Cent Soil Salin Res Inst, Div Soil &amp; Crop Management, Karnal 132001, Haryana, India; [Datta, Ashim; Nayak, Dali; Smith, J. U.] Univ Aberdeen, Sch Biol Sci, Environm Modelling Grp, Aberdeen AB24 3UU, Scotland; [Yadav, A. K.] Sri Karan Narendra Agr Univ, Jobner 303329, Rajasthan, India; [Jat, M. L.] Int Maize &amp; Wheat Improvement Ctr CIMMYT, Sustainable Intensificat Programme, New Delhi 110012, India</t>
  </si>
  <si>
    <t>Indian Council of Agricultural Research (ICAR); ICAR - Central Soil Salinity Research Institute; University of Aberdeen; CGIAR; International Maize &amp; Wheat Improvement Center (CIMMYT)</t>
  </si>
  <si>
    <t>Sharma, PC (corresponding author), ICAR Cent Soil Salin Res Inst, Karnal 132001, Haryana, India.</t>
  </si>
  <si>
    <t>pcsharma.knl@gmail.com</t>
  </si>
  <si>
    <t>Jat, Hanuman/NSV-0067-2025; Sharma, Parbodh/Q-3574-2019; Jat, ML/O-2824-2019; Smith, Jo/F-7763-2012; Datta, Ashim/I-9434-2019; Yadav, Arvind Kumar/AAO-2450-2021</t>
  </si>
  <si>
    <t>Datta, Ashim/0000-0002-1843-9981; jat, hanuman/0000-0002-0557-2783; Sharma, Parbodh Chander/0000-0002-5783-7480;</t>
  </si>
  <si>
    <t>NEWS India-UK; BBSRC [BB/N013492/1] Funding Source: UKRI; Biotechnology and Biological Sciences Research Council [BB/N013492/1] Funding Source: researchfish</t>
  </si>
  <si>
    <t>NEWS India-UK; BBSRC(UK Research &amp; Innovation (UKRI)Biotechnology and Biological Sciences Research Council (BBSRC)); Biotechnology and Biological Sciences Research Council(UK Research &amp; Innovation (UKRI)Biotechnology and Biological Sciences Research Council (BBSRC))</t>
  </si>
  <si>
    <t>The authors thank the NEWS India-UK for providing the first author Fellowship during the study. We are also grateful to CCAFSCIMMYT for allowing us to collect soil samples from climate smart villages of Karnal, Haryana. The help received from Kartar Singh during soil analysis, and Kapil, Rakesh, Rajinder and Anil during field survey and sample collection is gratefully acknowledged. We are grateful to two anonymous reviewers for their insightful comments which significantly improved the quality of the manuscript.</t>
  </si>
  <si>
    <t>10.1071/SR21031</t>
  </si>
  <si>
    <t>2N0VK</t>
  </si>
  <si>
    <t>WOS:000762669500001</t>
  </si>
  <si>
    <t>Nevalainen, O; Niemitalo, O; Fer, I; Juntunen, A; Mattila, T; Koskela, O; Kukkamäki, J; Höckerstedt, L; Mäkelä, L; Jarva, P; Heimsch, L; Vekuri, H; Kulmala, L; Stam, Å; Kuusela, O; Gerin, S; Viskari, T; Vira, J; Hyväluoma, J; Tuovinen, JP; Lohila, A; Laurila, T; Heinonsalo, J; Aalto, T; Kunttu, I; Liski, J</t>
  </si>
  <si>
    <t>Nevalainen, Olli; Niemitalo, Olli; Fer, Istem; Juntunen, Antti; Mattila, Tuomas; Koskela, Olli; Kukkamaki, Joni; Hockerstedt, Layla; Makela, Laura; Jarva, Pieta; Heimsch, Laura; Vekuri, Henriikka; Kulmala, Liisa; Stam, Asa; Kuusela, Otto; Gerin, Stephanie; Viskari, Toni; Vira, Julius; Hyvaluoma, Jari; Tuovinen, Juha-Pekka; Lohila, Annalea; Laurila, Tuomas; Heinonsalo, Jussi; Aalto, Tuula; Kunttu, Iivari; Liski, Jari</t>
  </si>
  <si>
    <t>Towards agricultural soil carbon monitoring, reporting, and verification through the Field Observatory Network (FiON)</t>
  </si>
  <si>
    <t>GEOSCIENTIFIC INSTRUMENTATION METHODS AND DATA SYSTEMS</t>
  </si>
  <si>
    <t>ORGANIC-MATTER; MODEL; WATER</t>
  </si>
  <si>
    <t>Better monitoring, reporting, and verification (MRV) of the amount, additionality, and persistence of the sequestered soil carbon is needed to understand the best carbon farming practices for different soils and climate conditions, as well as their actual climate benefits or cost efficiency in mitigating greenhouse gas emissions. This paper presents our Field Observatory Network (FiON) of researchers, farmers, companies, and other stakeholders developing carbon farming practices. FiON has established a unified methodology towards monitoring and forecasting agricultural carbon sequestration by combining offline and near-real-time field measurements, weather data, satellite imagery, modeling, and computing networks. FiON's first phase consists of two intensive research sites and 20 voluntary pilot farms testing carbon farming practices in Finland. To disseminate the data, FiON built a web-based dashboard called the Field Observatory (v1.0, https://www.fieldobservatory.org/, last access: 3 February 2022). The Field Observatory is designed as an online service for near-real-time model-data synthesis, forecasting, and decision support for the farmers who are able to monitor the effects of carbon farming practices. The most advanced features of the Field Observatory are visible on the Qvidja site, which acts as a prototype for the most recent implementations. Overall, FiON aims to create new knowledge on agricultural soil carbon sequestration and effects of carbon farming practices as well as provide an MRV tool for decision support.</t>
  </si>
  <si>
    <t>[Nevalainen, Olli; Fer, Istem; Hockerstedt, Layla; Heimsch, Laura; Vekuri, Henriikka; Stam, Asa; Kuusela, Otto; Gerin, Stephanie; Viskari, Toni; Vira, Julius; Tuovinen, Juha-Pekka; Lohila, Annalea; Laurila, Tuomas; Aalto, Tuula; Liski, Jari] Finnish Meteorol Inst FMI, Climate Syst Res, Helsinki, Finland; [Niemitalo, Olli; Juntunen, Antti; Koskela, Olli; Kukkamaki, Joni; Kunttu, Iivari] Hame Univ Appl Sci HAMK, HAMK Smart Res Unit, Hameenlinna, Finland; [Mattila, Tuomas; Makela, Laura] Finnish Environm Inst SYKE, Ctr Sustainable Prod &amp; Consumpt, Helsinki, Finland; [Jarva, Pieta] BSAG, Baltic Sea Act Grp, Espoo, Finland; [Kulmala, Liisa; Heinonsalo, Jussi] Univ Helsinki, Inst Atmospher &amp; Earth Syst Res INAR, Forest Sci, Helsinki, Finland; [Kuusela, Otto] Univ Helsinki, Inst Atmospher &amp; Earth Syst Res INAR, Phys, Helsinki, Finland; [Kuusela, Otto] Univ Amsterdam, Grad Sch Informat, Amsterdam, Netherlands; [Hyvaluoma, Jari] Hame Univ Appl Sci HAMK, HAMK Bio Res Unit, Hameenlinna, Finland</t>
  </si>
  <si>
    <t>Finnish Meteorological Institute; Hame University of Applied Sciences; Finnish Environment Institute; University of Helsinki; University of Helsinki; University of Amsterdam; Hame University of Applied Sciences</t>
  </si>
  <si>
    <t>Nevalainen, O (corresponding author), Finnish Meteorol Inst FMI, Climate Syst Res, Helsinki, Finland.</t>
  </si>
  <si>
    <t>olli.nevalainen@fmi.fi</t>
  </si>
  <si>
    <t>; Liski, Jari/O-8494-2016; Kulmala, Liisa/GVS-9237-2022; Nevalainen, Olli/AAF-4395-2019; Lohila, Annalea/C-7307-2014; Aalto, Tuula/P-6183-2014; fer, istem/ABC-4053-2020; Tuovinen, Juha-Pekka/AAZ-8587-2020</t>
  </si>
  <si>
    <t>Nevalainen, Olli/0000-0002-4826-2929; Hyväluoma, Jari/0000-0003-1113-439X; Kuusela, Otto/0000-0002-9946-0597; Mattila, Tuomas/0000-0002-3369-8623; Lohila, Annalea/0000-0003-3541-672X; Heinonsalo, Jussi/0000-0001-8516-1388; Höckerstedt, Layla Maria/0000-0001-6196-0839; Kulmala, Liisa/0000-0003-1775-8240; Aalto, Tuula/0000-0002-3264-7947; fer, istem/0000-0001-8236-303X</t>
  </si>
  <si>
    <t>Business Finland [6905/31/2018]; Academy of Finland [327214, 327350, 337552]; Ministry of Education and Culture of Finland [OKM/189/523/2018]; Ministry of Agriculture and Forestry of Finland [VN/5094/2021]; Maj and Tor Nessling Foundation [202000391]; Academy of Finland (AKA) [327350, 327214] Funding Source: Academy of Finland (AKA)</t>
  </si>
  <si>
    <t>Business Finland; Academy of Finland(Research Council of Finland); Ministry of Education and Culture of Finland; Ministry of Agriculture and Forestry of Finland; Maj and Tor Nessling Foundation; Academy of Finland (AKA)(Research Council of Finland)</t>
  </si>
  <si>
    <t>This research has been supported by Business Finland (grant no. 6905/31/2018), the Academy of Finland (grant nos. 327214, 327350, and 337552), the Ministry of Education and Culture of Finland (grant no. OKM/189/523/2018), the Ministry of Agriculture and Forestry of Finland (grant no. VN/5094/2021), and the Maj and Tor Nessling Foundation (grant no. 202000391).</t>
  </si>
  <si>
    <t>2193-0856</t>
  </si>
  <si>
    <t>2193-0864</t>
  </si>
  <si>
    <t>GEOSCI INSTRUM METH</t>
  </si>
  <si>
    <t>Geosci. Instrum. Methods Data Syst.</t>
  </si>
  <si>
    <t>FEB 16</t>
  </si>
  <si>
    <t>10.5194/gi-11-93-2022</t>
  </si>
  <si>
    <t>ZG5BH</t>
  </si>
  <si>
    <t>WOS:000760272600001</t>
  </si>
  <si>
    <t>Bhattarai, HR; Honkanen, E; Ruhanen, H; Soinnie, H; Gil, J; Saghir, S; Lappalainen, R; Shurpali, NJ</t>
  </si>
  <si>
    <t>Bhattarai, Hem Raj; Honkanen, Ella; Ruhanen, Hanna; Soinnie, Helena; Gil, Jenie; Saghir, Summaira; Lappalainen, Reijo; Shurpali, Narasinha J.</t>
  </si>
  <si>
    <t>Effects of biochar, hydrochar and nitrogen fertilization on greenhouse gas fluxes, soil organic carbon pools, and biomass yield of a boreal legume grassland</t>
  </si>
  <si>
    <t>Biochar and hydrochar; Boreal legume-forage; Nitrogen fertilization; POC and MAOC; Greenhouse gases; Gross nitrogen transformation</t>
  </si>
  <si>
    <t>HYDROTHERMAL CARBONIZATION; STRUCTURAL-PROPERTIES; N2O EMISSIONS; OXIDE; MECHANISMS; PYROLYSIS; INCREASES; NITRATE; FIELD; CHAR</t>
  </si>
  <si>
    <t>Char amendment is an option to lower climatic impact of agricultural soils. However, their effect can vary depending on char and soil properties, vegetation type and their interactions. Nutrient poor and acidic soils of boreal region could benefit from char amendment. We conducted a three-month long mesocosm study representing a typical boreal forage-legume grassland to understand the effects of char application on greenhouse gas (GHG) emissions, soil organic carbon (SOC) pools and biomass yield. We examined biochar and hydrochar for changes in soil properties, gross nitrogen transformation rates, SOC and its fractions, biomass yield and all three major GHG fluxes. We assessed our results from two different perspectives; one, when chars were added at a uniform rate with fertilizer nitrogen (N) following the farmer's practice and two, when chars were added based on the char C amount without fertilizer N. We show that only N2O emissions (not CO2 and CH4) were affected when chars were added at a uniform rate with fertilizer N. Biochar increased N2O emissions significantly compared to control whereas hydrochar restricted N2O relative to control and lowered significantly compared to biochar treatments. Biochar with N amendment significantly increased gross NO3- production (gross nitrification) and N2O emissions, indicating a linkage between increased nitrifier activity and N2O emissions. Hydrochar with N amendment showed lower gross nitrification rates and N2O emissions, indicating a reduced nitrifier activity and N2O emissions compared to biochar. Interestingly, hydrochar without N amendment showed lowest N2O emissions with few N2O uptake events and similar gross NO3- consumption and production rates, hinting an enhanced soil N2O reduction/sink mechanism, especially with actively photosynthesizing vegetation. Both chars increased soil particulate organic C (POC) significantly mainly owing to both chars themselves being carbon. The mineral associated organic C (MAOC) remained unaltered. Interestingly, we found significantly lower soil MAOC per unit of char C with biochar than with hydochar amendment, especially when endpoint soil MAOC was compared with initial soil MAOC. Our results suggest that destabilization of MAOC increased more with biochar than with hydrochar, especially with N fertilization and in the presence of actively photosynthesizing vegetation. This was further supported by a significantly greater rise in microbial biomass carbon with hydrochar than with biochar amendment. The total biomass yield remained unaffected. However, biochar with the applied N reduced the timothy grass yield compared to control, implying a reduced uptake of applied N by timothy. Our results shed light on the complex interactions among chars, soil, vegetation and N management. Therefore, future studies should focus on assessing the char amendment impacts including both plant and soil and at the whole agricultural field scale. Chars manufactured from diverse feedstocks need to be investigated for their impacts in diverse agricultural ecosystems, paving the way for their large-scale use.</t>
  </si>
  <si>
    <t>[Bhattarai, Hem Raj; Honkanen, Ella; Shurpali, Narasinha J.] Nat Resources Inst Finland Luke, Halolantie 31, Maaninka 71750, Finland; [Ruhanen, Hanna] Nat Resources Inst Finland Luke, Juntintie 154, Suonenjoki 77600, Finland; [Soinnie, Helena] Nat Resources Inst Finland Luke, Latokartanonkaari 9, Helsinki 00790, Finland; [Gil, Jenie] Univ Eastern Finland, Dept Environm &amp; Biol Sci, Yliopistonranta 1E, Kuopio 70211, Finland; [Saghir, Summaira; Lappalainen, Reijo] Univ Eastern Finland, Dept Tech Phys, Yliopistonranta 8, Kuopio 70211, Finland</t>
  </si>
  <si>
    <t>Natural Resources Institute Finland (Luke); Natural Resources Institute Finland (Luke); Natural Resources Institute Finland (Luke); University of Eastern Finland; University of Eastern Finland</t>
  </si>
  <si>
    <t>Bhattarai, HR (corresponding author), Nat Resources Inst Finland Luke, Halolantie 31, Maaninka 71750, Finland.</t>
  </si>
  <si>
    <t>hemraj.bhattarai@luke.fi</t>
  </si>
  <si>
    <t>Shurpali, Narasinha/K-5794-2013; Bhattarai, Hem/V-8413-2019</t>
  </si>
  <si>
    <t>Maa- ja Metstalousministeri</t>
  </si>
  <si>
    <t>We thank Hannu Raatikainen for his assistance in soil sampling and transportation, Jenni Toivakka for her assistance in analyzing OM content and reagent preparation for mineral N analyses, and the staff at the Natural Resources Institute Suonenjoki for their assistance in the experiment. This work does not have any competing interest.</t>
  </si>
  <si>
    <t>SEP 28</t>
  </si>
  <si>
    <t>10.1007/s42773-025-00496-6</t>
  </si>
  <si>
    <t>7YB3R</t>
  </si>
  <si>
    <t>WOS:001582375300001</t>
  </si>
  <si>
    <t>Przybyl, J; Wojcieszak, D; Garbowski, T</t>
  </si>
  <si>
    <t>Przybyl, Jacek; Wojcieszak, Dawid; Garbowski, Tomasz</t>
  </si>
  <si>
    <t>Effect of Corn Stover Ensiling on Methane Production and Carbon Dioxide Emissions</t>
  </si>
  <si>
    <t>corn stover silage; greenhouse gas emissions; energy efficiency; corn stover harvest; biogas</t>
  </si>
  <si>
    <t>ANAEROBIC-DIGESTION; LACTIC-ACID; ENERGY; BIOGAS; SILAGE; MAIZE; FERMENTATION; PRETREATMENT; INPUT; PERFORMANCE</t>
  </si>
  <si>
    <t>The biogas and biomethane sectors are crucial for the European Union's energy transition. One strategy for achieving the EU's biogas and biomethane targets while reducing the use of agricultural land for energy feedstock production is to use alternative biomass streams. Such a stream includes agricultural residues and by-products. A good example is crop residues after harvesting corn for grain, which are available in large quantities. Due to the fact that they are lignocellulosic biomasses, they require pretreatment. The purpose of this study was to determine the effect of ensiling enhancers on the methane yield of corn stover silages. Corn stover, which was harvested using the same technology, was ensiled in the first variant with an ensiling enhancer preparation based on bacteria of the Lactobacillus plantarum strain (DSM 3676 and DSM 3677) and two strains of propionic acid bacteria (DSM 9676 and DSM 9677), in the second variant with a formulation whose active ingredients were sodium benzoate, propionic acid, and sodium propionite, and in the third with a formulation based on lactic acid bacteria of the strain Lactobacillus plantarum and Lactobacillus Buchneri. The fourth variant was the control; that is, the material was ensiled naturally without the ensiling enhancer preparation. The use of the ensiling enhancer, based on lactic acid bacteria of the Lactobacillus plantarum and Lactobacillus Buchneri strains, reduced carbon dioxide emissions per 1 GJ of silage energy potential in the biogas production process. Specifically, the unique contribution of this research lies in demonstrating the role of ensiling enhancers in improving methane yield and reducing carbon dioxide emissions.</t>
  </si>
  <si>
    <t>[Przybyl, Jacek; Wojcieszak, Dawid; Garbowski, Tomasz] Poznan Univ Life Sci, Dept Biosyst Engn, Ul Wojska Polskiego 50, PL-60625 Poznan, Poland</t>
  </si>
  <si>
    <t>Poznan University of Life Sciences</t>
  </si>
  <si>
    <t>Garbowski, T (corresponding author), Poznan Univ Life Sci, Dept Biosyst Engn, Ul Wojska Polskiego 50, PL-60625 Poznan, Poland.</t>
  </si>
  <si>
    <t>jacek.przybyl@up.poznan.pl; dawid.wojcieszak@up.poznan.pl; tomasz.garbowski@up.poznan.pl</t>
  </si>
  <si>
    <t>; Garbowski, Tomasz/F-7341-2013; Wojcieszak, Dawid/AAJ-1237-2020</t>
  </si>
  <si>
    <t>Wojcieszak, Dawid/0000-0002-7216-9310; Garbowski, Tomasz/0000-0002-9588-2514;</t>
  </si>
  <si>
    <t>Ministry of Science and Higher Education of the Republic of Poland; [N313 270938]</t>
  </si>
  <si>
    <t>Ministry of Science and Higher Education of the Republic of Poland(Ministry of Science and Higher Education, Poland);</t>
  </si>
  <si>
    <t>This research was funded by the Ministry of Science and Higher Education of the Republic of Poland, grant number N313 270938.</t>
  </si>
  <si>
    <t>10.3390/en17236179</t>
  </si>
  <si>
    <t>P4P1N</t>
  </si>
  <si>
    <t>WOS:001377738000001</t>
  </si>
  <si>
    <t>Gonzalez-Sanchez, EJ; Veroz-Gonzalez, O; Conway, G; Moreno-Garcia, M; Kassam, A; Mkomwag, S; Ordoñez-Fernandez, R; Triviño-Tarradas, P; Carbonell-Bojollo, R</t>
  </si>
  <si>
    <t>Gonzalez-Sanchez, Emilio J.; Veroz-Gonzalez, Oscar; Conway, Gordon; Moreno-Garcia, Manuel; Kassam, Amir; Mkomwag, Saidi; Ordonez-Fernandez, Rafaela; Trivino-Tarradas, Paula; Carbonell-Bojollo, Rosa</t>
  </si>
  <si>
    <t>Meta-analysis on carbon sequestration through Conservation Agriculture in Africa</t>
  </si>
  <si>
    <t>Carbon sequestration; No-tillage; Groundcovers; Climate change</t>
  </si>
  <si>
    <t>SOIL ORGANIC-CARBON; CROP RESIDUE MANAGEMENT; AGGREGATE STABILITY; TERM IMPACT; NO-TILLAGE; LAND-USE; SYSTEMS; DYNAMICS; PRODUCTIVITY; ROTATION</t>
  </si>
  <si>
    <t>Africa is the smallest contributor to global greenhouse gas emissions among the continents, but the most vulnerable to the impacts of climate change. The effects will not be limited to a rising average temperature and changing rainfall patterns, but also to increasing severity and frequency in droughts, heat stress and floods. Agriculture is not only impacted upon by climate change but also contributes to global warming. However, not all agricultural systems affect negatively climate change. Conservation Agriculture (CA) is a farming system that promotes continuous no or minimum soil disturbance (i.e. no tillage), maintenance of a permanent soil mulch cover, and diversification of plant species. Through these principles it enhances biodiversity and natural biological processes above and below the ground surface, so contributing to increased water and nutrient use efficiency and productivity, to more resilient cropping systems, and to improved and sustained crop production. Conservation Agriculture is based on the practical application of three interlinked principles along with complementary good agricultural practice. The characteristics of CA make it one of the systems best able to contribute to climate change mitigation by reducing atmospheric greenhouse gas concentration. In this article, the carbon sequestration potential of CA is assessed, both in annual and perennial crops, in the different agro-climatic regions of Africa. In total, the potential estimate of annual carbon sequestration in African agricultural soils through CA amounts to 143 Tg of C per year, that is 524 Tg of CO2 per year. This figure represents about 93 times the current sequestration figure.</t>
  </si>
  <si>
    <t>[Gonzalez-Sanchez, Emilio J.; Trivino-Tarradas, Paula] Univ Cordoba, Escuela Tecn Super Ingn Agronom &amp; Montes, Cordoba, Spain; [Gonzalez-Sanchez, Emilio J.; Kassam, Amir; Trivino-Tarradas, Paula] European Conservat Agr Federat, Brussels, Belgium; [Gonzalez-Sanchez, Emilio J.; Veroz-Gonzalez, Oscar] AEAC SV, Cordoba, Spain; [Gonzalez-Sanchez, Emilio J.; Conway, Gordon] Imperial Coll London, Ctr Environm Policy, South Kensington Campus, London, England; [Moreno-Garcia, Manuel; Ordonez-Fernandez, Rafaela; Carbonell-Bojollo, Rosa] IFAPA Ctr Alameda Obispo, Area Ecol Prod &amp; Nat Resources, Cordoba, Spain; [Kassam, Amir] Univ Reading, Sch Agr Policy &amp; Dev, Reading, Berks, England; [Mkomwag, Saidi] African Conservat Tillage Network, POB 10375, Nairobi 00100, Kenya</t>
  </si>
  <si>
    <t>Universidad de Cordoba; Imperial College London; University of Reading</t>
  </si>
  <si>
    <t>Gonzalez-Sanchez, EJ (corresponding author), Univ Cordoba, Campus Rabanales,Carretera Nacl 4 Km 396, Cordoba 14014, Spain.</t>
  </si>
  <si>
    <t>emilio.gonzalez@uco.es</t>
  </si>
  <si>
    <t>Veroz, Óscar/AAZ-2956-2021; Ordóñez-Fernández, Rafaela/C-6517-2016; González Sánchez, Emilio Jesús/G-2796-2013; Carbonell-Bojollo, Rosa/AAD-4948-2020; Sánchez, Emilio/H-8417-2019</t>
  </si>
  <si>
    <t>Ordóñez-Fernández, Rafaela/0000-0002-8041-0549; González Sánchez, Emilio Jesús/0000-0002-8031-6595; Carbonell-Bojollo, Rosa/0000-0002-0942-6214; Veroz-Gonzalez, Oscar/0000-0003-1705-5748; Triviño Tarradas, Paula María/0000-0003-1212-0926</t>
  </si>
  <si>
    <t>European Union [LIFE13 ENV/ES/000541, LIFE17 CCM/ES/000140]; Plan Propio de Fomento de la Investigacion (Internal University Research Plan) (2018) of the Universidad de Cordoba</t>
  </si>
  <si>
    <t>European Union(European Union (EU)); Plan Propio de Fomento de la Investigacion (Internal University Research Plan) (2018) of the Universidad de Cordoba</t>
  </si>
  <si>
    <t>The authors would like to thank the LIFE financial instrument of the European Union for co-financing the LIFE + ClimAgri project Best agricultural practices for Climate Change: Integrating strategies for mitigation and adaptation - LIFE13 ENV/ES/000541, the LIFE AGROMITIGA project Development of climate change mitigation strategies through carbon-smart agriculture - LIFE17 CCM/ES/000140 and the support of the Plan Propio de Fomento de la Investigacion (Internal University Research Plan) (2018) of the Universidad de Cordoba that allowed the first author visiting the Imperial College London.</t>
  </si>
  <si>
    <t>10.1016/j.still.2019.02.020</t>
  </si>
  <si>
    <t>HZ9FA</t>
  </si>
  <si>
    <t>WOS:000469160000003</t>
  </si>
  <si>
    <t>Zhang, Y; Zhu, XC; Li, MJ; Liu, HL; Sun, BG</t>
  </si>
  <si>
    <t>Zhang, Ying; Zhu, Xuecheng; Li, Mingjian; Liu, Huilin; Sun, Baoguo</t>
  </si>
  <si>
    <t>Temperature-Responsive Covalent Organic Framework-Encapsulated Carbon Dot-Based Sensing Platform for Pyrethroid Detection via Fluorescence Response and Smartphone Readout</t>
  </si>
  <si>
    <t>JOURNAL OF AGRICULTURAL AND FOOD CHEMISTRY</t>
  </si>
  <si>
    <t>pyrethroids; temperature response; carbon dots; covalent organic framework; detection; agricultural and food samples</t>
  </si>
  <si>
    <t>EMISSION; PESTICIDES; EXPOSURE; SENSORS</t>
  </si>
  <si>
    <t>In this paper, carbon dot (CD)-encapsulated 1,3,5-tris(4-formylphenyl)benzene (TFB)/2,5-dihydroxyterephthalohy-drazide (DHTH) covalent organic frameworks (TDCOFs) grafted with thermoresponsive poly(N-isopropylacrylamide) (PNIPAM)(CDs@TDCOFs@PNIPAM) were fabricated for the detection of pyrethroids. CDs@TDCOFs@PNIPAM achieved a temperature-responsiveon/offdetection of pyrethroids based on the target-triggered electron-transfer mechanism. The detection limit ofpyrethroids was as low as 0.69 mu g/L in the wide linear range of 5-400 mu g/L (R2&gt; 0.9523). Simultaneously, CDs@TDCOFs@PNIPAM with red, green, and blue (RGB)fluorescence emissions were integrated with a smartphone-assisted device, enabling thevisual smart quantitative detection of pyrethroids with a detection limit of 4.875 mu g/L. Ultimately, agricultural products were chosenas actual samples to verify the applicability of both recognition modes, and the calculated recovery rate was 105.48-113.40%.Accordingly, CDs@TDCOFs@PNIPAM featuring temperature-responsive switching behavior and RGBfluorescence emissionprovided a promising analytical strategy for ensuring agricultural and food safety</t>
  </si>
  <si>
    <t>[Zhang, Ying; Zhu, Xuecheng; Li, Mingjian; Liu, Huilin; Sun, Baoguo] Beijing Technol &amp; Business Univ BTBU, Beijing 100048, Peoples R China</t>
  </si>
  <si>
    <t>Beijing Technology &amp; Business University</t>
  </si>
  <si>
    <t>Liu, HL (corresponding author), Beijing Technol &amp; Business Univ BTBU, Beijing 100048, Peoples R China.</t>
  </si>
  <si>
    <t>liuhuilin@btbu.edu.cn</t>
  </si>
  <si>
    <t>Zhu, Xuecheng/KCY-6068-2024; 刘, 慧琳/GWV-6504-2022; Zhang, Ying/MFH-0410-2025</t>
  </si>
  <si>
    <t>Zhang, Ying/0009-0004-6118-658X;</t>
  </si>
  <si>
    <t>National Natural Science Foundation of China [32072335, 31822040]; National Key R&amp;D Program of China [2018YFC1602300]; Research Foundation for Youth Scholars of Beijing Technology and Business University [QNJJ2021-11]</t>
  </si>
  <si>
    <t>National Natural Science Foundation of China(National Natural Science Foundation of China (NSFC)); National Key R&amp;D Program of China; Research Foundation for Youth Scholars of Beijing Technology and Business University</t>
  </si>
  <si>
    <t>This work was supported by the National Natural Science Foundation of China (Nos. 32072335, 31822040) and the National Key R&amp;D Program of China (No. 2018YFC1602300), the Research Foundation for Youth Scholars of Beijing Technology and Business University (QNJJ2021-11).</t>
  </si>
  <si>
    <t>0021-8561</t>
  </si>
  <si>
    <t>1520-5118</t>
  </si>
  <si>
    <t>J AGR FOOD CHEM</t>
  </si>
  <si>
    <t>J. Agric. Food Chem.</t>
  </si>
  <si>
    <t>MAY 25</t>
  </si>
  <si>
    <t>10.1021/acs.jafc.2c01568</t>
  </si>
  <si>
    <t>Agriculture, Multidisciplinary; Chemistry, Applied; Food Science &amp; Technology</t>
  </si>
  <si>
    <t>Agriculture; Chemistry; Food Science &amp; Technology</t>
  </si>
  <si>
    <t>1V3JB</t>
  </si>
  <si>
    <t>WOS:000805989400011</t>
  </si>
  <si>
    <t>Zhang, F; Wang, Z; Glidden, S; Wu, YP; Tang, L; Liu, QY; Li, CS; Frolking, S</t>
  </si>
  <si>
    <t>Zhang, F.; Wang, Z.; Glidden, S.; Wu, Y. P.; Tang, L.; Liu, Q. Y.; Li, C. S.; Frolking, S.</t>
  </si>
  <si>
    <t>Changes in the soil organic carbon balance on China's cropland during the last two decades of the 20th century</t>
  </si>
  <si>
    <t>MODELING IMPACTS; LAND-USE; STORAGE; SEQUESTRATION; DNDC; CO2; RESTORATION; MANAGEMENT; EMISSIONS; FARMLAND</t>
  </si>
  <si>
    <t>Agro-ecosystems play an important role in regulating global changes caused by greenhouse gas emissions. Restoration of soil organic carbon (SOC) in agricultural soils can not only improve soil quality but also influence climate change and agronomic productivity. With about half of its land area under agricultural use, China exhibits vast potential for carbon (C) sequestration that needs to be researched. Chinese cropland has experienced SOC change over the past century. The study of SOC dynamics under different bioclimatic conditions and cropping systems can help us to better understand this historical change, current status, the impacts of bioclimatic conditions on SOC and future trends. We used a simulation based on historical statistical data to analyze the C balance of Chinese croplands during the 1980s and 1990s, taking into account soil, climate and agricultural management. Nationwide, 77.6% of the national arable land is considered to be in good condition. Appropriate farm management practices should be adopted to improve the poor C balance of the remaining 22.4% of cropland to promote C sequestration.</t>
  </si>
  <si>
    <t>[Zhang, F.; Wu, Y. P.; Tang, L.] Xi An Jiao Tong Univ, Sch Human Settlements &amp; Civil Engn, Dept Environm Sci &amp; Technol, Xian 710049, Shaanxi, Peoples R China; [Wang, Z.] Chinese Acad Sci, IEE, State Key Lab Loess &amp; Quaternary Geol, Xian 710075, Shaanxi, Peoples R China; [Glidden, S.; Li, C. S.; Frolking, S.] Univ New Hampshire, Inst Study Earth Oceans &amp; Space, Durham, NH 03824 USA; [Liu, Q. Y.] Ankang Univ, Ankang 725000, Peoples R China</t>
  </si>
  <si>
    <t>Xi'an Jiaotong University; Chinese Academy of Sciences; University System Of New Hampshire; University of New Hampshire; Ankang University</t>
  </si>
  <si>
    <t>Zhang, F; Wu, YP (corresponding author), Xi An Jiao Tong Univ, Sch Human Settlements &amp; Civil Engn, Dept Environm Sci &amp; Technol, Xian 710049, Shaanxi, Peoples R China.</t>
  </si>
  <si>
    <t>zhangfan@xjtu.edu.cn; yipingwu@xjtu.edu.cn</t>
  </si>
  <si>
    <t>Wu, Yiping/D-2276-2012; Frolking, Steve/ABF-9046-2021; Wu, Yiping/D-2276-2012</t>
  </si>
  <si>
    <t>Wu, Yiping/0000-0002-5163-0884; Wu, Yiping/0000-0002-5163-0884</t>
  </si>
  <si>
    <t>NSFC grant [41301213]; Key Research Program of the Chinese Academy of Sciences [KZZD-EW-04]; One-Thousand Youth Talent Project [122990901606]; Fundamental Research Funds for the Central University</t>
  </si>
  <si>
    <t>NSFC grant(National Natural Science Foundation of China (NSFC)); Key Research Program of the Chinese Academy of Sciences(Chinese Academy of Sciences); One-Thousand Youth Talent Project; Fundamental Research Funds for the Central University</t>
  </si>
  <si>
    <t>We thank for the comments from editor and anonymous reviewers. The work was mostly conducted during a visiting stay at the Institute for the Study of Earth, Oceans and Space, UNH. This work was supported by NSFC grant 41301213, Key Research Program of the Chinese Academy of Sciences (KZZD-EW-04), One-Thousand Youth Talent Project 122990901606 and the Fundamental Research Funds for the Central University. The China base map data was provided by Data Center for Resources and Environmental Sciences, Chinese Academy of Sciences (RESDC, http://www.resdc.cn/).</t>
  </si>
  <si>
    <t>AUG 2</t>
  </si>
  <si>
    <t>10.1038/s41598-017-07237-1</t>
  </si>
  <si>
    <t>FC4NK</t>
  </si>
  <si>
    <t>WOS:000406816300017</t>
  </si>
  <si>
    <t>Zou, ZH; Chu, KM; Wang, M; Guo, SW</t>
  </si>
  <si>
    <t>Zou, Ziheng; Chu, Kemei; Wang, Min; Guo, Shiwei</t>
  </si>
  <si>
    <t>Carbon footprint assessment and economic benefits of rice-fish/poultry co-culture in China</t>
  </si>
  <si>
    <t>Integrated rice-fish farming; Rice production; Global change; Fishery development; Nutrient management</t>
  </si>
  <si>
    <t>GREENHOUSE-GAS EMISSIONS; N2O EMISSIONS; FISH; CROPLANDS</t>
  </si>
  <si>
    <t>The rice-fish/poultry co-culture, recognized as a Globally Important Agricultural Heritage, has regained prominence in China as a sustainable alternative to conventional rice monoculture (RM). While it holds potential for reducing greenhouse gas (GHG) emissions and enhancing rural incomes, its environmental and economic outcomes remain poorly quantified at the national scale. Here, we integrated a carbon footprint assessment of RM across China during the 2010s with a meta-analysis of 2209 paired observations from 275 site-years to evaluate how co-culture affects GHG emissions, soil organic carbon (SOC), and profitability. Results show that RM in China emitted 323 Tg CO2e yr(-1), with 68 % originating from field-level methane (CH4) emissions. Compared to RM, rice-fish/poultry co-culture reduced CH4 emissions by 21 % and increased SOC by 12 %, despite a nonsignificant rise in nitrous oxide emissions. Adjustments to fertilizer application rates showed no significant effects on these outcomes. Scenario analysis revealed that a 30 % fertilizer reduction offset feed-related emissions, achieving a net reduction of 0.6 Tg CO2e yr(-1). Economically, co-culture systems generated approximately ninefold higher profits mainly through aquatic/poultry product diversification. These findings demonstrate that rice fish/poultry co-culture delivers triple benefits: stable yields, environmental sustainability, and economic resilience. With tailored implementation in high-emitting regions, this model presents a scalable strategy to reconcile climate goals with food security in major rice-growing areas.</t>
  </si>
  <si>
    <t>[Zou, Ziheng; Chu, Kemei; Wang, Min; Guo, Shiwei] Nanjing Agr Univ, Coll Resources &amp; Environm Sci, Jiangsu Collaborat Innovat Ctr Solid Organ Wastes, Jiangsu Prov Key Lab Solid Organ Waste Utilizat, Nanjing 210095, Peoples R China; [Zou, Ziheng] Tianjin Univ, Sch Earth Syst Sci, Tianjin 300072, Peoples R China</t>
  </si>
  <si>
    <t>Nanjing Agricultural University; Tianjin University</t>
  </si>
  <si>
    <t>Guo, SW (corresponding author), Nanjing Agr Univ, Nanjing 210095, Peoples R China.</t>
  </si>
  <si>
    <t>sguo@njau.edu.cn</t>
  </si>
  <si>
    <t>Guo, Shiwei/HJI-6628-2023</t>
  </si>
  <si>
    <t>National Key Research and Development Program of China [2023YFD1901100]</t>
  </si>
  <si>
    <t>National Key Research and Development Program of China(National Key Research &amp; Development Program of China)</t>
  </si>
  <si>
    <t>This work was supported by the funding from the National Key Research and Development Program of China (2023YFD1901100) . We thank the reviewers for their insightful comments that significantly improved this work.</t>
  </si>
  <si>
    <t>OCT 10</t>
  </si>
  <si>
    <t>10.1016/j.jclepro.2025.146651</t>
  </si>
  <si>
    <t>7SK6T</t>
  </si>
  <si>
    <t>WOS:001578557500001</t>
  </si>
  <si>
    <t>Tikuye, BG; Tefera, GW; Gurau, S; Ray, RL</t>
  </si>
  <si>
    <t>Tikuye, Birhan Getachew; Tefera, Gebrekidan Worku; Gurau, Sanjita; Ray, Ram L.</t>
  </si>
  <si>
    <t>Assessing carbon stock and sequestration potential under land use and land cover dynamics in the Upper Blue Nile River Basin, Ethiopia</t>
  </si>
  <si>
    <t>Land use/land cover; carbon stock and sequestration; Integrated Valuation of Ecosystem Services and Trade-Offs; climate change mitigation; soil organic carbon; Abbay Basin; Ethiopia</t>
  </si>
  <si>
    <t>ECOSYSTEM SERVICES; AGRICULTURAL LAND; DECISION-MAKING; DEFORESTATION; EMISSIONS; DRIVERS; CLASSIFICATION; WETLANDS; TRENDS; POLICY</t>
  </si>
  <si>
    <t>The rapid expansion of agricultural and pastoral lands into natural ecosystems accelerates terrestrial carbon loss and intensifies carbon emissions. This study quantifies carbon stock dynamics in Ethiopia's Abbay Basin from 2000 to 2023, driven by land use and land cover (LULC) changes. The LULC was classified using a random forest classification approach from Landsat 7 (2000) and 8 (2015, 2023) imagery. Biomass carbon density data, encompassing both above- and below-ground carbon, were obtained from the Distributed Active Archive Center (DAAC), while soil organic carbon (SOC) (0-30 cm depth) was derived from World Soil Information System. Carbon stock changes were assessed using the Integrated Valuation of Ecosystem Services and Trade-offs (InVEST) model. The results reveal substantial LULC changes: agricultural land expanded from 38.86% to 42.69%, urban areas increased from 0.37% to 3.11%, while shrublands and grasslands declined. These shifts dramatically reduced total carbon stock, from 32.1 million tons in 2015 to 15.3 million tons in 2023, primarily due to deforestation and agricultural conversion. The findings indicate the urgent need for integrated land management strategies that reconcile economic development with ecosystem conservation to maintain carbon stocks and mitigate climate change.</t>
  </si>
  <si>
    <t>[Tikuye, Birhan Getachew; Tefera, Gebrekidan Worku; Gurau, Sanjita; Ray, Ram L.] Prairie View A&amp;M Univ, Cooperat Agr Res Ctr, Coll Agr Food &amp; Nat Resources, Prairie View, TX 77446 USA; [Tikuye, Birhan Getachew] Debre Tabor Univ, Dept Geog &amp; Environm Studies, Debre Tabor, Ethiopia</t>
  </si>
  <si>
    <t>Texas A&amp;M University System; Prairie View A&amp;M University</t>
  </si>
  <si>
    <t>Ray, RL (corresponding author), Prairie View A&amp;M Univ, Cooperat Agr Res Ctr, Coll Agr Food &amp; Nat Resources, Prairie View, TX 77446 USA.</t>
  </si>
  <si>
    <t>raray@pvamu.edu</t>
  </si>
  <si>
    <t>Tefera, Gebrekidan/AFJ-7307-2022; Ray, Ram/L-1286-2015</t>
  </si>
  <si>
    <t>World Soil Information System</t>
  </si>
  <si>
    <t>The authors would like to thank the United States Geological Survey, the Distributed Active Archive Center (DAAC) for the Biogeochemical Dynamics portal (https://daac.ornl.gov/), and World Soil Information System which were very helpful in downloading Landsat data, Biomass data, and soil organic carbon data,respectively. The authors would like to thank the anonymous reviewers for taking the time and effort necessary to review the manuscript. The authors sincerely appreciate all the valuable comments and suggestions that helped us improve the quality of the manuscript.</t>
  </si>
  <si>
    <t>10.1080/17583004.2025.2479516</t>
  </si>
  <si>
    <t>0NK5W</t>
  </si>
  <si>
    <t>WOS:001451516800001</t>
  </si>
  <si>
    <t>Wang, C; Sun, HF; Zhang, XX; Zhang, JN; Zhou, S</t>
  </si>
  <si>
    <t>Wang, Cong; Sun, Huifeng; Zhang, Xianxian; Zhang, Jining; Zhou, Sheng</t>
  </si>
  <si>
    <t>Optimal Straw Retention Strategies for Low-Carbon Rice Production: 5 Year Results of an In Situ Trial in Eastern China</t>
  </si>
  <si>
    <t>rice paddy; straw retention; biochar; methane; soil carbon sequestration</t>
  </si>
  <si>
    <t>GREENHOUSE-GAS EMISSIONS; METHANE PRODUCTION; CROPPING SYSTEM; PADDY SOIL; BIOCHAR; SEQUESTRATION; OXIDATION; FIELDS; YIELD; COMMUNITIES</t>
  </si>
  <si>
    <t>Crop straw retention in the rice-based rotation cropland has been widely accepted as an effective method to improve soil quality in China. Rice-wheat rotation cropland is one the most prevalent rice-based rotation patterns, where it only exploits a small proportion of the total agricultural land yet feeds the majority of the Chinese population. Previous studies indicated that the incorporation of fore-rotating crop straw can effectively facilitate soil carbon sequestration in rice paddy fields. However, the application of crop straw may increase methane (CH4) emissions from rice paddies due to the anaerobic soil condition. To mitigate CH4 emissions from rice paddies while still preserving their soil carbon sequestration ability, a field experiment was conducted in the 2012-2016 rice growing seasons to determine the optimal low-carbon crop straw retention strategy. Five treatments with different wheat straw retention strategies were employed in this study, including non-fertilization and non-straw (Control), conventional fertilization without straw incorporation (CF), conventional fertilization with wheat straw incorporation (FS), slow-release fertilizer combined with wheat straw (SFS), and conventional fertilization with wheat-straw-derived biochar (FB). The results indicated that FS, SFS, and FB treatments significantly increased soil carbon sequestration in comparison with CF treatment. However, the increment of soil carbon sequestration was offset by raw wheat straw induced excess CH4 emissions under FS and SFS treatments. In contrast, the application of wheat-straw-derived biochar significantly promoted soil carbon sequestration, but showed no significant effect on CH4 emissions. Collectively, to the farmers, who aim to achieve agricultural carbon neutrality, the application of straw-derived biochar is worthy of consideration in rice cultivation processes.</t>
  </si>
  <si>
    <t>[Wang, Cong; Sun, Huifeng; Zhang, Xianxian; Zhang, Jining; Zhou, Sheng] Shanghai Acad Agr Sci, 1000 Jinqi Rd, Shanghai 201403, Peoples R China; [Wang, Cong; Sun, Huifeng; Zhang, Xianxian; Zhang, Jining; Zhou, Sheng] Shanghai Engn Res Ctr Low Carbon Agr SERCLA, Shanghai 201415, Peoples R China; [Wang, Cong; Sun, Huifeng; Zhang, Xianxian; Zhang, Jining; Zhou, Sheng] Minist Agr &amp; Rural Affairs, Key Lab Low Carbon Green Agr Southeastern China, Shanghai 201403, Peoples R China</t>
  </si>
  <si>
    <t>Shanghai Academy of Agricultural Sciences</t>
  </si>
  <si>
    <t>Zhou, S (corresponding author), Shanghai Acad Agr Sci, 1000 Jinqi Rd, Shanghai 201403, Peoples R China.;Zhou, S (corresponding author), Shanghai Engn Res Ctr Low Carbon Agr SERCLA, Shanghai 201415, Peoples R China.;Zhou, S (corresponding author), Minist Agr &amp; Rural Affairs, Key Lab Low Carbon Green Agr Southeastern China, Shanghai 201403, Peoples R China.</t>
  </si>
  <si>
    <t>wangcong@saas.sh.cn; zhous@outlook.com</t>
  </si>
  <si>
    <t>Zhou, Sheng/B-7255-2008</t>
  </si>
  <si>
    <t>Wang, Cong/0000-0001-9757-9490; Zhou, Sheng/0000-0002-6675-3991</t>
  </si>
  <si>
    <t>National Key Research and Development Program of China [2022YFD2300304]; National Natural Science Foundation of China [41907065]; Science and Technology Commission of Shanghai Municipality [22dz1208300]</t>
  </si>
  <si>
    <t>National Key Research and Development Program of China(National Key Research &amp; Development Program of China); National Natural Science Foundation of China(National Natural Science Foundation of China (NSFC)); Science and Technology Commission of Shanghai Municipality(Science &amp; Technology Commission of Shanghai Municipality (STCSM))</t>
  </si>
  <si>
    <t>This research was supported by the funding from the National Key Research and Development Program of China (grant number 2022YFD2300304), the National Natural Science Foundation of China (grant number 41907065), and Science and Technology Commission of Shanghai Municipality (grant number 22dz1208300).</t>
  </si>
  <si>
    <t>10.3390/agronomy13061456</t>
  </si>
  <si>
    <t>K1AL0</t>
  </si>
  <si>
    <t>WOS:001013839200001</t>
  </si>
  <si>
    <t>Thebe, TA</t>
  </si>
  <si>
    <t>Thebe, T. A.</t>
  </si>
  <si>
    <t>A General Overview on Agricultural Mechanization in Zimbabwe</t>
  </si>
  <si>
    <t>This paper gives a general overview on the current status and future prospects of agricultural mechanization in Zimbabwe. A survey of relevant literature and government policy documents was performed so as to determine the current position and future directions of agricultural mechanization. It was found that Zimbabwe is generally at the initial and intermediate stages of agricultural mechanization. This is a state whereby most farmers are moving from using hand tools to using animal draught power and hiring mechanical-powered tillage services. There is limited availability of information on the numbers of effective farm power machines in Zimbabwe. However, there is a strong political commitment to ensure the mechanization and modernization of Zimbabwean agriculture. Zimbabwe also has an important role to play in the attainment of the African Union vision to banish the hand hoe from tillage operations. Overall, there is strong market potential for farm power technologies. Appropriate mechanization strategies have to be adopted to suit the social and economic profile of Zimbabwe.</t>
  </si>
  <si>
    <t>[Thebe, T. A.] Minist Lands Agr Water Climate &amp; Rural Resettleme, Div Irrigat Dev, New Govt Complex, Gwanda, Zimbabwe</t>
  </si>
  <si>
    <t>Thebe, TA (corresponding author), Minist Lands Agr Water Climate &amp; Rural Resettleme, Div Irrigat Dev, New Govt Complex, Gwanda, Zimbabwe.</t>
  </si>
  <si>
    <t>FAL</t>
  </si>
  <si>
    <t>HG0WY</t>
  </si>
  <si>
    <t>WOS:000454671200006</t>
  </si>
  <si>
    <t>Xu, ZM; Li, RH; Liu, J; Xu, XR; Wang, SW; Gao, F; Yang, GP; Yao, YQ; Zhang, ZQ; Zhang, X; Zhang, Y; Quan, FS</t>
  </si>
  <si>
    <t>Xu, Zhiming; Li, Ronghua; Liu, Jun; Xu, Xuerui; Wang, Shaowen; Gao, Feng; Yang, Guoping; Yao, Yiqing; Zhang, Zengqiang; Zhang, Xiu; Zhang, Yong; Quan, Fusheng</t>
  </si>
  <si>
    <t>The impact of ammonifying microorganisms on the stabilization and carbon conversion of cow manure and wheat husk co-composting</t>
  </si>
  <si>
    <t>Ammonifying microorganisms; Agricultural solid residue; Compost; Stabilization; Carbon transformation</t>
  </si>
  <si>
    <t>FUNGAL CONSORTIUM; INOCULATION; PERFORMANCE; BACTERIAL; SOIL</t>
  </si>
  <si>
    <t>Ammonifying microorganisms (Amm) play a crucial role in the global utilization of agricultural solid residue, but the mechanism of their action in the stabilization and carbon transformation of agricultural solid residue composting remains unclear. In this work, different treatments, including Control, Amm-1, Amm-2, Amm-3, and Amm-4, were established for co-composting of cow manure and wheat husk to investigate the action mechanism of Amm in composting stabilization and carbon conversion. The findings indicated that the Amm inoculation facilitated the decrease of total organic carbon, dissolved organic carbon, CO2 productions, and CH4 emissions by 35.13 similar to 37.28 %, 15.61 similar to 16.78 %, 1.75 % similar to 32.38 %, and 10.30 %similar to 18.01 %, respectively. Among the treatments. The inoculation of Amm-4 immensely showed the highest improvement effect on the organic solid residue humification and carbon transformation process, with the final compost product showed high stability and favorable performance on improving crop growth. Further mechanism analysis suggested that the Amm inoculation optimized humification-related enzyme activity and fungal community structure, enhanced the humus formation, increased the humification index, and promoted the stabilization of final product. In conclusion, this investigation verified the Amm inoculation can improve compost carbon conversion and promote the green application of agricultural solid residue as resource.</t>
  </si>
  <si>
    <t>[Xu, Zhiming; Liu, Jun; Xu, Xuerui; Wang, Shaowen; Gao, Feng; Zhang, Yong; Quan, Fusheng] Northwest A&amp;F Univ, Coll Vet Med, Key Lab Anim Biotechnol, Minist Agr &amp; Rural Affairs, Yangling 712100, Shaanxi, Peoples R China; [Li, Ronghua; Zhang, Zengqiang] Northwest A&amp;F Univ, Coll Nat Resources &amp; Environm, Yangling 712100, Shaanxi, Peoples R China; [Yang, Guoping; Zhang, Xiu] North Minzu Univ, Key Lab Dev &amp; Applicat Microbial Resources Extreme, Yinchuan 750021, Ningxia, Peoples R China; [Yao, Yiqing] Northwest A&amp;F Univ, Coll Mech &amp; Elect Engn, Northwest Res Ctr Rural Renewable Energy Exploitat, Yangling 712100, Shaanxi, Peoples R China</t>
  </si>
  <si>
    <t>Northwest A&amp;F University - China; Northwest A&amp;F University - China; North Minzu University; Northwest A&amp;F University - China</t>
  </si>
  <si>
    <t>Quan, FS (corresponding author), Northwest A&amp;F Univ, Coll Vet Med, Key Lab Anim Biotechnol, Minist Agr &amp; Rural Affairs, Yangling 712100, Shaanxi, Peoples R China.;Zhang, X (corresponding author), North Minzu Univ, Key Lab Dev &amp; Applicat Microbial Resources Extreme, Yinchuan 750021, Ningxia, Peoples R China.</t>
  </si>
  <si>
    <t>zhangxiu101@nmu.edu.cn; quanfusheng@nwafu.edu.cn</t>
  </si>
  <si>
    <t>; Li, Ronghua/AAP-8236-2021; Zhang, Zengqiang/J-3167-2014; Yao, Yiqing/AFO-4880-2022</t>
  </si>
  <si>
    <t>yao, yiqing/0000-0002-4692-8977; Li, Rong-Hua/0000-0002-5860-7169;</t>
  </si>
  <si>
    <t>Key project of Ningxia Natural Science Foundation [2023AAC02048]; Inner Mongolia Autonomous Region Open Competition Projects [2022JBGS0025]; National Natural Science Foundation of China [32172679]; S &amp; T Leading Talents of Ningxia Hui Autonomous Region [2022GKLRLX06]; Program of North Minzu University Key Laboratory for the D &amp; A of Microbial Resources in Extreme Environments [NXTS05]</t>
  </si>
  <si>
    <t>Key project of Ningxia Natural Science Foundation; Inner Mongolia Autonomous Region Open Competition Projects; National Natural Science Foundation of China(National Natural Science Foundation of China (NSFC)); S &amp; T Leading Talents of Ningxia Hui Autonomous Region; Program of North Minzu University Key Laboratory for the D &amp; A of Microbial Resources in Extreme Environments</t>
  </si>
  <si>
    <t>This work was partially supported by the Key project of Ningxia Natural Science Foundation (2023AAC02048), the Inner Mongolia Autonomous Region Open Competition Projects (2022JBGS0025), the National Natural Science Foundation of China [No.32172679], the S &amp; T Leading Talents of Ningxia Hui Autonomous Region (2022GKLRLX06) and the Program of North Minzu University Key Laboratory for the D &amp; A of Microbial Resources in Extreme Environments (NXTS05). The abstract diagram of the article was drawn by Figdraw (www.figdraw.com ) and www.home-for-researchers.com. We are grateful to the anonymous reviewers for their helpful feedback.</t>
  </si>
  <si>
    <t>10.1016/j.cej.2024.151626</t>
  </si>
  <si>
    <t>C1B2L</t>
  </si>
  <si>
    <t>WOS:001286778100001</t>
  </si>
  <si>
    <t>Dee, MM; Tank, JL</t>
  </si>
  <si>
    <t>Dee, Martha M.; Tank, Jennifer L.</t>
  </si>
  <si>
    <t>Inundation time mediates denitrification end products and carbon limitation in constructed floodplains of an agricultural stream</t>
  </si>
  <si>
    <t>Agricultural streams; Denitrification; Floodplains; Greenhouse gas; Membrane-inlet mass spectrometry; Nitrous oxide (N2O); Two-stage ditch</t>
  </si>
  <si>
    <t>NITROUS-OXIDE EMISSION; NUTRIENT-UPTAKE; NITRIC-OXIDE; SOIL-PH; RESTORATION; NITRATE; WATER; RATIO; RIVER; N2O</t>
  </si>
  <si>
    <t>Conversion of landscapes to large-scale agriculture has substantially increased the loading of bioavailable nitrogen (N) to stream networks through extensive artificial drainage and fertilizer application. Floodplain restoration may enhance N cycling in agricultural stream systems by increasing residence time of floodwaters in contact with bioreactive surfaces that retain or remove excess N. Microbially-mediated denitrification potentially plays a significant role in constructed floodplains by permanently removing excess N through conversion of bioavailable nitrate (NO3-N) to dinitrogen gas, either as N2O or N-2. Restoring channelized streams via the construction of inset floodplains can increase the total denitrification capacity of agricultural watersheds, but little is known about the abiotic factors that control the proportion of NO3-N that is converted to the potent greenhouse gas N2O versus N-2 (i.e., N2O yield). We used an in-situ static core design to assess the importance of constructed floodplain age, inundation time, and carbon (C) availability on total denitrification rates and N2O yield. Novel use of membrane-inlet mass spectrometry (MIMS) allowed us to simultaneously measure N2O and N-2 to capture total denitrification and the proportion of bioavailable N converted to each end-product. Floodplain age did not influence total denitrification rates, but rather denitrification increased with the duration of floodplain inundation until C limitation occurred at approximately 24 h. In addition, we found that N2O yields from floodplain soils were higher than those reported for other aquatic systems. Finally, while floodplain restoration in agricultural streams generally increases N retention at the watershed scale, regardless of the restoration age, the impact of added floodplains on N2O emissions should be considered.</t>
  </si>
  <si>
    <t>[Dee, Martha M.] Michigan State Univ Extens, Michigan Sea Grant, 184 US-41 E, Negaunee, MI 49866 USA; [Tank, Jennifer L.] Univ Notre Dame, Dept Biol Sci, 189 Galvin Life Sci, Notre Dame, IN 46556 USA</t>
  </si>
  <si>
    <t>University of Notre Dame</t>
  </si>
  <si>
    <t>Dee, MM (corresponding author), Michigan State Univ Extens, Michigan Sea Grant, 184 US-41 E, Negaunee, MI 49866 USA.</t>
  </si>
  <si>
    <t>gerigmar@msu.edu; tank.1@nd.edu</t>
  </si>
  <si>
    <t>Dee, Martha/0000-0001-8072-7557</t>
  </si>
  <si>
    <t>Illinois-Indiana Sea Grant College Program [074483-15949]; University of Notre Dame Center for Environmental Science and Technology (CEST)/Bayer Predoctoral Fellowship</t>
  </si>
  <si>
    <t>Illinois-Indiana Sea Grant College Program; University of Notre Dame Center for Environmental Science and Technology (CEST)/Bayer Predoctoral Fellowship</t>
  </si>
  <si>
    <t>This research was supported by Illinois-Indiana Sea Grant College Program 074483-15949. MMD was supported in part by a University of Notre Dame Center for Environmental Science and Technology (CEST)/Bayer Predoctoral Fellowship. We thank numerous members of the Tank Lab for field and lab assistance, including Ursula Mahl and Abigail White. We are grateful to Annie Bowling of Dr. Todd Royer's lab for sample analysis. We thank Dr. Sara McMillan for input on design; Dr. Todd Kana for valuable MIMS advisement; Jon Loftus and Suzyanne Guzicki of CEST for analytical instrument troubleshooting and Dr. Jason Taylor for an insightful review of an earlier version of this manuscript.</t>
  </si>
  <si>
    <t>10.1007/s10533-020-00670-x</t>
  </si>
  <si>
    <t>MAY 2020</t>
  </si>
  <si>
    <t>LU0GW</t>
  </si>
  <si>
    <t>WOS:000531115000001</t>
  </si>
  <si>
    <t>Yan, BJ; Li, YX; Yan, JJ; Shi, WJ</t>
  </si>
  <si>
    <t>Yan, Bojie; Li, Yaxing; Yan, Jingjie; Shi, Wenjiao</t>
  </si>
  <si>
    <t>Assessment of the mechanization level of livestock and poultry breeding: a case study in Hubei Province, China</t>
  </si>
  <si>
    <t>Mechanization level; Livestock and poultry breeding; Assessment model; Space partition</t>
  </si>
  <si>
    <t>The mechanization of livestock and poultry breeding is important to reduce the labor intensity and cost of livestock and poultry breeding, improve labor productivity, and promote the development of livestock and poultry breeding. However, limited studies have assessed the mechanization level of livestock and poultry breeding and identified its advantageous areas in county scale. This paper provides an analysis of the spatial distribution of mechanized operation of livestock and poultry and its proportion. A comprehensive assessment model was developed for the mechanization level of livestock and poultry breeding. Finally, the space partition of the mechanization level of livestock and poultry breeding was determined by grouping analysis. The results demonstrated that the spatial distribution of mechanized operation of livestock and poultry and its proportion varied obviously at the county scale in Hubei province. The proportion of mechanized operation of livestock and poultry in Hubei province was relatively low. The comprehensive assessment result of the mechanization level of livestock and poultry breeding at the county scale in Hubei province had obvious difference. Yingcheng, Xiantao, the municipal district of Xiaogan, the municipal district of Wuhan, Luotian, Xishui, Wuxue, Tuanfeng, and the municipal districts of Huangshi, Xianning, and Ezhou had advantages of mechanization level of livestock and poultry breeding. The results provided scientific basement for spatial layout planning of livestock and poultry breeding, improvement of production efficiency of livestock and poultry breeding, and sustainable development of livestock and poultry breeding industry.</t>
  </si>
  <si>
    <t>[Yan, Bojie] Minjiang Univ, Coll Geog &amp; Oceanog, Fuzhou 350108, Peoples R China; [Li, Yaxing] Shenzhen Univ, Sch Architecture &amp; Urban Planning, Shenzhen 518060, Peoples R China; [Yan, Jingjie] Nanjing Univ Posts &amp; Telecommun, Coll Telecommun &amp; Informat Engn, Nanjing 210003, Peoples R China; [Shi, Wenjiao] Inst Geog Sci &amp; Nat Resources Res, Key Lab Land Surface Pattern &amp; Simulat, Beijing 100101, Peoples R China; [Shi, Wenjiao] Univ Chinese Acad Sci, Coll Resources &amp; Environm, Beijing 100049, Peoples R China</t>
  </si>
  <si>
    <t>Minjiang University; Shenzhen University; Nanjing University of Posts &amp; Telecommunications; Chinese Academy of Sciences; Institute of Geographic Sciences &amp; Natural Resources Research, CAS; Chinese Academy of Sciences; University of Chinese Academy of Sciences, CAS</t>
  </si>
  <si>
    <t>Li, YX (corresponding author), Shenzhen Univ, Sch Architecture &amp; Urban Planning, Shenzhen 518060, Peoples R China.</t>
  </si>
  <si>
    <t>bnunercita@163.com; lyx_fzedu@163.com; yanjjzj2018@163.com; Shiwj_bj@163.com</t>
  </si>
  <si>
    <t>10.1007/s10668-024-04646-x</t>
  </si>
  <si>
    <t>MAR 2024</t>
  </si>
  <si>
    <t>5QA2K</t>
  </si>
  <si>
    <t>WOS:001185829700002</t>
  </si>
  <si>
    <t>Chen, PZ; Zheng, XQ; Cheng, WM</t>
  </si>
  <si>
    <t>Chen, Peizhen; Zheng, Xiangqun; Cheng, Weimin</t>
  </si>
  <si>
    <t>Biochar combined with ferrous sulfate reduces nitrogen and carbon losses during agricultural waste composting and enhances microbial diversity</t>
  </si>
  <si>
    <t>Compost; Agricultural waste; Nitrogen loss; Carbon loss; Bacterial community</t>
  </si>
  <si>
    <t>GREENHOUSE-GAS EMISSIONS; SEWAGE-SLUDGE; PIG MANURE; STRUVITE CRYSTALLIZATION; GASEOUS EMISSIONS; CHICKEN MANURE; AMENDMENT; AMMONIA; QUALITY; ADDITIVES</t>
  </si>
  <si>
    <t>This study investigated the effects of adding biochar, ferrous sulfate, and their combination during composting of pig manure mixed with straw to reduce the loss of carbon and nitrogen during agricultural waste composting. Four 100 L fermentation tank-scale experimental composting treatments were established: the additive-free control (CK), addition of 5% biochar (BC), addition of 5% ferrous sulfate (SF), and addition of 2.5% BC + 2.5% SF (BS). The transformation of carbon and nitrogen and the change characteristics of bacterial communities during composting of the four treatments were explored. BS significantly reduced NH3, N2O, CO2, and CH4 emissions by 59.57%, 48.41%, 35.80%, and 32.25% compared with CK, respectively. The BS treatment showed lower carbon and nitrogen losses than the single additive treatment. BS treatment enhanced the diversity and richness of bacterial communities during composting. The redundancy and Pearson correlation analyses revealed that the composition of dominant species between treatments had significant differences in different compost periods (mesophile, thermophilic, and cooling periods). BS treatment significantly increased the abundance ratio of carbon sequestration and nitrogen retention communities, and it enhanced nutrient preservation by microbial metabolism. Therefore, the composite addition of biochar and ferrous sulfate is an effective method to reduce the loss of carbon and nitrogen during agricultural waste composting. (C) 2022 Published by Elsevier Ltd on behalf of Institution of Chemical Engineers.</t>
  </si>
  <si>
    <t>[Chen, Peizhen; Zheng, Xiangqun; Cheng, Weimin] Minist Agr &amp; Rural Affairs, Agro Environm Protect Inst, Tianjin 300191, Peoples R China</t>
  </si>
  <si>
    <t>Chinese Academy of Agricultural Sciences; Agro-Environmental Protection Institute, CAAS</t>
  </si>
  <si>
    <t>Zheng, XQ (corresponding author), Minist Agr &amp; Rural Affairs, Agro Environm Protect Inst, Tianjin 300191, Peoples R China.</t>
  </si>
  <si>
    <t>zhengxiangqun@aepi.org.cn</t>
  </si>
  <si>
    <t>National Key Research and Development Program of China [2016YFD0800606, 2017YFD0800201]</t>
  </si>
  <si>
    <t>Acknowledgments This work was supported by the National Key Research and Development Program of China (2016YFD0800606 and 2017YFD0800201) .</t>
  </si>
  <si>
    <t>10.1016/j.psep.2022.04.042</t>
  </si>
  <si>
    <t>1R9ZD</t>
  </si>
  <si>
    <t>WOS:000803718900004</t>
  </si>
  <si>
    <t>Altouma, A; Krepl, V; Bashir, B; Bachir, H</t>
  </si>
  <si>
    <t>Altouma, Ahmed; Krepl, Vladimir; Bashir, Bashar; Bachir, Hussein</t>
  </si>
  <si>
    <t>Impact of Economic Growth, Agriculture, and Primary Energy Consumption on Carbon Dioxide Emissions in the Czech Republic</t>
  </si>
  <si>
    <t>economic growth; energy; carbon dioxide; Johansen; agriculture; Czech Republic</t>
  </si>
  <si>
    <t>CO2 EMISSIONS; FINANCIAL DEVELOPMENT; COINTEGRATION; PANEL; INCOME; TRADE; GDP</t>
  </si>
  <si>
    <t>One of the primary difficulties we have recently is environmental degradation. The deterioration of the environment was visible in the rise in carbon dioxide emissions, which has a detrimental impact on various life matters. A variety of factors caused this growth. Inappropriate human behaviors caused the majority of them. This study aimed to ascertain how energy consumption and economic growth with its components in the Czech Republic, affected CO2 emissions. The relationship between CO2 emissions, economic growth, agriculture, and energy consumption was studied using econometric analysis, specifically the Johansen, Vector Error Correction (VEC) Model, and granger causality. The findings revealed that all variables are cointegrated. Economic growth, agricultural, and energy consumption output are all positively correlated with CO(2 )emissions. There is a unidirectional Granger Causality between economic growth, and Agriculture towards carbon dioxide emissions. A unidirectional Granger Causality agriculture towards economic growth, and energy consumption. In addition, there is no Granger Causality between energy consumption and CO2 emissions, and economic growth. This is the first study to use the most recent data to empirically evaluate the environmental impact of economic growth and energy use in the Czech Republic. This study includes pertinent advice for reducing emission ns and supporting the environment by increasing renewable energy sources and adhering to the Czech Ministry of Environment's strategy.</t>
  </si>
  <si>
    <t>[Altouma, Ahmed; Krepl, Vladimir] Czech Univ Life Sci Prague, Dept Econ, Fac Econ &amp; Management, Kamycka 129, Prague 16500, Czech Republic; [Bashir, Bashar] King Saud Univ, Coll Engn, Dept Civil Engn, Riyadh 11421, Saudi Arabia; [Bachir, Hussein] Tech Univ Munich, Dept Civil Geo &amp; Environm Engn, D-80333 Munich, Germany</t>
  </si>
  <si>
    <t>Czech University of Life Sciences Prague; King Saud University; Technical University of Munich</t>
  </si>
  <si>
    <t>Altouma, A (corresponding author), Czech Univ Life Sci Prague, Dept Econ, Fac Econ &amp; Management, Kamycka 129, Prague 16500, Czech Republic.</t>
  </si>
  <si>
    <t>altouma@pef.czu.cz</t>
  </si>
  <si>
    <t>Bashir, Bashar/AAE-1238-2021; Bachir, Hussein/AEZ-7252-2022</t>
  </si>
  <si>
    <t>Bashir, Bashar/0000-0003-0384-9061; Altouma, Ahmed/0000-0002-1302-1455; Vladimir, KREPL/0000-0001-7490-422X</t>
  </si>
  <si>
    <t>King Saud University, Riyadh, Saudi Arabia [RSP-2021/296]</t>
  </si>
  <si>
    <t>This research was supported by RESEARCHERS SUPPORTING PROJECT, grant number RSP-2021/296, King Saud University, Riyadh, Saudi Arabia.</t>
  </si>
  <si>
    <t>10.3390/en15217887</t>
  </si>
  <si>
    <t>6B4GY</t>
  </si>
  <si>
    <t>WOS:000881294500001</t>
  </si>
  <si>
    <t>Lind, SE; Virkajärvi, P; Hyvönen, NP; Maljanen, M; Kivimäenpää, M; Jokinen, S; Antikainen, S; Latva, M; Räty, M; Martikainen, PJ; Shurpali, NJ</t>
  </si>
  <si>
    <t>Lind, Saara E.; Virkajarvi, Perttu; Hyvonen, Niina P.; Maljanen, Marja; Kivimaenpaa, Minna; Jokinen, Simo; Antikainen, Sanna; Latva, Mira; Raty, Mari; Martikainen, Pertti J.; Shurpali, Narasinha J.</t>
  </si>
  <si>
    <t>Carbon dioxide and methane exchange of a perennial grassland on a boreal mineral soil</t>
  </si>
  <si>
    <t>BOREAL ENVIRONMENT RESEARCH</t>
  </si>
  <si>
    <t>REED CANARY GRASS; NITROUS-OXIDE; CO2 EXCHANGE; CROP ROTATIONS; SANDY SOIL; EMISSIONS; FEN; N2O; FLUXES; CH4</t>
  </si>
  <si>
    <t>Cultivation of perennial crops can be an option to sequester carbon in agricultural soils. To determine the carbon budget of a perennial cropping system under the boreal climate, we studied carbon dioxide (CO2) and methane (CH4) exchange of timothy and meadow fescue mixture (TIM) on a boreal mineral soil. Based on the mean annual net ecosystem CO2 exchange (NEE), TIM was a sink for both CO2 (-1000 g CO2 m(-2)) and CH4 (-140 mg CH4 m(-2)). In comparison, soil without vegetation (BARE) was a source of CO2 (1300 g CO2 m(-2)). Based on the literature review, the net CO2 uptake of TIM was similar to the perennial cropping systems in northern Finland but higher than that of the annual cropping systems in this region. Our multi-year study shows that the perennial cultivation system based on TIM is an environmentally sustainable land-use option to mitigate agricultural CO2 emissions in regions with short growing seasons.</t>
  </si>
  <si>
    <t>[Lind, Saara E.; Hyvonen, Niina P.; Maljanen, Marja; Kivimaenpaa, Minna; Jokinen, Simo; Antikainen, Sanna; Latva, Mira; Raty, Mari; Martikainen, Pertti J.; Shurpali, Narasinha J.] Univ Eastern Finland, Dept Environm &amp; Biol Sci, Yliopistonranta 1D-E,POB 1627,Kuopio Campus, FI-70211 Kuopio, Finland; [Virkajarvi, Perttu] Nat Resources Inst Finland, Prod Syst, Halolantie 31, FI-71750 Maaninka, Finland; [Hyvonen, Niina P.] Savonia Univ Appl Sci Engn &amp; Technol, POB 6, FI-70201 Kuopio, Finland; [Jokinen, Simo] Finnish Food Author, Composit &amp; Origin Sect, Chem Unit, Lab &amp; Res Div, FI-00790 Helsinki, Finland</t>
  </si>
  <si>
    <t>University of Eastern Finland; Natural Resources Institute Finland (Luke); Finnish Food Authority</t>
  </si>
  <si>
    <t>Lind, SE (corresponding author), Univ Eastern Finland, Dept Environm &amp; Biol Sci, Yliopistonranta 1D-E,POB 1627,Kuopio Campus, FI-70211 Kuopio, Finland.</t>
  </si>
  <si>
    <t>saara.lind@uef.fi</t>
  </si>
  <si>
    <t>; Latva, Mira/HHN-6057-2022; Shurpali, Narasinha/K-5794-2013; Kivimäenpää, Minna/AAX-8396-2020; Shurpali, Narasinha/K-5794-2013</t>
  </si>
  <si>
    <t>Lind, Saara/0000-0001-7701-533X; Virkajärvi, Perttu/0000-0002-1954-9904; Räty, Mari/0000-0002-3660-3036; Latva, Mira/0000-0002-9551-9336; Maljanen, Marja/0000-0002-7454-0064; Shurpali, Narasinha/0000-0003-1052-4396; Shurpali, Narasinha/0000-0003-1052-4396</t>
  </si>
  <si>
    <t>Ministry of Agriculture and Forestry, Finland; UEF; Agrifood Research Finland; Academy of Finland; TEKES; Finnish Doctoral Programme in Environmental Science and Technology (EnSTe); Niemi-foundation; University of Eastern Finland; Academy of Finland [311970]; Academy of Finland (AKA) [311970] Funding Source: Academy of Finland (AKA)</t>
  </si>
  <si>
    <t>Ministry of Agriculture and Forestry, Finland; UEF; Agrifood Research Finland; Academy of Finland(Research Council of Finland); TEKES(Finnish Funding Agency for Technology &amp; Innovation (TEKES)); Finnish Doctoral Programme in Environmental Science and Technology (EnSTe); Niemi-foundation; University of Eastern Finland; Academy of Finland(Research Council of Finland); Academy of Finland (AKA)(Research Council of Finland)</t>
  </si>
  <si>
    <t>Data from the study are available for collaborative use by anyone interested. Contact N. J. Shurpali for information on data access(narasinha.shurpali@uef.fi). We thank numerous students and trainees of University of Eastern Finland for technical help in the field and laboratory during this study. Additionally, we would like to thank M. Laasonen, P. Issakainen and other technical personnel of Natural Resources Institute Finland Maaninka station for their excellent support. This study is a part of Competitive and sustainable bioenergy production in Finnish agriculture (MINHELPI) and it is funded by Ministry of Agriculture and Forestry, Finland, and also funding from the UEF infrastructure funding, strategic funding of Agrifood Research Finland and FiDiPro-funding from Academy of Finland and TEKES was received. S. E. Lind was additionally supported by the Finnish Doctoral Programme in Environmental Science and Technology (EnSTe), Niemi-foundation and University of Eastern Finland. N. J. Shurpali acknowledges the financial support from the Academy of Finland-funded INDO-NORDEN project (#311970).</t>
  </si>
  <si>
    <t>FINNISH ENVIRONMENT INST</t>
  </si>
  <si>
    <t>HELSINKI</t>
  </si>
  <si>
    <t>P O BOX 140, FIN-00251 HELSINKI, FINLAND</t>
  </si>
  <si>
    <t>1239-6095</t>
  </si>
  <si>
    <t>1797-2469</t>
  </si>
  <si>
    <t>BOREAL ENVIRON RES</t>
  </si>
  <si>
    <t>Boreal Environ. Res.</t>
  </si>
  <si>
    <t>LI1JP</t>
  </si>
  <si>
    <t>WOS:000529241400001</t>
  </si>
  <si>
    <t>Patel, SS; Bains, A; Sridhar, K; Kaushik, R; Chawla, P; Sharma, M; Tiwari, BK; Gupta, VK</t>
  </si>
  <si>
    <t>Patel, Shubham Singh; Bains, Aarti; Sridhar, Kandi; Kaushik, Ravinder; Chawla, Prince; Sharma, Minaxi; Tiwari, Brijesh K.; Gupta, Vijai Kumar</t>
  </si>
  <si>
    <t>Approaches and challenges for a sustainable low-carbon mushroom industry</t>
  </si>
  <si>
    <t>Sustainable agriculture; Mushroom production; Carbon emissions mitigation; Renewable energy; Technological advancements; Sustainability regulations</t>
  </si>
  <si>
    <t>ENVIRONMENTAL-IMPACT; ENERGY; CULTIVATION; PASTEURIZATION; REDUCTION; YIELD</t>
  </si>
  <si>
    <t>Sustainable agriculture holds a key role in attaining a balanced approach to increase productivity, especially for growing industries like mushroom production. Producers like China, the USA, and the UK lead the race for global mushroom production, while India lags with 0.18 million tonnes of output. However, ensuring the sustainability of the mushroom industry is needed for environmental conservation, long-term economic viability, and the overall well-being of communities dependent on this agricultural sector. This review focuses on the recent trends in waste and carbon footprint generation from the mushroom industry, emphasizing spent mushroom substrate and utilities like electricity. Moreover, this review extensively covers recent advancements in research concerning incorporating innovative technologies such as AI and precision agricultural technologies like Internet-ofThings (IoT) and big data and contemporary approaches, such as solar energy in mushroom farming. The challenges the mushroom industry faces, and policies to tackle them and promote sustainable agriculture are also thoroughly explored. The review concludes that the carbon footprint generation and waste release from mushroom production can be mitigated using AI, IoT, big data, machine learning, integrated sensors, etc., by increasing production efficiency and optimizing processes. Conventions such as circular economy, conventional energy substitution, carbon credit, and carbon capturing can also alleviate carbon emissions and carbon footprint. Therefore, this will allow the mushroom industry to align with Sustainable Development Goals 7 (affordable and clean energy) and 13 (climate action). Moreover, there is an urgent need to refine the schemes and provisions to make mushroom cultivation a sustainable agricultural sector.</t>
  </si>
  <si>
    <t>[Patel, Shubham Singh; Chawla, Prince] Lovely Profess Univ, Dept Food Technol &amp; Nutr, Phagwara 144411, India; [Bains, Aarti] Lovely Profess Univ, Dept Microbiol, Phagwara 144411, Punjab, India; [Sridhar, Kandi] Karpagam Acad Higher Educ, Dept Food Technol, Coimbatore 641021, India; [Kaushik, Ravinder] Univ Petr &amp; Energy Studies, Sch Hlth Sci, Dehra Dun 248007, India; [Sharma, Minaxi] Univ Nottingham Ningbo China, Nottingham Ningbo China Beacons Excellence Res &amp; I, Res Ctr Life Sci &amp; Healthcare, Ningbo, Peoples R China; [Tiwari, Brijesh K.] Teagasc Food Res Ctr, Dublin, Ireland; [Gupta, Vijai Kumar] Dublin City Univ, Sch Biotechnol, Dublin D09 K20V, Ireland; [Gupta, Vijai Kumar] Dublin City Univ, DCU Life Sci Inst, Dublin D09 K20V, Ireland; [Gupta, Vijai Kumar] Dublin City Univ, Biodesign Europe, Dublin D09 K20V, Ireland</t>
  </si>
  <si>
    <t>Lovely Professional University; Lovely Professional University; Karpagam Academy of Higher Education (KAHE); University of Petroleum &amp; Energy Studies (UPES); University of Nottingham Ningbo China; Teagasc; Dublin City University; Dublin City University; Dublin City University</t>
  </si>
  <si>
    <t>Chawla, P (corresponding author), Lovely Profess Univ, Dept Food Technol &amp; Nutr, Phagwara 144411, India.;Sharma, M (corresponding author), Univ Nottingham Ningbo China, Nottingham Ningbo China Beacons Excellence Res &amp; I, Res Ctr Life Sci &amp; Healthcare, Ningbo, Peoples R China.;Gupta, VK (corresponding author), Dublin City Univ, Sch Biotechnol, Dublin D09 K20V, Ireland.</t>
  </si>
  <si>
    <t>princefoodtech@gmail.com; minaxi86sharma@gmail.com; vijaikumar.gupta@dcu.ie</t>
  </si>
  <si>
    <t>Kaushik, Ravinder/AAA-9334-2019; Bains, Aarti/AAE-1185-2021; Kandi Sridhar, Ph.D./V-5657-2019; Sharma, Minaxi/L-9405-2019; Gupta, Vijai Kumar/O-2445-2014; Chawla, Prince/H-9208-2019</t>
  </si>
  <si>
    <t>Patel, Shubham Singh/0000-0001-8597-3933; Sharma, Minaxi/0000-0001-6493-5217; chawla, Prince/0000-0002-2383-7925;</t>
  </si>
  <si>
    <t>Research Ireland [21/RC/10307_P2]; Dublin City University, Ireland</t>
  </si>
  <si>
    <t>Research Ireland; Dublin City University, Ireland</t>
  </si>
  <si>
    <t>The authors thank the Department of Food Technology and Nutrition, Lovely Professional University, Phagwara, India, for providing facilities. B.K.T. acknowledge funding support from Research Ireland [grant number: 21/RC/10307_P2] . V.K.G acknowledges the support of Dublin City University, Ireland.</t>
  </si>
  <si>
    <t>10.1016/j.rser.2025.115338</t>
  </si>
  <si>
    <t>T9A3E</t>
  </si>
  <si>
    <t>WOS:001407841100001</t>
  </si>
  <si>
    <t>Li, XM; He, Y; Fu, YH; Wang, YJ</t>
  </si>
  <si>
    <t>Li, Xuemei; He, Ying; Fu, Yanhua; Wang, Yajie</t>
  </si>
  <si>
    <t>Analysis of the carbon effect of high-standard basic farmland based on the whole life cycle</t>
  </si>
  <si>
    <t>Based on the whole life cycle theory, the carbon effect of three different sizes of high-standard basic farmland construction projects is measured and analysed. The results show that the carbon emissions generated during the construction of high-standard basic farmland projects and the carbon absorption capacity at the later stage are different for projects of different sizes. The carbon emissions of different scales of high-standard basic farmland projects will increase during the construction stage. The results of carbon effect changes in the later operation and management stage show that the high-standard basic farmland construction projects will help reduce the carbon emissions of the field ecosystem where the farmland is located and increase its carbon sink capacity after the completion of construction, which is more obvious in larger projects. The emission reduction and carbon sequestration capacity of the farmland after remediation are improved to different degrees, which is more conducive to the ecological development of agricultural production and ecological environmental protection in the relevant areas. The study contributes to the green development of farmland, which is of some significance for the sustainable development of agriculture in Tianjin and the whole country.</t>
  </si>
  <si>
    <t>[Li, Xuemei; He, Ying; Fu, Yanhua; Wang, Yajie] Tianjin Chengjian Univ, Coll Econ &amp; Management, Tianjin 300192, Peoples R China</t>
  </si>
  <si>
    <t>Tianjin Chengjian University</t>
  </si>
  <si>
    <t>He, Y (corresponding author), Tianjin Chengjian Univ, Coll Econ &amp; Management, Tianjin 300192, Peoples R China.</t>
  </si>
  <si>
    <t>605595351@QQ.com</t>
  </si>
  <si>
    <t>Fu, Yan-Hua/ABE-1660-2022</t>
  </si>
  <si>
    <t>Tianjin Philosophy and Social Science Planning Project</t>
  </si>
  <si>
    <t>The author would like to thank the editorial team and the editors for their valuable comments.</t>
  </si>
  <si>
    <t>FEB 9</t>
  </si>
  <si>
    <t>10.1038/s41598-024-53432-2</t>
  </si>
  <si>
    <t>HP6O3</t>
  </si>
  <si>
    <t>WOS:001160750400019</t>
  </si>
  <si>
    <t>Fang, D; Chen, JQ; Wang, SG; Chen, B</t>
  </si>
  <si>
    <t>Fang, Dan; Chen, Jiangqiang; Wang, Saige; Chen, Bin</t>
  </si>
  <si>
    <t>Can agricultural mechanization enhance the climate resilience of food production? Evidence from China☆</t>
  </si>
  <si>
    <t>APPLIED ENERGY</t>
  </si>
  <si>
    <t>Food security; Climate resilience of food production; Agricultural mechanization; Spatial spillover effect; Cross-regional machinery services</t>
  </si>
  <si>
    <t>SLACKS-BASED MEASURE; SYSTEM RESILIENCE; EFFICIENCY; SUSTAINABILITY; SECURITY</t>
  </si>
  <si>
    <t>Climate change is exacerbating food security, necessitating the ability to reduce losses from climate hazards and restore high food yields, known as the climate resilience of food production (CRFP). Agricultural mechanization offers a promising adaptation strategy for enhancing CRFP through rapid, wide-ranging, and timely operations. However, the effect of agricultural mechanization on CRFP remains unclear. Taking China as a case study, we proposed an assessment framework to characterize provincial CRFP from 1994 to 2022 and explored the impact of agricultural mechanization on CRFP. The results show that, despite frequent droughts and floods, CRFP in China has been on an upward trend since 2004, driven by national policies aimed at securing grain production. China's CRFP exhibits regional spatial correlations: the Loess Plateau and the Northern arid and semi-arid regions are less resilient to disasters, while the coastal regions of Shandong, Jiangsu, Fujian, and Guangdong have maintained high levels of resilience in recent years. Agricultural mechanization has both direct and spatial spillover effects on CRFP by increasing food production and reducing disaster losses. For every 1% increase in agricultural mechanization, local CRFP increases by 0.012, with a total increase of 0.762 in neighboring provinces. Specifically, the spatial spillover effect of mechanization is primarily realized through the cross-latitude service of large harvesting machinery. This study provides insights into climate-resilient food production and global food security on improving the structure of agricultural machinery and optimizing cross-regional operations.</t>
  </si>
  <si>
    <t>[Fang, Dan; Wang, Saige; Chen, Bin] Beijing Normal Univ, Sch Environm, State Key Joint Lab Environm Simulat Pollut Contro, Beijing 100875, Peoples R China; [Chen, Jiangqiang; Chen, Bin] Guangdong Univ Finance &amp; Econ, Sch Econ, Guangzhou 510220, Peoples R China</t>
  </si>
  <si>
    <t>Beijing Normal University; Guangdong University of Finance &amp; Economics</t>
  </si>
  <si>
    <t>Chen, B (corresponding author), 19 Xinjiekouwai St, Beijing 100875, Peoples R China.</t>
  </si>
  <si>
    <t>chenb@bnu.edu.cn</t>
  </si>
  <si>
    <t>Fang, Dan/LQI-8937-2024; Chen, Bin/A-6951-2012</t>
  </si>
  <si>
    <t>Fang, Dan/0000-0001-7724-4036;</t>
  </si>
  <si>
    <t>National Natural Science Founda-tions of China [72091511, 72103022]; Science and technology innovation Program of Hunan Province [2023RC4008]; Beijing Natural Science Foundation [9222017]</t>
  </si>
  <si>
    <t>National Natural Science Founda-tions of China(National Natural Science Foundation of China (NSFC)); Science and technology innovation Program of Hunan Province; Beijing Natural Science Foundation(Beijing Natural Science Foundation)</t>
  </si>
  <si>
    <t>This work was supported by the National Natural Science Founda-tions of China (72091511, 72103022) , the Science and technology innovation Program of Hunan Province (2023RC4008) , and Beijing Natural Science Foundation (9222017) .</t>
  </si>
  <si>
    <t>0306-2619</t>
  </si>
  <si>
    <t>1872-9118</t>
  </si>
  <si>
    <t>APPL ENERG</t>
  </si>
  <si>
    <t>Appl. Energy</t>
  </si>
  <si>
    <t>10.1016/j.apenergy.2024.123928</t>
  </si>
  <si>
    <t>ZI6D0</t>
  </si>
  <si>
    <t>WOS:001274696500001</t>
  </si>
  <si>
    <t>Qiao, GT; Chen, F; Wang, N; Zhang, DD</t>
  </si>
  <si>
    <t>Qiao Guotong; Chen Fei; Wang Na; Zhang Dandan</t>
  </si>
  <si>
    <t>Inter-annual variation patterns in the carbon footprint of farmland ecosystems in Guangdong Province, China</t>
  </si>
  <si>
    <t>SOIL; SEQUESTRATION; TILLAGE; AGRICULTURE; DYNAMICS</t>
  </si>
  <si>
    <t>Carbon sequestration in farmland ecosystems is an important link in the world carbon cycle and plays an important role in regional carbon reduction. Guangdong, a major industrial and economic province in China, was used as the study area, and the period 2001-2020 was taken as the study period. The carbon emissions, sequestration, and footprint of farmland ecosystems in Guangdong were estimated using carbon emission factors for agricultural inputs that are closer to the actual situation in China. The study showed that: (1) Carbon average emissions from farmland in Guangdong during the study period was 3.7624 million t a(-1), with a balanced overall trend of change, and that nitrogen fertilize applications was the main factor contributing to carbon emissions. (2) The carbon sink capacity of Guangdong farmland ecosystems showed an overall decreasing trend of 10.32%, with an average annual carbon sink of 19.0363 million t a(-1). Paddy and sugar cane cultivations were the main factor of carbon sink in farmland. (3) The average annual carbon footprint of Guangdong's farmland ecosystems was 531,100 ha a(-1), which was in a carbon surplus. Carbon surplus and footprint showed a decreasing trend year by year. The paper results provide a theoretical basis for the formulation of carbon emission reduction policies and industrial restructuring in Guangdong and provinces with the same industrial structure.</t>
  </si>
  <si>
    <t>[Qiao Guotong; Chen Fei; Wang Na; Zhang Dandan] Anhui Univ Sci &amp; Technol, Sch Econ &amp; Management, Huainan 232001, Anhui, Peoples R China; [Qiao Guotong] Anhui Univ Sci &amp; Technol, Acad Affairs Off &amp; Innovat Coll, Huainan 231001, Anhui, Peoples R China</t>
  </si>
  <si>
    <t>Anhui University of Science &amp; Technology; Anhui University of Science &amp; Technology</t>
  </si>
  <si>
    <t>Chen, F (corresponding author), Anhui Univ Sci &amp; Technol, Sch Econ &amp; Management, Huainan 232001, Anhui, Peoples R China.</t>
  </si>
  <si>
    <t>anlichenfei@163.com</t>
  </si>
  <si>
    <t>Chen, Fei/0000-0002-4026-9798</t>
  </si>
  <si>
    <t>[2022CX2158]</t>
  </si>
  <si>
    <t>Study on the Coupling and Coordination Mechanism of Rural Economic Development and Ecological Environment under the Strategy of Rural Revitalization (2022CX2158).</t>
  </si>
  <si>
    <t>AUG 19</t>
  </si>
  <si>
    <t>10.1038/s41598-022-18425-z</t>
  </si>
  <si>
    <t>3W7XC</t>
  </si>
  <si>
    <t>WOS:000842561700046</t>
  </si>
  <si>
    <t>Sperow, M</t>
  </si>
  <si>
    <t>Sperow, Mark</t>
  </si>
  <si>
    <t>What might it cost to increase soil organic carbon using no-till on US cropland?</t>
  </si>
  <si>
    <t>CO2 offset costs; Conservation tillage; Carbon capture costs; IPCC</t>
  </si>
  <si>
    <t>AGRICULTURAL SOILS; SEQUESTRATION; CONSERVATION; MANAGEMENT; CAPTURE; SYSTEMS; STORAGE</t>
  </si>
  <si>
    <t>Background Existing research provides estimates of the biophysical potential for increasing soil organic carbon (SOC) stock, however additional research is needed to enhance our understanding of the economic potential for agricultural soils to offset or help reduce CO2 emissions. This study derives the marginal cost to increase SOC sequestration by combining SOC sequestration potential estimates developed using the Intergovernmental Panel on Climate Change (IPCC) factors with an existing payment scheme that was designed to increase no-till (NT) adoption on U.S. cropland. The marginal costs of increasing SOC is a function of the amount of SOC that could be increased through NT and the expected cost to landowners of changing management to use NT. Results The variability in SOC sequestration rates due to different land-use, management histories, climate, and soils, combined with the 48 unique payment rates to adopt NT, yield over 5,000 unique marginal cost values for increasing SOC sequestration. Nearly 95 percent of the biophysical potential SOC sequestration increase on U.S. cropland (2802 Tg CO2 from 140.1 Tg CO2 year(-1) for 20 years) could be captured for less than $100 Mg-1 CO2. An estimated 64 to 93 percent of the biophysical potential could be captured for less than the low and high estimated costs to capture CO2 for geologic storage of $36.36 to $86.06 Mg-1 CO2, respectively. Conclusions Decreasing tillage intensity through adoption of no-till agriculture offers a cost-effective way to offset a portion of increasing global CO2 emissions. This research demonstrates that increasing SOC stocks through NT adoption can offset CO2 emissions at a lower cost than some other options for preventing CO2 from entering the atmosphere.</t>
  </si>
  <si>
    <t>[Sperow, Mark] West Virginia Univ, Sch Nat Resources, Div Resource Econ &amp; Management, 1194 Evansdale Dr, Morgantown, WV 26506 USA</t>
  </si>
  <si>
    <t>West Virginia University</t>
  </si>
  <si>
    <t>Sperow, M (corresponding author), West Virginia Univ, Sch Nat Resources, Div Resource Econ &amp; Management, 1194 Evansdale Dr, Morgantown, WV 26506 USA.</t>
  </si>
  <si>
    <t>Mark.sperow@mail.wvu.edu</t>
  </si>
  <si>
    <t>Sperow, Mark/0000-0001-7167-6006</t>
  </si>
  <si>
    <t>United States Department of Agriculture, Economic Research Service; West Virginia Agricultural and Forestry Experiment Station</t>
  </si>
  <si>
    <t>Funding for this research was partially provided by a grant from the United States Department of Agriculture, Economic Research Service and the West Virginia Agricultural and Forestry Experiment Station.</t>
  </si>
  <si>
    <t>DEC 5</t>
  </si>
  <si>
    <t>10.1186/s13021-020-00162-3</t>
  </si>
  <si>
    <t>PA8FZ</t>
  </si>
  <si>
    <t>WOS:000595866600001</t>
  </si>
  <si>
    <t>Ye, SY; Krauss, KW; Brix, H; Wei, MJ; Olsson, L; Yu, XY; Ma, XY; Wang, J; Yuan, HM; Zhao, GM; Ding, XG; Moss, RF</t>
  </si>
  <si>
    <t>Ye, Siyuan; Krauss, Ken W.; Brix, Hans; Wei, Mengjie; Olsson, Linda; Yu, Xueyang; Ma, Xueying; Wang, Jin; Yuan, Hongming; Zhao, Guangming; Ding, Xigui; Moss, Rebecca F.</t>
  </si>
  <si>
    <t>Inter-Annual Variability of Area-Scaled Gaseous Carbon Emissions from Wetland Soils in the Liaohe Delta, China</t>
  </si>
  <si>
    <t>GREENHOUSE-GAS EMISSIONS; YELLOW-RIVER ESTUARY; LAND-USE CHANGE; METHANE EMISSIONS; NITROUS-OXIDE; SUAEDA-SALSA; MARSH ECOSYSTEM; NET SOURCE; FLUXES; RESPIRATION</t>
  </si>
  <si>
    <t>Global management of wetlands to suppress greenhouse gas (GHG) emissions, facilitate carbon (C) sequestration, and reduce atmospheric CO2 concentrations while simultaneously promoting agricultural gains is paramount. However, studies that relate variability in CO2 and CH4 emissions at large spatial scales are limited. We investigated three-year emissions of soil CO2 and CH4 from the primary wetland types of the Liaohe Delta, China, by focusing on a total wetland area of 3287 km(2). One percent is Suaeda salsa, 24% is Phragmites australis, and 75% is rice. While S. salsa wetlands are under somewhat natural tidal influence, P. australis and rice are managed hydrologically for paper and food, respectively. Total C emissions from CO2 and CH4 from these wetland soils were 2.9 Tg C/year, ranging from 2.5 to 3.3 Tg C/year depending on the year assessed. Primary emissions were from CO2 (similar to 98%). Photosynthetic uptake of CO2 would mitigate most of the soil CO2 emissions, but CH4 emissions would persist. Overall, CH4 fluxes were high when soil temperatures were &gt; 18 degrees C and pore water salinity &lt; 18 PSU. CH4 emissions from rice habitat alone in the Liaohe Delta represent 0.2% of CH4 carbon emissions globally from rice. With such a large area and interannual sensitivity in soil GHG fluxes, management practices in the Delta and similar wetlands around the world have the potential not only to influence local C budgeting, but also to influence global biogeochemical cycling.</t>
  </si>
  <si>
    <t>[Ye, Siyuan; Wei, Mengjie; Yu, Xueyang; Ma, Xueying; Wang, Jin; Yuan, Hongming; Zhao, Guangming; Ding, Xigui] China Geol Survey, Qingdao Inst Marine Geol, Key Lab Coastal Wetland Biogeosci, Qingdao 266071, Peoples R China; [Ye, Siyuan] Qingdao Natl Lab Marine Sci &amp; Technol, Lab Marine Geol, Qingdao 266061, Peoples R China; [Krauss, Ken W.] US Geol Survey, Wetland &amp; Aquat Res Ctr, Lafayette, LA 70506 USA; [Brix, Hans; Olsson, Linda] Aarhus Univ, Dept Biosci, DK-8000 Aarhus C, Denmark; [Brix, Hans; Olsson, Linda] Aarhus Univ, Sinodanish Ctr Educ &amp; Res, DK-8000 Aarhus C, Denmark; [Moss, Rebecca F.] USGS Wetland &amp; Aquat Res Ctr, Cherokee Nation Technol Solut, Lafayette, LA 70506 USA</t>
  </si>
  <si>
    <t>China Geological Survey; Qingdao Institute of Marine Geology (QIMG); Laoshan Laboratory; United States Department of the Interior; United States Geological Survey; Aarhus University; Aarhus University</t>
  </si>
  <si>
    <t>Krauss, KW (corresponding author), US Geol Survey, Wetland &amp; Aquat Res Ctr, Lafayette, LA 70506 USA.</t>
  </si>
  <si>
    <t>kraussk@usgs.gov</t>
  </si>
  <si>
    <t>Brix, Hans/AAN-5367-2020; Yuan, Hongming/HPG-4565-2023; zhao, guangming/GZM-3432-2022; yu, xueyang/JPK-1136-2023; Brix, Hans/C-5208-2008</t>
  </si>
  <si>
    <t>Brix, Hans/0000-0003-2771-2983</t>
  </si>
  <si>
    <t>Ministry of Land and Resources Program of China [201111023]; Marine Safeguard Project [GZH201200503]; China Geological Survey Projects [121201005000150004, 1212010611402]; National Natural Science Foundation of China [40872167, 41240022]; Sino-Danish Centre for Education and Research; United States Geological Survey (Climate and Land Use Change R &amp; D and LandCarbon Programs); China Geological Survey [CH-02.0600]</t>
  </si>
  <si>
    <t>Ministry of Land and Resources Program of China; Marine Safeguard Project; China Geological Survey Projects(China Geological Survey); National Natural Science Foundation of China(National Natural Science Foundation of China (NSFC)); Sino-Danish Centre for Education and Research; United States Geological Survey (Climate and Land Use Change R &amp; D and LandCarbon Programs); China Geological Survey(China Geological Survey)</t>
  </si>
  <si>
    <t>This work was funded by grants from the Ministry of Land and Resources Program of China (Grant No. 201111023), Marine Safeguard Project (Grant No. GZH201200503), China Geological Survey Projects (Grant Nos. 121201005000150004, 1212010611402), National Natural Science Foundation of China (Grant Nos. 40872167 and 41240022), the Sino-Danish Centre for Education and Research, and by in-kind contributions from the China Geological Survey (Project Annex No. 6, CH-02.0600) and United States Geological Survey (Climate and Land Use Change R &amp; D and LandCarbon Programs). The funders had no role in study design, data collection and analysis, decision to publish, or preparation of the manuscript.</t>
  </si>
  <si>
    <t>AUG 8</t>
  </si>
  <si>
    <t>e0160612</t>
  </si>
  <si>
    <t>10.1371/journal.pone.0160612</t>
  </si>
  <si>
    <t>DT3IE</t>
  </si>
  <si>
    <t>WOS:000381373500039</t>
  </si>
  <si>
    <t>Ansari, MA; Ravisankar, N; Shamim, M; Rani, M; Prusty, AK; Singh, R; Raghavendra, KJ; Joshi, H; Kumar, S; Panwar, AS; Kumar, M</t>
  </si>
  <si>
    <t>Ansari, Meraj Alam; Ravisankar, Natesan; Shamim, Mohammad; Rani, Meenu; Prusty, Ashisa K.; Singh, Raghuveer; Raghavendra, K. J.; Joshi, Himanshu; Kumar, Sunil; Panwar, Azad Singh; Kumar, Mahesh</t>
  </si>
  <si>
    <t>Accounting of carbon sequestration and tradeoff under various climatic scenarios in alternative agricultural system: a comprehensive framework toward carbon neutrality</t>
  </si>
  <si>
    <t>alternative agricultural system; carbon sequestration; climate change &amp; land-use scenarios; zero-emission; NDCs; SDGs</t>
  </si>
  <si>
    <t>AGROFORESTRY SYSTEMS</t>
  </si>
  <si>
    <t>Introduction The increase in atmospheric CO2 concentration, which mainly is attributed to fossil-fuel combustion and deforestation, is often suggested as one of the prime causative factors toward accelerated global warming. This commends for sequestration of atmospheric carbon under terrestrial systems to partially offset fossil-fuel emissions. Concerning the same, agricultural sector presents an extensive opportunity, especially for countries such as India where over 55% of the population is engaged in the agriculture sector. Methods Sequestering atmospheric carbon in agriculture requires the adoption of climate-resilient alternative agriculture practices without compromising food security. The deliberated study highlights the options of alteration in current conventional farming practices and its economic evaluation for sequestrating carbon under two Climate Change (CC) scenarios, viz., RCP 4.5 and 8.5, over three temporal scales, i.e., 2020, 2030, and 2050. Considering the current land-use pattern and existing growth rate in land-use shifting, three land-use policies, namely, Business as Usual (BaU), Optimistic, and Pessimistic scenario, integrated with CC scenarios were contemplated. Six possible futuristic scenarios were generated for the assessment of carbon sequestration and its valuation following the Integrated Valuation of Ecosystem Services and Tradeoff (InVEST) model. Results The results suggested that across the studied region adopting an optimistic policy over BaU and pessimistic scenario, carbon can sequestrate an additional 0.64 to 1.46 Mt. (2.35 to 5.36 million ton CO2e) having an economic value of 193.4 to 504.8 million USD. Results Moreover, the outcomes of the study are advocated for the policy of carbon credit in the agriculture sector, which shall contribute toward meeting various nationally determined contributions (NDCs) and sustainable development goals (SDGs) as well.</t>
  </si>
  <si>
    <t>[Ansari, Meraj Alam; Ravisankar, Natesan; Shamim, Mohammad; Rani, Meenu; Prusty, Ashisa K.; Singh, Raghuveer; Raghavendra, K. J.; Joshi, Himanshu; Kumar, Sunil; Panwar, Azad Singh; Kumar, Mahesh] ICAR Indian Inst Farming Syst Res, Meerut, Uttar Pradesh, India; [Panwar, Azad Singh] IIMT Univ, Meerut, Uttar Pradesh, India</t>
  </si>
  <si>
    <t>Indian Council of Agricultural Research (ICAR); ICAR - Indian Institute of Farming Systems Research</t>
  </si>
  <si>
    <t>Ansari, MA; Ravisankar, N; Rani, M (corresponding author), ICAR Indian Inst Farming Syst Res, Meerut, Uttar Pradesh, India.</t>
  </si>
  <si>
    <t>merajiari@gmail.com; n.ravisankar@icar.gov.in; meenurani06@gmail.com</t>
  </si>
  <si>
    <t>Prusty, Akhyaya/AAC-6217-2022; Rani, Meenu/C-3822-2015; KJ, Raghavendra/KEJ-4104-2024</t>
  </si>
  <si>
    <t>Rani, Meenu/0000-0002-9716-177X; Prusty, Ashisa Kumar/0000-0003-3402-9744; Ansari, Meraj/0000-0001-6833-2608;</t>
  </si>
  <si>
    <t>TEEB-UNEP, Nairobi; European Union</t>
  </si>
  <si>
    <t>TEEB-UNEP, Nairobi; European Union(European Union (EU))</t>
  </si>
  <si>
    <t>The author(s) declare financial support was received for the research, authorship, and/or publication of this article. The authors acknowledges the facilities and support received from the Director, ICAR-Indian Institute of Farming Systems Research, Modipuram, India. The authors are acknowledged to TEEB-UNEP, Nairobi and European Union for financial support under the project TEEB Agri Food Initiatives in Uttar Pradesh.</t>
  </si>
  <si>
    <t>MAY 10</t>
  </si>
  <si>
    <t>10.3389/fsufs.2024.1371255</t>
  </si>
  <si>
    <t>RV6E0</t>
  </si>
  <si>
    <t>WOS:001230467300001</t>
  </si>
  <si>
    <t>Paul, KI; England, JR; Baker, TG; Cunningham, SC; Perring, MP; Polglase, PJ; Wilson, B; Cavagnaro, TR; Lewis, T; Read, Z; Madhavan, DB; Herrmann, T</t>
  </si>
  <si>
    <t>Paul, Keryn I.; England, Jacqueline R.; Baker, Thomas G.; Cunningham, Shaun C.; Perring, Michael P.; Polglase, Phil J.; Wilson, Brian; Cavagnaro, Timothy R.; Lewis, Tom; Read, Zoe; Madhavan, Dinesh B.; Herrmann, Tim</t>
  </si>
  <si>
    <t>Using measured stocks of biomass and litter carbon to constrain modelled estimates of sequestration of soil organic carbon under contrasting mixed-species environmental plantings</t>
  </si>
  <si>
    <t>Biomass; FullCAM; Decomposition; Litter; Reforestation; RothC</t>
  </si>
  <si>
    <t>FINE-ROOT PRODUCTION; LAND-USE CHANGE; ABOVEGROUND BIOMASS; AGRICULTURAL SOILS; MATTER; REFORESTATION; DECOMPOSITION; TURNOVER; FRACTIONS; AFFORESTATION</t>
  </si>
  <si>
    <t>Reforestation of agricultural land with mixed-species environmental plantings of native trees and shrubs contributes to abatement of greenhouse gas emissions through sequestration of carbon, and to landscape remediation and biodiversity enhancement. Although accumulation of carbon in biomass is relatively well understood, less is known about associated changes in soil organic carbon (SOC) following different types of reforestation. Direct measurement of SOC may not be cost effective where rates of SOC sequestration are relatively small and/or highly spatially-variable, thereby requiring intensive sampling. Hence, our objective was to develop a verified modelling approach for determining changes in SOC to facilitate the inclusion of SOC in the carbon accounts of reforestation projects. We measured carbon stocks of biomass, litter and SOC (0-30 cm) in 125 environmental plantings (often paired to adjacent agricultural sites), representing sites of varying productivity across the Australian continent. After constraining a carbon accounting model to observed measures of growth, allocation of biomass, and rates of litterfall and litter decomposition, the model was calibrated to maximise the efficiency of prediction of SOC and its fractions. Uncertainties in both measured and modelled results meant that efficiencies of prediction of SOC across the 125 contrasting plantings were only moderate, at 39-68%. Data-informed modelling nonetheless improved confidence in outputs from scenario analyses, confirming that: (i) reforestation on agricultural land highly depleted in SOC (i.e. previously under cropping) had the highest capacity to sequester SOC, particularly where rainfall was relatively high (&gt; 600 mm year(-1)), and; (ii) decreased planting width and increased stand density and the proportion of eucalypts enhanced rates of SOC sequestration. These results improve confidence in predictions of SOC following environmental reforestation under varying conditions. The calibrated model will be a useful tool for informing land managers and policy makers seeking to understand the dynamics of SOC following such reforestation. (C) 2017 Elsevier B.V. All rights reserved.</t>
  </si>
  <si>
    <t>[Paul, Keryn I.; Polglase, Phil J.] CSIRO Agr, GPO Box 1700, Canberra, ACT 2601, Australia; [Paul, Keryn I.; Polglase, Phil J.] CSIRO Land &amp; Water, GPO Box 1700, Canberra, ACT 2601, Australia; [England, Jacqueline R.] CSIRO Agr, Private Bag 10, Clayton, Vic 3169, Australia; [England, Jacqueline R.] CSIRO Land &amp; Water, Private Bag 10, Clayton, Vic 3169, Australia; [Baker, Thomas G.; Madhavan, Dinesh B.] Univ Melbourne, Sch Ecosyst &amp; Forest Sci, 500 Yarra Blvd, Richmond, Vic 3121, Australia; [Cunningham, Shaun C.] Deakin Univ, Sch Life &amp; Environm Sci, Ctr Integrat Ecol, Burwood, Vic 3125, Australia; [Cunningham, Shaun C.] Univ Canberra, Inst Appl Ecol, Bruce, ACT 2617, Australia; [Perring, Michael P.] Univ Western Australia, Sch Biol Sci, 35 Stirling Highway, Crawley, WA 6009, Australia; [Perring, Michael P.] Univ Ghent, Forest &amp; Nat Lab, BE-9090 Gontrode Melle, Belgium; [Wilson, Brian] Univ New England, Armidale, NSW 2351, Australia; [Wilson, Brian] NSW Off Environm &amp; Heritage, Armidale, NSW 2351, Australia; [Cavagnaro, Timothy R.] Univ Adelaide, Sch Agr Food &amp; Wine, Waite Res Inst, Waite Campus,PMB 1, Glen Osmond, SA 5064, Australia; [Lewis, Tom] Univ Sunshine Coast, Queensland Govt, Dept Agr &amp; Fisheries, Sippy Downs Dr, Sippy Downs, Qld 4556, Australia; [Read, Zoe] Australian Natl Univ, Fenner Sch Environm &amp; Soc, Canberra, ACT 0200, Australia; [Herrmann, Tim] Dept Environm Water &amp; Nat Resources, Adelaide, SA, Australia</t>
  </si>
  <si>
    <t>Commonwealth Scientific &amp; Industrial Research Organisation (CSIRO); Commonwealth Scientific &amp; Industrial Research Organisation (CSIRO); CSIRO Land &amp; Water; Commonwealth Scientific &amp; Industrial Research Organisation (CSIRO); Commonwealth Scientific &amp; Industrial Research Organisation (CSIRO); CSIRO Land &amp; Water; University of Melbourne; Deakin University; University of Canberra; University of Western Australia; Ghent University; University of New England; Office of Environment &amp; Heritage - New South Wales; Adelaide University; University of Adelaide; University of the Sunshine Coast; Australian National University</t>
  </si>
  <si>
    <t>Paul, KI (corresponding author), CSIRO Agr, GPO Box 1700, Canberra, ACT 2601, Australia.</t>
  </si>
  <si>
    <t>Keryn.Paul@csiro.au</t>
  </si>
  <si>
    <t>; Paul, Keryn/A-6773-2011; England, Jacqueline/G-6417-2011; Cavagnaro, Timothy/HGC-7768-2022; Perring, Michael/B-1323-2011; Wilson, Brian/G-4996-2011; Cunningham, Shaun/J-7669-2015; Polglase, Philip/D-7025-2011; Baker, Thomas/G-1394-2012</t>
  </si>
  <si>
    <t>Cavagnaro, Timothy/0000-0002-9922-5677; Wilson, Brian/0000-0002-7983-0909; Paul, Keryn/0000-0003-4125-929X; Perring, Michael/0000-0001-8553-4893; Lewis, Tom/0000-0002-2820-0106; Wilson, Brian/0000-0002-3125-8165; England, Jacqueline/0000-0002-3371-1509</t>
  </si>
  <si>
    <t>Australian Department of Agriculture's Filling the Research Gap; SA Water; Lachlan Catchment Management Authority/Central Tablelands Local Land Service; Murray Catchment Management Authority; Australian Department of Environment and Energy; ARC [LP0990038, FT120100463]; ARC</t>
  </si>
  <si>
    <t>Australian Department of Agriculture's Filling the Research Gap; SA Water; Lachlan Catchment Management Authority/Central Tablelands Local Land Service; Murray Catchment Management Authority; Australian Department of Environment and Energy; ARC(Australian Research Council); ARC(Australian Research Council)</t>
  </si>
  <si>
    <t>The project was funded largely by the Australian Department of Agriculture's Filling the Research Gap under National Soil Carbon Program Grants, with additional financial support provided by SA Water, Lachlan Catchment Management Authority/Central Tablelands Local Land Service, Murray Catchment Management Authority, and the Australian Department of Environment and Energy. SCC was funded by ARC Linkage Program (LP0990038), TRC thanks the ARC for supporting his research via the awarded of a Future Fellowship (FT120100463) and MPP was partially supported through an ARC Laureate Fellowship awarded to RJ Hobbs. Project guidance was provided by Jeff Baldock, Lauren Bennett, John Field, Richard Green, Tim Smith, Brian Murphy, JaymieNorris, Craig Neumann, Tony Patti, John Raison, Senani Karunaratne, Stephen Rox-burgh, Ian Shepherd and Christopher Weston. Assistance with site selection, field work and soil preparation and analyses was provided by Melanie Bullock, Micah Davies, Michael Davy, Phil de Zylva, Tom Fairman, Trevor Hobbs, Jarrod Hodgson, Pandora Holliday, John Larmour, Rob Law, Gordon McLaughlin, Geoff Minchin, Tim Morald, Tarek Murshed, Simon Murphy, Craig Neumann, Harry Roberts, Amanda Schapel, Ben Smith, Gabi Szegedy and Andrew Wherrett. We are indebted to the landowners who gave us permission to sample soil and measure/harvest trees on their properties. Rachel Burgess, Rob Sturgis, Keiran Andrusko, Ram Dalal, Jeff Baldock and Elizabeth Pinkard are thanked for their reviews.</t>
  </si>
  <si>
    <t>10.1016/j.scitotenv.2017.09.263</t>
  </si>
  <si>
    <t>FM3QQ</t>
  </si>
  <si>
    <t>WOS:000414922600037</t>
  </si>
  <si>
    <t>Verma, AK; Dheeran, P; Krishnani, KK; Murugesan, K</t>
  </si>
  <si>
    <t>Verma, Ajit Kumar; Dheeran, Panneerselvam; Krishnani, Kishore Kumar; Murugesan, Kavitha</t>
  </si>
  <si>
    <t>Towards sustainable aquaculture: innovative strategies for reducing environmental carbon footprints across different aquaculture systems</t>
  </si>
  <si>
    <t>ANNALS OF ANIMAL SCIENCE</t>
  </si>
  <si>
    <t>aquaculture sustainability; environmental concerns; carbon credit; greenhouse gas emissions; carbon sequestration</t>
  </si>
  <si>
    <t>LIFE-CYCLE ASSESSMENT; CLIMATE-CHANGE MITIGATION; GREENHOUSE-GAS EMISSIONS; RECIRCULATING AQUACULTURE; FRESH-WATER; BLUE CARBON; MANGROVE DEFORESTATION; LITOPENAEUS-VANNAMEI; ORGANIC AQUACULTURE; METHANE EMISSIONS</t>
  </si>
  <si>
    <t>Aquaculture is a crucial sector in the world's food production due to growing populations and declining wild fish stocks. The increasing demand for seafood is met by aquaculture, but its rapid growth raises environmental concerns, particularly regarding greenhouse gas (GHG) emissions. The production of feed, energy use, and organic waste are significant causes of these emissions. Carbon footprint denotes the quantity of GHG emitted into the atmosphere by individuals, companies or any type of activity, such as agricultural and fisheries production. This review implies the carbon footprint of several aquaculture systems, including pond culture, cage culture, bivalve aquaculture, shrimp farming, and recirculating systems, as well as the mitigation strategies to lower GHG emissions. By improving nutrient cycling and reducing feed dependence, integrated systems such as polyculture and Integrated Multi-Trophic Aquaculture exhibit promise for sustainability. Furthermore, developments in feed, waste management, energy efficiency, and carbon capture via seaweed farming and biofloc technology provide significant methods to lessen environmental impacts. This review emphasises the necessity of focused mitigation techniques to promote sustainable aquaculture, guaranteeing food security and aiding worldwide efforts to reduce GHG emissions.</t>
  </si>
  <si>
    <t>[Verma, Ajit Kumar; Dheeran, Panneerselvam; Murugesan, Kavitha] ICAR Cent Inst Fisheries Educ, Mumbai, Maharashtra, India; [Krishnani, Kishore Kumar] ICAR Indian Inst Agr Biotechnol, Ranchi, India</t>
  </si>
  <si>
    <t>Indian Council of Agricultural Research (ICAR); ICAR - Central Institute of Fisheries Education; Indian Council of Agricultural Research (ICAR); ICAR - Indian Institute of Agricultural Biotechnology</t>
  </si>
  <si>
    <t>Verma, AK (corresponding author), ICAR Cent Inst Fisheries Educ, Mumbai, Maharashtra, India.</t>
  </si>
  <si>
    <t>akverma@cife.edu.in</t>
  </si>
  <si>
    <t>Krishnani, K/B-2553-2012</t>
  </si>
  <si>
    <t>WALTER DE GRUYTER GMBH</t>
  </si>
  <si>
    <t>GENTHINER STRASSE 13, D-10785 BERLIN, GERMANY</t>
  </si>
  <si>
    <t>1642-3402</t>
  </si>
  <si>
    <t>2300-8733</t>
  </si>
  <si>
    <t>ANN ANIM SCI</t>
  </si>
  <si>
    <t>Ann. Anim. Sci.</t>
  </si>
  <si>
    <t>2025 AUG 20</t>
  </si>
  <si>
    <t>10.2478/aoas-2025-0066</t>
  </si>
  <si>
    <t>6HW0F</t>
  </si>
  <si>
    <t>WOS:001553724100001</t>
  </si>
  <si>
    <t>Xu, XT; Xiao, C; Yu, YD; Ni, XK; Yu, QY; Zhang, L</t>
  </si>
  <si>
    <t>Xu, Xintong; Xiao, Chao; Yu, Yadi; Ni, Xiaokang; Yu, Qingye; Zhang, Ling</t>
  </si>
  <si>
    <t>Upland switchgrass enhances phytoremediation and promotes carbon sequestration in cadmium-contaminated soils</t>
  </si>
  <si>
    <t>PLANT AND SOIL</t>
  </si>
  <si>
    <t>Cadmium contamination; Switchgrass; NECB; Phytoremediation; Greenhouse gas emissions</t>
  </si>
  <si>
    <t>NITROGEN-FERTILIZATION; AGRICULTURAL SOILS; USE EFFICIENCY; BIOMASS YIELD; PRODUCTIVITY; TOLERANCE; L.</t>
  </si>
  <si>
    <t>AimsSoil cadmium (Cd) contamination and associated carbon loss are critical environmental issues. Switchgrass (Panicum virgatum L.) cultivation offers a solution by integrating phytoremediation with carbon sequestration.MethodsWe conducted a one-year pot experiment to evaluate two switchgrass ecotypes (upland and lowland) under nitrogen (N) regimes (0, 60 kg N ha-1) across five soil Cd concentrations (0, 1, 10, 20, and 30 mg kg-1). Biomass allocation, N uptake efficiency, Cd phytoextraction, greenhouse gas (GHG) emissions, and net ecosystem carbon balance (NECB) were systematically quantified.ResultsUnder high Cd stress (30 mg kg-1), the upland ecotype showed stronger carbon sequestration stability with a more stable NECB by reducing 19% root/shoot ratio (RSR), whereas the lowland exhibited a significant decline, increasing its RSR by 26%. N application strongly promoted Cd phytoextraction, increasing it by 165% in the upland ecotype, though N2O emissions also rose by 22-57%. The upland also demonstrated superior carbon sequestration stability, with only a 6% increase in CO2 emissions under high Cd, versus 25% for the lowland.ConclusionsOur findings underscore the superior capacity of the upland ecotype for simultaneous Cd phytoremediation and carbon stabilization, suggesting that ecotype-specific N management can optimize environmental outcomes.</t>
  </si>
  <si>
    <t>[Xu, Xintong; Yu, Yadi; Ni, Xiaokang; Yu, Qingye; Zhang, Ling] Jiangxi Agr Univ, Coll Forestry, Jiangxi Prov Key Lab Subtrop Forest Resources Cult, Nanchang 330045, Peoples R China; [Xiao, Chao] Jiangxi Agr Univ, Key Lab Agr Resources &amp; Ecol Poyang Lake Watershed, Minist Agr &amp; Rural Affairs China, Nanchang 330045, Peoples R China</t>
  </si>
  <si>
    <t>Jiangxi Agricultural University; Jiangxi Agricultural University</t>
  </si>
  <si>
    <t>Zhang, L (corresponding author), Jiangxi Agr Univ, Coll Forestry, Jiangxi Prov Key Lab Subtrop Forest Resources Cult, Nanchang 330045, Peoples R China.</t>
  </si>
  <si>
    <t>lingzhang09@126.com</t>
  </si>
  <si>
    <t>Jiangxi Provincial Natural Science Foundation [20224BAB205032, 20252BAC200270]; Early-Career Young Scientists and Technologists Project of Jiangxi Province [20252BEJ730057]; National Natural Science Foundation of China [42507475]</t>
  </si>
  <si>
    <t>Jiangxi Provincial Natural Science Foundation; Early-Career Young Scientists and Technologists Project of Jiangxi Province; National Natural Science Foundation of China(National Natural Science Foundation of China (NSFC))</t>
  </si>
  <si>
    <t>This work was jointly supported by National Natural Science Foundation of China (42507475) and Jiangxi Provincial Natural Science Foundation (20224BAB205032, 20252BAC200271), and Early-Career Young Scientists and Technologists Project of Jiangxi Province (20252BEJ730057).</t>
  </si>
  <si>
    <t>0032-079X</t>
  </si>
  <si>
    <t>1573-5036</t>
  </si>
  <si>
    <t>PLANT SOIL</t>
  </si>
  <si>
    <t>Plant Soil</t>
  </si>
  <si>
    <t>2025 NOV 22</t>
  </si>
  <si>
    <t>10.1007/s11104-025-08071-5</t>
  </si>
  <si>
    <t>Agronomy; Plant Sciences; Soil Science</t>
  </si>
  <si>
    <t>A9621</t>
  </si>
  <si>
    <t>WOS:001620047700001</t>
  </si>
  <si>
    <t>Su, LF; Liu, Y; Tan, LS; Zhou, XL; Wang, T; She, YY; Huang, JF; Cai, YB; Li, SH; Guo, PP; Luo, M</t>
  </si>
  <si>
    <t>Su, Lifei; Liu, Yi; Tan, Lishan; Zhou, Xiangling; Wang, Ting; She, Yinyin; Huang, Jiafang; Cai, Yuanbin; Li, Shihua; Guo, Pingping; Luo, Min</t>
  </si>
  <si>
    <t>Hydrolase-oxidase responses mediate distinct carbon dynamics following wetland conversion to paddy versus upland systems</t>
  </si>
  <si>
    <t>Meta-analysis; Soil enzyme activities; Soil organic carbon; Wetland conversion; Land-use change; Conversion duration</t>
  </si>
  <si>
    <t>EXTRACELLULAR ENZYME-ACTIVITIES; DISSOLVED ORGANIC-CARBON; SOIL; FERTILIZATION; STOICHIOMETRY; METAANALYSIS; MODELS</t>
  </si>
  <si>
    <t>Extensive conversion of natural wetlands to agricultural systems threatens their carbon storage capacity. Predicting post-conversion soil organic carbon (SOC) dynamics remains challenging, largely due to poorly characterized SOC decomposition patterns across conversion pathways. Given that hydrolases target labile polymers and oxidases degrade recalcitrant polymers, their differential responses may explain divergent SOC dynamics following wetland conversion. Through a global meta-analysis (424 observations from 113 studies), we assessed enzymatic responses following conversion to paddies or uplands. We found three key patterns: (i) Conversion to paddies increased hydrolase activities by 83 % (95 % CIs: 50-123 %) while maintaining stable oxidase levels (p &gt; 0.05), whereas conversion to uplands elevated both hydrolase [47 % (27-71 %)] and oxidase [54 % (27-88 %)] activities; (ii) Pre-conversion wetland biogeochemical properties (e.g., coastal salinity, peatland acidity) modulated enzymatic responses following conversion to uplands but not to paddies; and (iii) Conversion to uplands exhibited a rapid early-stage (0-30 years) increase in hydrolase activities, which subsequently reached a steady state. In contrast, conversion to paddies showed no discernible change in hydrolases initially, with a significant accumulation occurring only in the later period (30-150 years). Oxidase activities demonstrated a progressive increase in uplands over time but remained stable in paddies across all time periods. Critically, oxidase response negatively correlated with SOC contents, while hydrolase responses were positively linked to CO2 emission fluxes. These relationships suggested that conversion to paddies may preserve SOC stocks despite increasing CO2 emissions, while conversion to uplands may result in substantial SOC loss with relatively low greenhouse gas emissions. Our findings confirmed differential enzymatic responses across conversion pathways, providing enzyme-based insights for explaining post-conversion SOC dynamics in converted agricultural systems.</t>
  </si>
  <si>
    <t>[Su, Lifei; Liu, Yi; Zhou, Xiangling; Wang, Ting; She, Yinyin; Cai, Yuanbin; Luo, Min] Fuzhou Univ, Coll Environm &amp; Safety Engn, Fuzhou 350108, Peoples R China; [Su, Lifei; Liu, Yi; Zhou, Xiangling; Wang, Ting; Guo, Pingping; Luo, Min] Natl Forestry &amp; Grassland Adm, Wetland Ecosyst Res Stn Minjiang Estuary, Fuzhou 350200, Peoples R China; [Tan, Lishan] Chinese Univ Hong Kong, Dept Geog &amp; Resource Management, Hong Kong, Peoples R China; [Huang, Jiafang] Fujian Normal Univ, Key Lab Humid Subtrop Eco Geog Proc, Minist Educ, Fuzhou 350108, Peoples R China; [Li, Shihua] Fuzhou Univ, Coll Adv Mfg, Jinjiang 362251, Peoples R China; [Guo, Pingping] Fujian Agr &amp; Forestry Univ, Coll JunCao Sci &amp; Ecol, Fuzhou 350002, Peoples R China; [Guo, Pingping] Fujian Minjiang River Estuary Wetland Natl Nat Res, Fuzhou 350200, Peoples R China</t>
  </si>
  <si>
    <t>Fuzhou University; Chinese University of Hong Kong; Fujian Normal University; Fuzhou University; Fujian Agriculture &amp; Forestry University</t>
  </si>
  <si>
    <t>Luo, M (corresponding author), Fuzhou Univ, Coll Environm &amp; Safety Engn, Fuzhou 350108, Peoples R China.</t>
  </si>
  <si>
    <t>luomin@fzu.edu.cn</t>
  </si>
  <si>
    <t>huang, jiafang/KGM-5757-2024</t>
  </si>
  <si>
    <t>National Natural Science Foundation of China [32471672, 32071598, 42401110]; Natural Science Foundation of Fujian Province [2024J01274, 2020J01503, 2024J01446]; Fujian Minjiang River Estuary Wetland National Nature Reserve Administrative Office [MJHKSD20230202]; Carbon Trade in the Coastal Wetlands of Fuzhou City [350182]; FJYHZB [GK] [2024001]; Scientific Research and Monitoring Project for Nature Reserves in Fuzhou City [2023RZRBHD01]; Key Laboratory of Ocean Space Resource Management Technology, MNR [KF-2024-108]</t>
  </si>
  <si>
    <t>National Natural Science Foundation of China(National Natural Science Foundation of China (NSFC)); Natural Science Foundation of Fujian Province(Natural Science Foundation of Fujian Province); Fujian Minjiang River Estuary Wetland National Nature Reserve Administrative Office; Carbon Trade in the Coastal Wetlands of Fuzhou City; FJYHZB [GK]; Scientific Research and Monitoring Project for Nature Reserves in Fuzhou City; Key Laboratory of Ocean Space Resource Management Technology, MNR</t>
  </si>
  <si>
    <t>We thank all researchers who provided data for this meta-analysis, especially Prof. Hojeong Kang (Yonsei University) and Dr. Michael Peacock (University of Liverpool) . This work was financially supported by grants from the National Natural Science Foundation of China (32471672; 32071598; 42401110) , the Natural Science Foundation of Fujian Province (2024J01274; 2020J01503; 2024J01446) , the Fujian Minjiang River Estuary Wetland National Nature Reserve Administra-tive Office (MJHKSD20230202) , the Study on the Current Status of Blue Carbon Sequestration and Carbon Trade in the Coastal Wetlands of Fuzhou City ( [350182] FJYHZB [GK] 2024001) , the Scientific Research and Monitoring Project for Nature Reserves in Fuzhou City (2023RZRBHD01) , and the Key Laboratory of Ocean Space Resource Management Technology, MNR (KF-2024-108) .</t>
  </si>
  <si>
    <t>10.1016/j.soilbio.2025.109973</t>
  </si>
  <si>
    <t>7NR9H</t>
  </si>
  <si>
    <t>WOS:001575352500002</t>
  </si>
  <si>
    <t>Choi, JY; Nam, J; Kim, YU; Kim, S</t>
  </si>
  <si>
    <t>Choi, Ji Yong; Nam, Jihee; Kim, Young Uk; Kim, Sumin</t>
  </si>
  <si>
    <t>Sustainable hybrid solution to enhancing thermal transport of PCMs using carbon nanomaterial-modified biowaste-derived biochar</t>
  </si>
  <si>
    <t>SUSTAINABLE ENERGY TECHNOLOGIES AND ASSESSMENTS</t>
  </si>
  <si>
    <t>Agricultural waste valorization; Biochar; Modified matrix; Thermal transport; Energy storage efficiency</t>
  </si>
  <si>
    <t>PHASE-CHANGE MATERIAL; GREEN BUILDING-MATERIALS; OPTIMIZATION; PERFORMANCE</t>
  </si>
  <si>
    <t>Integrating advanced thermal energy storage (TES) materials into buildings is vital for reducing energy consumption and achieving net-zero emissions. As an eco-friendly solution, utilizing their porous structure and addressing disposal challenges, corn cobs present significant potential as a sustainable feedstock for biochar. This study proposes a sustainable strategy using agricultural waste-specifically, corn cobs-to produce biochar, addressing both waste management and material efficiency challenges. A composite of biochar and expandable graphite (BEG) was synthesized via sonication-assisted methods to overcome the inherently low thermal conductivity of biochar. The BEG composite achieved thermal conductivity of 1.0339 W/m &amp; sdot;K and latent heat of 34.27 J/g, while maintaining strong thermal stability and long-term durability. Coconut oil, a biodegradable and renewable fatty acid-based phase change material (PCM), was employed as the thermal storage medium, offering an eco-friendly alternative to petroleum-based PCMs. The synergistic combination of biochar and graphite significantly enhanced heat transfer performance, demonstrating potential for integration into energy-efficient building systems. By utilizing renewable resources and enhancing TES effectiveness, this material innovation supports circular economic principles and contributes to sustainable energy technologies for the built environment. This approach offers a scalable, low-impact solution to improve thermal regulation and reduce buildingsector carbon emissions, aligning with global climate targets.</t>
  </si>
  <si>
    <t>[Choi, Ji Yong; Nam, Jihee; Kim, Young Uk; Kim, Sumin] Yonsei Univ, Dept Architecture &amp; Architectural Engn, Seoul 03722, South Korea</t>
  </si>
  <si>
    <t>Yonsei University</t>
  </si>
  <si>
    <t>Kim, S (corresponding author), Yonsei Univ, Dept Architecture &amp; Architectural Engn, Seoul 03722, South Korea.</t>
  </si>
  <si>
    <t>kimsumin@yonsei.ac.kr</t>
  </si>
  <si>
    <t>National Research Foundation of Korea (NRF) - Korea government (MSIT) [RS-2022-NR070597]</t>
  </si>
  <si>
    <t>National Research Foundation of Korea (NRF) - Korea government (MSIT)(National Research Foundation of KoreaMinistry of Science, ICT &amp; Future Planning, Republic of KoreaMinistry of Science &amp; ICT (MSIT), Republic of Korea)</t>
  </si>
  <si>
    <t>This work was supported by the National Research Foundation of Korea (NRF) grant funded by the Korea government (MSIT) (No. RS-2022-NR070597) .</t>
  </si>
  <si>
    <t>2213-1388</t>
  </si>
  <si>
    <t>2213-1396</t>
  </si>
  <si>
    <t>SUSTAIN ENERGY TECHN</t>
  </si>
  <si>
    <t>Sustain. Energy Technol. Assess.</t>
  </si>
  <si>
    <t>10.1016/j.seta.2025.104509</t>
  </si>
  <si>
    <t>6RA6G</t>
  </si>
  <si>
    <t>WOS:001559964700001</t>
  </si>
  <si>
    <t>Morant, MV; Eagle, AJ; van de Ven, G; Lavallee, JM; Zahra, J; de Wit, A; Hijbeek, R</t>
  </si>
  <si>
    <t>Morant, Marti Vidal; Eagle, Alison J.; van de Ven, Gerrie; Lavallee, Jocelyn M.; Zahra, Justin; de Wit, Allard; Hijbeek, Renske</t>
  </si>
  <si>
    <t>Carbon farming in Europe, policies of symbolic reassurance</t>
  </si>
  <si>
    <t>Perspective; soil carbon sequestration; carbon dioxide removal; common agricultural policy; framing; crcf; carbon removal certification framework; green deal</t>
  </si>
  <si>
    <t>SOIL ORGANIC-CARBON; STRUGGLE</t>
  </si>
  <si>
    <t>In this perspective, we unpack how carbon farming is presented in current European Union (EU) policies. Specifically, we examine three EU frameworks: the European Green Deal, the Common Agricultural Policy (CAP) and the Carbon Removals and Carbon Farming (CRCF) regulation, assessing their claims related to carbon farming on arable land. Key problematic tensions emerge. The European green deal sets broad expectations of carbon removals but the role of carbon farming is undefined. In the CRCF, market-based incentives and their resulting economic benefits take centre stage, but the policy remains silent on the end-use of carbon removal and carbon reduction credits. This omission risks turning a formal separation of removals and reductions into a practical equivalence, exacerbating the risk of mitigation deterrence (i.e. the delay of essential emission cuts). Meanwhile, the CAP employs broad indicators without explicitly measuring soil carbon sequestration, creating ambiguity about the real mitigation impact. We argue that underpinning these tensions is a tendency to simplify soil processes and narrow them into measurable units, ignoring important uncertainties, and creating an illusion of control and progress. In doing so, policies risk becoming a form of symbolic reassurance, appearing effective while stalling further meaningful action and missing opportunities to link carbon farming with broader environmental goals and ensure the sustained adoption of farming practices.</t>
  </si>
  <si>
    <t>[Morant, Marti Vidal; van de Ven, Gerrie; Hijbeek, Renske] Wageningen Univ &amp; Res, Plant Prod Syst Grp, Wageningen, Netherlands; [Eagle, Alison J.; Lavallee, Jocelyn M.; Zahra, Justin] Environm Def Fund, New York, NY USA; [de Wit, Allard] Wageningen Univ &amp; Res, Wageningen Environm Res, Wageningen, Netherlands</t>
  </si>
  <si>
    <t>Wageningen University &amp; Research; Environmental Defense Fund; Wageningen University &amp; Research</t>
  </si>
  <si>
    <t>Morant, MV (corresponding author), Wageningen Univ &amp; Res, Plant Prod Syst Grp, POB 430, NL-6700 AK Wageningen, Netherlands.</t>
  </si>
  <si>
    <t>marti.vidalmorant@wur.nl</t>
  </si>
  <si>
    <t>Lavallee, Jocelyn/I-7658-2014; Eagle, Alison/AAN-7484-2021; Hijbeek, Renske/KAL-8797-2024</t>
  </si>
  <si>
    <t>King Philantropies</t>
  </si>
  <si>
    <t>The authors disclosed receipt of the following financial support for the research, authorship, and/or publication of this article: This work was commissioned and financed by Environmental Defense Fund with an award from King Philanthropies.</t>
  </si>
  <si>
    <t>10.1177/00307270251395647</t>
  </si>
  <si>
    <t>L6775</t>
  </si>
  <si>
    <t>Green Accepted, hybrid</t>
  </si>
  <si>
    <t>WOS:001616461900001</t>
  </si>
  <si>
    <t>Bhooshan, N; Raman, MS; Gupta, S; Suyal, G; Singh, A; Sharma, A</t>
  </si>
  <si>
    <t>Bhooshan, Neeru; Raman, M. S.; Gupta, Sakshi; Suyal, Geetika; Singh, Amarjeet; Sharma, Akriti</t>
  </si>
  <si>
    <t>Revolutionizing agriculture: role of agricultural mechanization and global trends in farming technology</t>
  </si>
  <si>
    <t>CURRENT SCIENCE</t>
  </si>
  <si>
    <t>Farm mechanization; IPC technologies; patents; prominent assignor; XLPAT database</t>
  </si>
  <si>
    <t>Agricultural mechanization plays a pivotal role in transforming the farming sector across the globe. The number of patents granted in the field of agricultural mechanization hold significance as they encourage innovation, protect intellectual property and drive technological advancements. The present study examined patents data collected from XLPAT database, wherein 500,000 records out of which 479,010 patent grants/applications were considered. Trajectory of patents during COVID pandemic showed there was an apparent downturn in both the quantity of patent applications submitted and the number of patents officially granted. Developed countries have exhibited varying trends in agricultural mechanization and patent activities. China, the United States and India stand as examples. China has rapidly adopted mechanization in its agriculture, contributing to higher yields and efficiency. The United States has a long history of mechanized farming, and its advancements in this field have greatly impacted global agriculture. The standardization of reaping and threshing offer better agricultural equipments by agricultural startups. Expansion of patents in farm mechanization has led to increased productivity, resource efficiency, equity for small and marginal holders, affordability, eco-consciousness and food security.</t>
  </si>
  <si>
    <t>[Bhooshan, Neeru] Indian Council Agr Res, Intellectual Property &amp; Technol Management &amp; Prior, Monitoring &amp; Evaluat, New Delhi 110012, India; [Raman, M. S.; Gupta, Sakshi; Suyal, Geetika; Singh, Amarjeet; Sharma, Akriti] Indian Agr Res Inst, Zonal Technol Management &amp; Business Planning &amp; Dev, Pusa Krishi, New Delhi 110012, India</t>
  </si>
  <si>
    <t>Indian Council of Agricultural Research (ICAR); Indian Council of Agricultural Research (ICAR); ICAR - Indian Agricultural Research Institute</t>
  </si>
  <si>
    <t>Raman, MS (corresponding author), Indian Agr Res Inst, Zonal Technol Management &amp; Business Planning &amp; Dev, Pusa Krishi, New Delhi 110012, India.</t>
  </si>
  <si>
    <t>ramanms88@gmail.com</t>
  </si>
  <si>
    <t>INDIAN ACAD SCIENCES</t>
  </si>
  <si>
    <t>BANGALORE</t>
  </si>
  <si>
    <t>C V RAMAN AVENUE, SADASHIVANAGAR, P B #8005, BANGALORE 560 080, INDIA</t>
  </si>
  <si>
    <t>0011-3891</t>
  </si>
  <si>
    <t>CURR SCI INDIA</t>
  </si>
  <si>
    <t>Curr. Sci.</t>
  </si>
  <si>
    <t>10.18520/cs/v126/i10/1209-1216</t>
  </si>
  <si>
    <t>UL4S7</t>
  </si>
  <si>
    <t>WOS:001248207500007</t>
  </si>
  <si>
    <t>Agizan, S; Bayramoglu, Z; Özbek, O; Gökdogan, O</t>
  </si>
  <si>
    <t>Agizan, Sueheyla; Bayramoglu, Zeki; Ozbek, Osman; Gokdogan, Osman</t>
  </si>
  <si>
    <t>Energy Use, Carbon Emissions, and Irrigation of Orange Production in Türkiye</t>
  </si>
  <si>
    <t>Orange; Energy use; Carbon emissions; Irrigation; T &amp; uuml;rkiye</t>
  </si>
  <si>
    <t>GREENHOUSE-GAS EMISSIONS; USE EFFICIENCY; ECONOMIC-ANALYSIS; DIOXIDE EMISSIONS; PRODUCTION AGRICULTURE; CITRUS PRODUCTION; USAGE EFFICIENCY; TOKAT PROVINCE; COST-ANALYSIS; USE PATTERN</t>
  </si>
  <si>
    <t>The objective of this study is to investigate the energy efficiency, greenhouse gas emissions and irrigation associated with orange production. The study will provide valuable insights into the environmental impact of orange production. The study was conducted during the 2020-2021 agricultural season in the province of Adana. The study data were collected from the 31 orange producers determined according to stratified random sampling method in Adana province. The aim of this study is to evaluate the energy use efficiency, irrigation activities and carbon emission levels of orange production in Adana province of T &amp; uuml;rkiye, based on the relevant literature. The study findings reveal that the energy required for orange production includes human labor 5033.73 MJ ha-1 (10.58%), machinery 531 MJ ha-1 (1.12%), pesticides 2730.00 MJ ha-1 (5.74%), farmyard manure 1163.89 MJ ha-1 (2.45%), chemical fertilizers 15,344.60 MJ ha-1 (32.26%), diesel fuel 822.99 MJ ha-1 (1.73%), irrigation water 3123.65 MJ ha-1 (6.57%), electricity 17,226 MJ ha-1 (36.22%), transportation 1587.08 MJ ha-1 (3.34%). The total carbon emissions resulting from orange production were calculated to be 5343.30 kgCO2eq kg-1. Of all emission sources, the use of electricity was found to have the highest contribution with 54.45%.</t>
  </si>
  <si>
    <t>[Agizan, Sueheyla] Selcuk Univ, Cumra Vocat Sch, Konya, Turkiye; [Bayramoglu, Zeki] Selcuk Univ, Fac Agr, Dept Agr Econ, Konya, Turkiye; [Ozbek, Osman] Selcuk Univ, Fac Agr, Dept Agr Machinery &amp; Technol Engn, Konya, Turkiye; [Gokdogan, Osman] Isparta Univ Appl Sci, Fac Agr, Dept Agr Machinery &amp; Technol Engn, Isparta, Turkiye</t>
  </si>
  <si>
    <t>Selcuk University; Selcuk University; Selcuk University; Isparta University of Applied Sciences</t>
  </si>
  <si>
    <t>Agizan, S (corresponding author), Selcuk Univ, Cumra Vocat Sch, Konya, Turkiye.</t>
  </si>
  <si>
    <t>suheyla.agizan@selcuk.edu.tr</t>
  </si>
  <si>
    <t>GOKDOGAN, Osman/JKI-1216-2023; Bayramoglu, Zeki/AAS-5972-2021; Özbek, Osman/AGZ-8441-2022</t>
  </si>
  <si>
    <t>Ağızan, Kemalettin/0000-0002-2340-2614</t>
  </si>
  <si>
    <t>10.1007/s10341-024-01231-4</t>
  </si>
  <si>
    <t>S8D2Y</t>
  </si>
  <si>
    <t>WOS:001400456800001</t>
  </si>
  <si>
    <t>Freidenreich, A; Dattamudi, S; Li, YCC; Jayachandran, K</t>
  </si>
  <si>
    <t>Freidenreich, Ariel; Dattamudi, Sanku; Li, Yuncong C.; Jayachandran, Krishnaswamy</t>
  </si>
  <si>
    <t>Soil Respiration and Carbon Balance Under Cover Crop in a no-Till Tropical Fruit Orchard</t>
  </si>
  <si>
    <t>cover crop; Sunn hemp (Crotalaria juncea); Velvet bean (Mucuna pruriens); Carambola (Averrhoa carambola); soil health; soil respiration; carbon balance</t>
  </si>
  <si>
    <t>POULTRY MANURE; EMISSIONS; MINERALIZATION; N2O; CO2</t>
  </si>
  <si>
    <t>Agricultural practices, specifically crop and land management schemes, greatly influence the ability of soil to produce CO2 under varying conditions. A 2-year research study was planned to quantify carbon-dioxide (CO2) emission fluxes and total C (TC) contribution in a no-till tropical soil under carambola with sunn hemp-velvet bean cover cropping (CC) systems. Composted poultry manure (PM) was applied as an additional N source. The treatments were fallow control (F), fallow with PM (FM), sunn hemp (SH), SH with PM (SHM), velvet bean (VB), and VB with PM (VBM). Average daily CO2 emission from VB was 23 and 15% higher than control and SH plots, respectively, during CC growing season. Similarly, CO2 emission after CC termination was highest from VB plots. About 17% higher CO2-C emission was observed from manure applied plots which indicates that additional food sources stimulated microbial activity in the soils and subsequently produced more CO2. However, total C contribution in SH plots were significantly higher than in VB plots and was more apparent when manure was not applied. Soil and air temperature played key roles in CO2 emission, specifically during the CC growing season. Considering both input and output parameters of C in the soil, our results suggest that SH has the better potential in reducing CO2 emission and accumulating more C in the soil than VB in tropical fruit orchard.</t>
  </si>
  <si>
    <t>[Freidenreich, Ariel; Dattamudi, Sanku; Jayachandran, Krishnaswamy] Florida Int Univ, Dept Earth &amp; Environm, Miami, FL 33199 USA; [Li, Yuncong C.] Univ Florida, IFAS, Ctr Trop Res &amp; Educ, Soil &amp; Water Sci Dept, Homestead, FL 33031 USA</t>
  </si>
  <si>
    <t>State University System of Florida; Florida International University; State University System of Florida; University of Florida</t>
  </si>
  <si>
    <t>Jayachandran, K (corresponding author), Florida Int Univ, Dept Earth &amp; Environm, Miami, FL 33199 USA.</t>
  </si>
  <si>
    <t>jayachan@fiu.edu</t>
  </si>
  <si>
    <t>; Li, Yuncong/B-9517-2009; Dattamudi, Sanku/K-4227-2019</t>
  </si>
  <si>
    <t>Dattamudi, Sanku/0000-0001-6875-4640; Freidenreich, Ariel/0000-0002-0665-3569; Jayachanan, Krish/0000-0002-4154-9812;</t>
  </si>
  <si>
    <t>DEC 23</t>
  </si>
  <si>
    <t>10.3389/fenvs.2021.766638</t>
  </si>
  <si>
    <t>YH9UX</t>
  </si>
  <si>
    <t>WOS:000743505600001</t>
  </si>
  <si>
    <t>Li, JH; Li, H; Zhang, Q; Shao, HB; Gao, CH; Zhang, XZ</t>
  </si>
  <si>
    <t>Li, Jianhua; Li, Hua; Zhang, Qiang; Shao, Hongbo; Gao, Chunhua; Zhang, Xunzhong</t>
  </si>
  <si>
    <t>Effects of fertilization and straw return methods on the soil carbon pool and CO2 emission in a reclaimed mine spoil in Shanxi Province, China</t>
  </si>
  <si>
    <t>Soil organic C pool; Soil CO2 emission; Reclaimed mine spoil; Restoration measures; Shanxi Province</t>
  </si>
  <si>
    <t>GREENHOUSE-GAS EMISSIONS; LONG-TERM FERTILIZATION; YELLOW-RIVER DELTA; OPENCAST COAL-MINE; ORGANIC-CARBON; CHEMICAL FERTILIZER; AGRICULTURAL SOILS; QUALITY ATTRIBUTES; NITROGEN ADDITION; TALLGRASS PRAIRIE</t>
  </si>
  <si>
    <t>Reclaimed soil is similar to an empty cup with a large carbon (C) sequestration potential. Agricultural management practices strongly influence C storage and soil carbon dioxide (CO2) emission. The objective of this study was to identify the effects of fertilization and straw return methods on the soil C pool and CO2 emission in a reclaimed mine spoil. Thus, we studied the effects of four fertilization treatments [chemical fertilizer (NP), manure (M), 50% M plus 50% NP (NPM), and unfertilized control (CK)] and three straw return methods [no straw return (no straw), return of straw mixed with soil (straw mixing), and return of straw to the surface of the soil (straw mulching)] in a mine reclamation region by examining changes in the soil C pool and CO2 emission. The soil C pool was evaluated by acid hydrolysis, considering three pools: (a) labile pool I (LP I), obtained by hydrolysis with 5 N H2SO4 at 105 degrees C for 30 min; (b) labile pool II (LP II), obtained by hydrolysis with 26 N H2SO4 at room temperature overnight, followed by 2 N H2SO4 at 105 degrees C for 3 h; and (c) the recalcitrant pool, measured as the unhydrolyzed residue. The CO2 emission/C sequestration and CO2 emission/grain yield ratios were used as indicators of C emission. Compared with the CK, the NPM treatment was the most efficient among the fertilization treatments in increasing grain yield (136%) and C sequestration (311%) and reducing the CO2 emission/C sequestration (62%) and CO2 emission/grain yield (32%) ratios. The straw mixing treatment had more soil organic carbon (SOC), a larger LP I and LP II, and more C sequestration than the other straw return treatments. The addition of manure resulted in a higher distribution rate of new organic C to the labile C pool (73-78%) than the addition of inorganic fertilizer (45%). Soil C emissions were mainly concentrated in the maize growing season, accounting for more than 80% of the total annual C emissions. LP I, LP II and CO2 emission were significantly positive correlated with SOC and yield. Therefore, soil C pools and CO2 emissions are significantly influenced by fertilization regimes and straw return methods, which should be used to important indicators to estimate the C balance in agro-ecosystems during the process of mine spoil reclamation.</t>
  </si>
  <si>
    <t>[Li, Jianhua] Shanxi Univ, Inst Resources &amp; Environm Engn, Taiyuan 030006, Shanxi, Peoples R China; [Li, Jianhua; Zhang, Qiang; Gao, Chunhua] Shanxi Acad Agr Sci, Inst Agr Environm &amp; Resources, Taiyuan 030031, Shanxi, Peoples R China; [Li, Hua] Shanxi Univ, Coll Environm &amp; Resource Sci, Taiyuan 030006, Shanxi, Peoples R China; [Shao, Hongbo] Jiangsu Acad Agr Sci JAAS, Inst Agr Resources &amp; Environm, Key Lab Agr Environm Lower Reaches Yangtze River, Salt Soil Agr Ctr,Minist Agr &amp; Rural Affairs Peop, Nanjing 210014, Jiangsu, Peoples R China; [Shao, Hongbo] Qingdao Univ Sci &amp; Technol, Coll Environm &amp; Safety Engn, Qingdao 266000, Shandong, Peoples R China; [Shao, Hongbo] Yancheng Teachers Univ, Jiangsu Synthet Innovat Ctr Coastal Bioagr, Jiangsu Key Lab Bioresources Saline Soils, Yancheng 224002, Peoples R China; [Zhang, Xunzhong] Virginia Polytech Inst &amp; State Univ, Dept Crop &amp; Soil Environm Sci, Blacksburg, VA 24061 USA</t>
  </si>
  <si>
    <t>Shanxi University; Shanxi Agricultural University; Shanxi University; Qingdao University of Science &amp; Technology; Yancheng Teachers University; Virginia Polytechnic Institute &amp; State University</t>
  </si>
  <si>
    <t>Shao, HB (corresponding author), Shanxi Univ, Inst Resources &amp; Environm Engn, Taiyuan 030006, Shanxi, Peoples R China.;Zhang, Q (corresponding author), Shanxi Acad Agr Sci, Inst Agr Environm &amp; Resources, Taiyuan 030031, Shanxi, Peoples R China.;Li, H (corresponding author), Shanxi Univ, Coll Environm &amp; Resource Sci, Taiyuan 030006, Shanxi, Peoples R China.</t>
  </si>
  <si>
    <t>lihua@sxu.edu.cn; sxsnkytfs@163.com; shaohongbochu@126.com</t>
  </si>
  <si>
    <t>Zhang, Qiang/IWU-5000-2023; Li, Jianhua/OIU-4630-2025</t>
  </si>
  <si>
    <t>National Natural Science Foundation of China [U1710255]; Agricultural Technology Innovation Program of Shanxi Academy of Agricultural Sciences, China [YCX2018D2YX16]; Excellent Scientist Plan of JAAS, China</t>
  </si>
  <si>
    <t>National Natural Science Foundation of China(National Natural Science Foundation of China (NSFC)); Agricultural Technology Innovation Program of Shanxi Academy of Agricultural Sciences, China; Excellent Scientist Plan of JAAS, China</t>
  </si>
  <si>
    <t>This research was supported by the Joint Funds of the National Natural Science Foundation of China (U1710255), the Agricultural Technology Innovation Program of Shanxi Academy of Agricultural Sciences, China (YCX2018D2YX16), and The Excellent Scientist Plan of JAAS, China. We also thank Prof. Russell Yost for providing useful advice and assisting in interpretation.</t>
  </si>
  <si>
    <t>10.1016/j.still.2019.104361</t>
  </si>
  <si>
    <t>JJ3IA</t>
  </si>
  <si>
    <t>WOS:000494053700010</t>
  </si>
  <si>
    <t>Qureshi, AS</t>
  </si>
  <si>
    <t>Qureshi, Asad Sarwar</t>
  </si>
  <si>
    <t>REDUCING CARBON EMISSIONS THROUGH IMPROVED IRRIGATION MANAGEMENT: A CASE STUDY FROM PAKISTAN</t>
  </si>
  <si>
    <t>IRRIGATION AND DRAINAGE</t>
  </si>
  <si>
    <t>climate change mitigation; CO2 emissions; groundwater-energy nexus; groundwater table; Pakistan; agricultural practices; water management</t>
  </si>
  <si>
    <t>Increasing use of groundwater for irrigation is linked to high energy demand, depleting resources and resulting in a high carbon footprint. This paper explores how improved on-farm irrigation management can help in reducing groundwater extraction, limiting energy consumption and CO2 emissions. In Pakistan, every year about 50 billion cubic metres (BCM) of groundwater is pumped for irrigation, which consumes more than 6 billion kWh of electricity and 3.5 billion litres of diesel. Carbon emissions attributed to this energy use amount to 3.8 million metric tons (MMT) of CO2 per year. Considerable research carried out in Pakistan has suggested that improved irrigation management can significantly reduce the irrigation water applied to different crops. This study revealed that by adopting improved irrigation schedules, water productivity will increase and groundwater withdrawals for irrigation can be reduced by 24 BCM. Reduced groundwater extraction will result in a 62% decline in energy demand (1.5 billion litres of diesel as most of the private tubewells run on diesel) and a 40% reduction in carbon emissions. In addition, a reduction in irrigation applications will also be beneficial for stabilizing groundwater tables and groundwater quality. Copyright (c) 2013 John Wiley &amp; Sons, Ltd.</t>
  </si>
  <si>
    <t>[Qureshi, Asad Sarwar] NDC, Lahore, Pakistan</t>
  </si>
  <si>
    <t>Qureshi, AS (corresponding author), NDC, USAID Master Planning Project, Lahore, Pakistan.</t>
  </si>
  <si>
    <t>Sarwar65@yahoo.com</t>
  </si>
  <si>
    <t>1531-0353</t>
  </si>
  <si>
    <t>1531-0361</t>
  </si>
  <si>
    <t>IRRIG DRAIN</t>
  </si>
  <si>
    <t>Irrig. Drain.</t>
  </si>
  <si>
    <t>10.1002/ird.1795</t>
  </si>
  <si>
    <t>AA5HY</t>
  </si>
  <si>
    <t>WOS:000331127900014</t>
  </si>
  <si>
    <t>Grant, RH; Boehm, MT; Bogan, BW</t>
  </si>
  <si>
    <t>Grant, Richard H.; Boehm, Matthew T.; Bogan, Bill W.</t>
  </si>
  <si>
    <t>Methane and carbon dioxide emissions from manure storage facilities at two free-stall dairies</t>
  </si>
  <si>
    <t>Carbon dioxide; Methane; Dairy; Waste; Emissions; Inverse Lagrangian</t>
  </si>
  <si>
    <t>GAS EMISSIONS; MANAGEMENT; AMMONIA; MODEL; FARM</t>
  </si>
  <si>
    <t>Manure management by dairies is estimated to account for 6% of the greenhouse gas warming potential of all agricultural emissions in the USA. Emissions methane (CH4) and carbon dioxide (CO2) were measured from manure storage facilities at two Midwestern dairies (an Indiana lagoon and two Wisconsin basins). The CH4 concentrations were measured using photoacoustic infrared absorption spectroscopy and flame ionization gas chromatography. The CO2 concentrations were measured using photoacoustic infrared absorption spectroscopy and non-dispersive infrared spectroscopy. Emissions were estimated using a backward Lagrangian Stochastic model with on-site turbulence measurements. The WI basins emitted more CH4 and CO2 than the waste lagoon in IN on an animal basis. Peak emissions were episodic. Mean daily CH4 emissions during the fall (October) from the WI basins and IN lagoon were 295 g hd(-1) d(-1) (374 g AU(-1) d(-1)) and 47 g hd(-1) d(-1) (59 g AU(-1) d(-1)), respectively. Mean CO2 emissions during the fall were 575 g hd(-1) d(-1) (374 g AU(-1) d(-1)) from the WI basins (October) and 107 g hd(-1) d(-1) (135 g AU(-1) d(-1)) from the IN lagoon (September). Emissions were not resolvable (approximately emissions MDL) when the storage area surface was frozen. Methane emissions contributed eight-ten times the radiative warming potential of CO2 (animal basis) at both dairies. Mean daily CO2-equivalent emissions from the WI basins (IN lagoon) ranged from highs of 7.9 kg CO2-e hd(-1) d(-1) in October (2.6 kg CO2-e hd(-1) d(-1) in September) to lows of 1.6 kg CO2-e hd(-1) d(-1) (0.4 kg CO2-e hd(-1) d(-1)) in December through January. Air temperature was correlated with CH4 and CO2 emissions at the WI basin but not the IN lagoon. Wind speed was weakly correlated with CH4 emissions (but not CO2 emissions) at both dairies. While weather conditions were similar, the separation of solids prior to storage contributed to lower CH4 and CO2 emissions and lower greenhouse warming potential per animal. Cooler climatic conditions decreased CH4 and CO2 emissions as well as decreasing the mass ratio of CH4-CO2 emissions. (C) 2015 Elsevier B.V. All rights reserved.</t>
  </si>
  <si>
    <t>[Grant, Richard H.; Boehm, Matthew T.; Bogan, Bill W.] Purdue Univ, W Lafayette, IN 47907 USA</t>
  </si>
  <si>
    <t>Purdue University System; Purdue University</t>
  </si>
  <si>
    <t>Grant, RH (corresponding author), Purdue Univ, W Lafayette, IN 47907 USA.</t>
  </si>
  <si>
    <t>rgrant@purdue.edu</t>
  </si>
  <si>
    <t>Grant, Richard/0000-0001-9464-6942; Bogan, Bill/0009-0009-9367-9158</t>
  </si>
  <si>
    <t>Dairy Research Incorporated; Purdue Climate Change Research Center [1516]</t>
  </si>
  <si>
    <t>Dairy Research Incorporated; Purdue Climate Change Research Center</t>
  </si>
  <si>
    <t>Thanks go to the extensive field help from Jenafer Wolf, Alfred Lawrence, Scott Cortus, Benjamin Evans, Chris Fullerton, Derrick Snyder, Hans Schmitz, and Gianna Hartman. Claude Diehl provided much help in the testing diagnosing of the Innova instrument. This project was supported by Dairy Research Incorporated and is paper #1516 of the Purdue Climate Change Research Center.</t>
  </si>
  <si>
    <t>NOV 15</t>
  </si>
  <si>
    <t>10.1016/j.agrformet.2015.06.008</t>
  </si>
  <si>
    <t>CR3TG</t>
  </si>
  <si>
    <t>WOS:000361255400010</t>
  </si>
  <si>
    <t>Li, J; Bo, Y; Xie, SD</t>
  </si>
  <si>
    <t>Li, Jing; Bo, Yu; Xie, Shaodong</t>
  </si>
  <si>
    <t>Estimating emissions from crop residue open burning in China based on statistics and MODIS fire products</t>
  </si>
  <si>
    <t>JOURNAL OF ENVIRONMENTAL SCIENCES</t>
  </si>
  <si>
    <t>Crop residue open burning; Air quality; Emission inventory; Moderate resolution imaging spectroradiometer (MODIS)</t>
  </si>
  <si>
    <t>PARTICULATE MATTER; TRACE GASES; BIOMASS; POLLUTANTS; COMBUSTION; INVENTORY; AEROSOLS; IMPACT; CARBON; STRAW</t>
  </si>
  <si>
    <t>With the objective of reducing the large uncertainties in the estimations of emissions from crop residue open burning, an improvedmethod for establishing emission inventories of crop residue open burning at a high spatial resolution of 0.25 degrees x 0.25 degrees and a temporal resolution of 1 month was established based on the moderate resolution imaging spectroradiometer (MODIS) Thermal Anomalies/Fire Daily Level3 Global Product (MOD/MYD14A1). Agriculture mechanization ratios and regional crop-specific grain-to-straw ratios were introduced to improve the accuracy of related activity data. Locally observed emission factors were used to calculate the primary pollutant emissions. MODIS satellite data were modified by combining them with county-level agricultural statistical data, which reduced the influence of missing fire counts caused by their small size and cloud cover. The annual emissions of CO2, CO, CH4, nonmethane volatile organic compounds (NMVOCs), N2O, NOx, NH3, SO2, fine particles (PM2.5), organic carbon (OC), and black carbon (BC) were 150.40, 6.70, 0.51, 0.88, 0.01, 0.13, 0.07, 0.43, 1.09, 0.34, and 0.06 Tg, respectively, in 2012. Crop residue open burning emissions displayed typical seasonal and spatial variation. The highest emission regions were the Yellow-Huai River and Yangtse-Huai River areas, and the monthly emissions were highest in June (37%). Uncertainties in the emission estimates, measured as 95% confidence intervals, range from a low of within +/- 126% for N2O to a high of within +/- 169% for NH3. (C) 2016 The Research Center for Eco-Environmental Sciences, Chinese Academy of Sciences. Published by Elsevier B. V.</t>
  </si>
  <si>
    <t>[Li, Jing; Bo, Yu; Xie, Shaodong] Peking Univ, Coll Environm Sci &amp; Engn, State Key Joint Lab Environm Simulat &amp; Pollut Con, Beijing 100871, Peoples R China</t>
  </si>
  <si>
    <t>Xie, SD (corresponding author), Peking Univ, Coll Environm Sci &amp; Engn, State Key Joint Lab Environm Simulat &amp; Pollut Con, Beijing 100871, Peoples R China.</t>
  </si>
  <si>
    <t>sdxie@pku.edu.cn</t>
  </si>
  <si>
    <t>; bo, yu/AAB-3064-2019; Li, Jing/AAP-7094-2021</t>
  </si>
  <si>
    <t>Li, Jing/0000-0001-7682-4311;</t>
  </si>
  <si>
    <t>Environmental Protection Ministry of China [2011467003]; Natural Science Foundation [91544106]</t>
  </si>
  <si>
    <t>Environmental Protection Ministry of China; Natural Science Foundation(National Natural Science Foundation of China (NSFC))</t>
  </si>
  <si>
    <t>This work was supported by the Environmental Protection Ministry of China for Research of Characteristics and Controlling Measures of VOCs Emissions from Typical Anthropogenic Sources (No. 2011467003) and the Natural Science Foundation key project (grant no. 91544106).</t>
  </si>
  <si>
    <t>1001-0742</t>
  </si>
  <si>
    <t>1878-7320</t>
  </si>
  <si>
    <t>J ENVIRON SCI</t>
  </si>
  <si>
    <t>J. Environ. Sci.</t>
  </si>
  <si>
    <t>10.1016/j.jes.2015.08.024</t>
  </si>
  <si>
    <t>DP9AC</t>
  </si>
  <si>
    <t>WOS:000378788100017</t>
  </si>
  <si>
    <t>Mehta, CR; Chandel, NS; Rajwade, YA</t>
  </si>
  <si>
    <t>Mehta, C. R.; Chandel, N. S.; Rajwade, Y. A.</t>
  </si>
  <si>
    <t>Smart Farm Mechanization for Sustainable Indian Agriculture</t>
  </si>
  <si>
    <t>Agricultural Mechanization; Artificial Intelligence; Digital Agriculture; Mobile App; Precision Agriculture</t>
  </si>
  <si>
    <t>Indian agriculture is undergoing transformation due to technological revolution, sprawling urbanization, modern cultivation techniques, and climate change. These changes offer unique challenges and opportunities to transform agriculture to smart, more productive, economically remunerative, socially equitable and environmentally sustainable through adoption of smart mechanization technologies. In this paper, the approaches and strategies are highlighted for sustainable mechanization of Indian agriculture. The smart farm mechanization includes application of sensors, controllers, Internet of Things (IoT), artificial intelligence (AI) and robotics. The research work in the areas of precision agriculture, digital farming, precision irrigation, AI powered machinery, user friendly mobile applications, etc. has gained momentum in India during the last decade. The emerging smart agriculture mechanization combines precision farm with management tools (GPS/GNSS, DSS, VRT), end user ap- plications (platforms, mobile, machines, Agri-bots), data solutions (data IoT, information, tech empowered tools), etc. These technologies not only make farm machinery smart and efficient but also help in saving inputs such as seeds, fertilizers, chemicals, water and energy for sustainable agriculture.</t>
  </si>
  <si>
    <t>[Mehta, C. R.; Chandel, N. S.; Rajwade, Y. A.] ICAR Cent Inst Agr Engn, Bhopal 462038, Madhya Pradesh, India</t>
  </si>
  <si>
    <t>Indian Council of Agricultural Research (ICAR); ICAR - Central Institute of Agricultural Engineering</t>
  </si>
  <si>
    <t>Mehta, CR (corresponding author), ICAR Cent Inst Agr Engn, Bhopal 462038, Madhya Pradesh, India.</t>
  </si>
  <si>
    <t>cr.mehta@icar.gov.in</t>
  </si>
  <si>
    <t>; Rajwade, Yogesh/HHZ-2768-2022</t>
  </si>
  <si>
    <t>Mehta, C R/0000-0003-3329-5805;</t>
  </si>
  <si>
    <t>VK8BR</t>
  </si>
  <si>
    <t>WOS:000755820500022</t>
  </si>
  <si>
    <t>James, PS; Regina, FM</t>
  </si>
  <si>
    <t>James, P. Shaji; Regina, F. Mary</t>
  </si>
  <si>
    <t>Techno-Economic Appraisal for Strategic Planning of Rice Mechanization in Kerala, India</t>
  </si>
  <si>
    <t>Techno-economic analysis of farm machinery in relation to the specific agro-climatic scenario provides vital information required for planning and implementing a mechanization strategy in Kerala. Information on economics and technical data of machinery were acquired from studies taken up in the central zone of Kerala state, India. The highly vulnerable position of rice production systems under low level of mechanization as well as the economic superiority of high level mechanization over low level mechanization was revealed in the comparative evaluation. The plotted curves depicting the variation of hourly operation costs (HOC) and unit area operation costs (UAOC) of different machines with respect to annual working hours (AWH) as well as annual area operated can serve as a guideline in decision making for the use of machinery. The command area of the individual machines and their break even points with respect to AWH and annual area operated were estimated. Rice being the staple food of the people of Kerala state in India, sustaining its cultivation is vital for assuring food security in the State. Over the last three decades, area under rice cultivation has drastically reduced to reach a mere 2,34,013 ha. The annual rice production in Kerala during 2009-10 was only 598,339 tonnes as against the actual requirement of 3,800,000 tonnes. Apart from assuring food security, sustaining paddy fields is also essential for maintenance of ecological balance. Once the rice fields are altered for other crops necessitating fast drainage of rain water, these can no longer serve as ground water recharge zones and the consequential lowering of ground water level results in drinking water shortage. Hence it is imperative to sustain rice cultivation in Kerala for ensuring food security, for assuring ground water and for preservation of biodiversity. The deceleration in the urge to take up rice cultivation is due to the fact that highly labour intensive cultivation practices are not economically sustainable in a state where high wage rates are rampant. Nevertheless, in the periods of intense crop production activity farmers face acute labour shortage. The universal solution to these problems was adoption of mechanized farming, but the pace with which mechanization advanced in the wheat belt of India could not be noticed in Kerala (James, 1989). James and Regina (1993) reported that unlike other agricultural technologies, agricultural mechanization has severe limitations in farm level adoption. James and Ahmed (1994) delineated a strategy for technology transfer in this sector. James et al. (1995) reported that the fear of labour displacement due to agricultural mechanization was baseless and rice farm mechanization offers employment opportunities in the operation, service, manufacture and marketing of machines, which the educated youth of this highly literate state will find more attractive. It has been reported that the cost of cultivation of rice in Kerala can tremendously be reduced by selective mechanization, as the wage rates in Kerala were the highest in India (James et al., 1996). Mechanization of highly labour intensive operations like transplanting and harvesting offers a helping hand to the farmer (James and Pillay, 1998). The important questions in relation to farm mechanization are what type of mechanization is required and, when and how should technology be applied at the farm level (Rijk, 1986). Economic analysis of farm machinery in relation to the specific agro-climatic and socio-economic scenario provides vital information required for planning and implementing a mechanization strategy (James et aL, 2006). Even though a set of machinery for rice cultivation has been proposed by James (2008), a detailed techno-economic analysis was lacking. Wiren-Lehr (2001) emphasized that the objective of concepts to implement sustainability in agriculture is to consolidate the complex and diverse principles of the theoretical paradigm and to transform them into recommendations for agricultural practices. With rice machinery acquiring popularity, farmers and field officers are often unable to adopt appropriate machinery suited to specific conditions of padasekharams (agglomerated paddy fields of varying areal extends and individual fields within a specific padasekharam have identical agro-ecologic and similar geophysical situations). It is a handicap that a strategic guideline is lacking in promulgating an appropriate rice mechanization strategy vis-a-vis the specific situations and hence an analysis of the techno-economic aspects of rice machinery adoption for the central zone of Kerala was attempted.</t>
  </si>
  <si>
    <t>[James, P. Shaji] Kerala Agr Univ, Krishi Vigyan Kendra Palakkad, Pattambi 679306, Kerala, India; [Regina, F. Mary] Kerala Agr Univ, Krishi Vigyan Kendra Thrissur, Trichur 680656, Kerala, India</t>
  </si>
  <si>
    <t>James, PS (corresponding author), Kerala Agr Univ, Krishi Vigyan Kendra Palakkad, Pattambi 679306, Kerala, India.</t>
  </si>
  <si>
    <t>shajijamesp@gmail.com</t>
  </si>
  <si>
    <t>CD8EY</t>
  </si>
  <si>
    <t>WOS:000351329200012</t>
  </si>
  <si>
    <t>Mrema, GC; Kienzle, J; Mpagalile, J</t>
  </si>
  <si>
    <t>Mrema, G. C.; Kienzle, J.; Mpagalile, J.</t>
  </si>
  <si>
    <t>Current Status and Future Prospects of Agricultural Mechanization in Sub-Saharan Africa [SSA]</t>
  </si>
  <si>
    <t>In this paper, data on the demand for mechanization inputs (and potential for its growth) including availability of tractors in countries in sub-Saharan Africa [SSA]* is presented. Overall, the Southern Africa region has the highest number of tractors in use while the Central Africa region relies on human muscle power for primary land preparation on about 85% of the cultivated land. The annual level of importation of tractors and other agricultural mechanization inputs in many SSA countries is quite low and this raises the issue of the sustainability and viability of the franchises and supply chains for agricultural machinery, implements and spare parts. Due to the small size of the market for mechanization inputs in many countries, it is important to consider sub regional mechanisms and cooperation in order to establish viable agricultural machinery supply chains and manufacturing entities. Sustainable agricultural mechanization [SAM] is key to the development of the agricultural sector in SSA. A holistic approach is essential, as SAM contributes to environmental sustainability through the adoption of sustainable land preparation and crop husbandry techniques; to commercial sustainability through the use of business models which efficiently and profitably provide mechanization inputs and services to farmers at competitive and affordable prices; and to socioeconomic sustainability through improved access to higher levels of mechanization inputs and services by smallholder farmers (including women, youth and the elderly). It is equally important to provide training in basic technical and business skills to farmers and mechanization service providers at all levels on how to safely use improved implements and power units in mechanized crop and livestock production systems on the farms and at homes.</t>
  </si>
  <si>
    <t>[Mrema, G. C.] SUA, Agr Engn, POB 3233, Morogoro, Tanzania; [Kienzle, J.] FAO Headquarters, Rome, Italy; [Mpagalile, J.] FAO Reg Off Africa, Accra, Ghana</t>
  </si>
  <si>
    <t>Sokoine University of Agriculture; Food &amp; Agriculture Organization of the United Nations (FAO)</t>
  </si>
  <si>
    <t>Mrema, GC (corresponding author), SUA, Agr Engn, POB 3233, Morogoro, Tanzania.</t>
  </si>
  <si>
    <t>WOS:000433525500002</t>
  </si>
  <si>
    <t>Hermann, D; Sauthoff, S; Musshoff, O</t>
  </si>
  <si>
    <t>Hermann, Daniel; Sauthoff, Saramena; Musshoff, Oliver</t>
  </si>
  <si>
    <t>Ex-ante evaluation of policy measures to enhance carbon sequestration in agricultural soils</t>
  </si>
  <si>
    <t>ECOLOGICAL ECONOMICS</t>
  </si>
  <si>
    <t>Soil organic carbon; Carbon sequestration; Extra-laboratory experiment; Policy measure; Farmer</t>
  </si>
  <si>
    <t>GREENHOUSE-GAS EMISSIONS; MARKET-BASED INSTRUMENTS; STATUS-QUO BIAS; CLIMATE-CHANGE; ECOSYSTEM SERVICES; CONSERVATION; MITIGATION; BENEFITS; RISK; UNCERTAINTY</t>
  </si>
  <si>
    <t>In the course of climate change, sequestration of soil organic carbon (SOC) has gained importance as a compensation for carbon emissions. Moreover, the promotion of SOC is increasingly advocated as a measure to sustain ably increase crop yields and reduce agricultural production risks. Applying an incentivized extra-laboratory experiment, we evaluate the factors and policy measures that affect the decision to promote SOC using a sample of German farmers. Our results reveal that farmers were highly motivated to promote SOC. Political fostering through subsidy payments increased farmers' efforts to build SOC. Efforts remained constant if economically equal payments were designated as certificates rather than subsidies. Surprisingly, certificates with uncertain payments increased farmers' efforts to enhance SOC to a similar degree as subsidy and certificate scenarios, which provided fixed and therefore certain payments. Thus, these results contribute valuable information regarding the effectiveness of market-based policy measures which aim to include farmers in climate protection strategies. (C) 2017 Elsevier B.V. All rights reserved.</t>
  </si>
  <si>
    <t>[Hermann, Daniel; Sauthoff, Saramena; Musshoff, Oliver] Georg August Univ Gottingen, Pl Gottinger Sieben 5, D-37073 Gottingen, Germany</t>
  </si>
  <si>
    <t>University of Gottingen</t>
  </si>
  <si>
    <t>Hermann, D (corresponding author), Georg August Univ Gottingen, Pl Gottinger Sieben 5, D-37073 Gottingen, Germany.</t>
  </si>
  <si>
    <t>daniel.hermann@agr.uni-goettingen.de</t>
  </si>
  <si>
    <t>Mußhoff, Oliver/AAZ-1868-2021; Hermann, Daniel/HNI-8466-2023</t>
  </si>
  <si>
    <t>Hermann, Daniel/0000-0003-0023-3675;</t>
  </si>
  <si>
    <t>German Research Foundation (DFG)</t>
  </si>
  <si>
    <t>German Research Foundation (DFG)(German Research Foundation (DFG))</t>
  </si>
  <si>
    <t>We thank the anonymous referees and the editor for helpful comments on an earlier version of this manuscript. The authors gratefully acknowledge financial support from the German Research Foundation (DFG).</t>
  </si>
  <si>
    <t>0921-8009</t>
  </si>
  <si>
    <t>1873-6106</t>
  </si>
  <si>
    <t>ECOL ECON</t>
  </si>
  <si>
    <t>Ecol. Econ.</t>
  </si>
  <si>
    <t>10.1016/j.ecolecon.2017.05.018</t>
  </si>
  <si>
    <t>Ecology; Economics; Environmental Sciences; Environmental Studies</t>
  </si>
  <si>
    <t>Environmental Sciences &amp; Ecology; Business &amp; Economics</t>
  </si>
  <si>
    <t>EY4ZX</t>
  </si>
  <si>
    <t>WOS:000403988100023</t>
  </si>
  <si>
    <t>Dachraoui, M; Sombrero, A</t>
  </si>
  <si>
    <t>Dachraoui, Maroua; Sombrero, Aurora</t>
  </si>
  <si>
    <t>Effect of tillage systems and different rates of nitrogen fertilisation on the carbon footprint of irrigated maize in a semiarid area of Castile and Leon, Spain</t>
  </si>
  <si>
    <t>Tillage system; Carbon footprint; Maize crop</t>
  </si>
  <si>
    <t>SOIL ORGANIC-CARBON; NO-TILLAGE; AGRICULTURAL SOILS; CROP RESIDUE; LOESS PLATEAU; N2O EMISSIONS; SPRING WHEAT; SEQUESTRATION; MITIGATION; CHINA</t>
  </si>
  <si>
    <t>In recent decades, the agricultural sector contributed to the increase of the greenhouse gases (GHGs) concentrations into the atmosphere. Soil management and the use of high amounts of energy (direct and indirect) contribute significantly to these emissions. This work aims to estimate the carbon footprint (C footprint) in two different soil managements in continuous irrigated maize, conventional (CT) and no tillage (NT), using different nitrogen fertilisation rates. The study was carried out from 2011 to 2017, in Zamaduellas experimental field in the Spanish province of Valladolid. The design included blocks randomly chosen, where the main factor studied was tillage system and the second was the nitrogen fertilisation. Under CT, the seedbed was prepared with a mouldboard plough (at a depth of 30 cm) followed by a spring cultivator, while only an herbicide was applied under NT system. In 2012/2014, N-fertilisation included the application of 700 (FC) and 600 (FR) kg ha -1 of Calcium Ammonium Nitrate 27%. In 2015/2017, it consisted of 700 kg ha(-1) (FC) of NAC 27%, 700 (FE) and 600 (FER) kg ha(-1) of Ammonium Sulfate Nitrate 26%. The assessment of CO2 emissions depended on the analysis of the energy consumed and produced in the maize production process and on the amount of soil organic carbon (SOC) obtained by collecting soil samples at three depths 0-10, 10-20, and 20-30 cm in 2011 and were after re-sampled at 2 years intervals. N2O emissions estimation was based on the methodology suggested by IPCC (2006). The results obtained showed that maize C footprint was mainly due to direct and indirect N2O emissions produced by the application of synthetic fertilisers and ranged from 3.3 to 4.2 tCO(2eq) ha(-1) and from 3.4 to 4.4 tCO(2eq) ha(-l) under CT and NT management respectively. The highest N2O emissions were produced by the use of FC and FE fertilisation while FR and FER resulted in the lowest N2O emissions under both tillage treatments. The emissions resulting from the energy inputs of electricity, fuel combustion and agricultural machinery contributed to the C footprint with means ranging from 0.25 to 0.27 tCO(2eq) ha(-1) and from 0.23 to 2.25 tCO(2eq) ha(-1) under CT and NT system respectively during the 6-year study. SOC changes played a very important part in the quantification of maize C footprint as they reversed the results from high and positive when the calculation excluded the SOC to low and negative when the SOC was included.</t>
  </si>
  <si>
    <t>[Dachraoui, Maroua; Sombrero, Aurora] Agr &amp; Technol Inst Castile &amp; Leon, Ctra Burgos,Km 119, Valladolid 47071, Spain</t>
  </si>
  <si>
    <t>Dachraoui, M (corresponding author), Agr &amp; Technol Inst Castile &amp; Leon, Ctra Burgos,Km 119, Valladolid 47071, Spain.</t>
  </si>
  <si>
    <t>dachmaro@itacyl.es</t>
  </si>
  <si>
    <t>SOMBRERO, AURORA/0000-0002-8366-4085</t>
  </si>
  <si>
    <t>National Institute for Agricultural and Food Research and Technology (INIA), Madrid, Spain [RTA2010-00006-C03-01, RTA2013-00009-C02-02]</t>
  </si>
  <si>
    <t>National Institute for Agricultural and Food Research and Technology (INIA), Madrid, Spain(Instituto de Investigacion Agropecuaria (INIA))</t>
  </si>
  <si>
    <t>This work was funded by the projects (RTA2010-00006-C03-01 and RTA2013-00009-C02-02) of the National Institute for Agricultural and Food Research and Technology (INIA), Madrid, Spain..</t>
  </si>
  <si>
    <t>RADARWEG 29a, 1043 NX AMSTERDAM, NETHERLANDS</t>
  </si>
  <si>
    <t>10.1016/j.still.2019.104472</t>
  </si>
  <si>
    <t>WOS:000501416400032</t>
  </si>
  <si>
    <t>Lv, LG; Wu, ZP; Wang, JX; Wu, SH; Zhou, SL</t>
  </si>
  <si>
    <t>Lv, L. G.; Wu, Z. P.; Wang, J. X.; Wu, S. H.; Zhou, S. L.</t>
  </si>
  <si>
    <t>SOIL CARBON DIOXIDE EFFLUX RESPONDS TO LAND-USE CHANGES IN THE SUB-URBAN REGIONS OF NANJING, CHINA</t>
  </si>
  <si>
    <t>APPLIED ECOLOGY AND ENVIRONMENTAL RESEARCH</t>
  </si>
  <si>
    <t>backward elimination stepwise linear regression; soil carbon dioxide efflux; soil moisture; soil temperature; urbanization</t>
  </si>
  <si>
    <t>URBAN; RESPIRATION; URBANIZATION; CONVERSION; NITROGEN; WATER; SEQUESTRATION; TEMPERATURE; EMISSIONS; CLIMATE</t>
  </si>
  <si>
    <t>The aim of this study was to assess the influence of urbanization on soil carbon dioxide efflux. We investigated how the soil environment affects the soil carbon dioxide efflux in native grassland, residential lawns and agricultural land. Continuous measurements of the soil carbon dioxide efflux were made once a week for a 10-week period during July-September 2013 in Nanjing China. Our results demonstrated that the soil carbon dioxide efflux significantly decreased during the 10-week period in the three land-use types. Soil carbon dioxide efflux in urban lawns was the highest among the three land-use types in the following order: residential land &gt; agricultural land &gt; native grassland. The soil water-soluble organic carbon (WSOC), the labile organic carbon (LOC), and the basal respiration, as covariates, did not significantly influence the soil carbon dioxide efflux. The soil temperature and land-use type had significant contributions to the carbon efflux. A higher soil temperature in the lawns was attributed to the urban heat island effect. Our data suggest that human-induced land-use changes, such as urbanization and agricultural practice, could enhance the local soil carbon dioxide emissions, especially when urban development increased the local soil temperature.</t>
  </si>
  <si>
    <t>[Lv, L. G.; Wu, Z. P.; Wang, J. X.; Wu, S. H.; Zhou, S. L.] Nanjing Univ, Sch Geog &amp; Oceanog Sci, 163 Xianlin Rd, Nanjing 210023, Jiangsu, Peoples R China</t>
  </si>
  <si>
    <t>Nanjing University</t>
  </si>
  <si>
    <t>Wu, SH; Zhou, SL (corresponding author), Nanjing Univ, Sch Geog &amp; Oceanog Sci, 163 Xianlin Rd, Nanjing 210023, Jiangsu, Peoples R China.</t>
  </si>
  <si>
    <t>wsh@nju.edu.cn; zhousl@nju.edu.cn</t>
  </si>
  <si>
    <t>Wu, Shaohua/B-8259-2009; Lv, Ligang/GYJ-1373-2022; lv, ligang/GYJ-1373-2022</t>
  </si>
  <si>
    <t>Lv, Ligang/0000-0003-3840-6455; Wu, shaohua/0000-0002-8202-836X;</t>
  </si>
  <si>
    <t>National Natural Science Foundation of China [41571080]</t>
  </si>
  <si>
    <t>We are indebted to Master Liu Lu and Li Baojie for the soil carbon dioxide efflux measurements. This research study was supported by the National Natural Science Foundation of China (No. 41571080).</t>
  </si>
  <si>
    <t>CORVINUS UNIV BUDAPEST</t>
  </si>
  <si>
    <t>BUDAPEST</t>
  </si>
  <si>
    <t>VILLANYI UT 29/43, BUDAPEST, H-1118, HUNGARY</t>
  </si>
  <si>
    <t>1589-1623</t>
  </si>
  <si>
    <t>1785-0037</t>
  </si>
  <si>
    <t>APPL ECOL ENV RES</t>
  </si>
  <si>
    <t>Appl. Ecol. Environ. Res.</t>
  </si>
  <si>
    <t>10.15666/aeer/1403_021032</t>
  </si>
  <si>
    <t>Ecology; Environmental Sciences</t>
  </si>
  <si>
    <t>DV6ZD</t>
  </si>
  <si>
    <t>WOS:000383084700002</t>
  </si>
  <si>
    <t>Fan, XR; Chen, XP; Chen, T; Liu, XX; Song, YL; Tan, SR; Chen, Y; Yan, P; Wang, XL</t>
  </si>
  <si>
    <t>Fan, Xiaoru; Chen, Xianpeng; Chen, Tuo; Liu, Xingxing; Song, Yilan; Tan, Shurong; Chen, Yong; Yan, Peng; Wang, Xiaolong</t>
  </si>
  <si>
    <t>Effects of substituting synthetic nitrogen with organic amendments on crop yield, net greenhouse gas emissions and carbon footprint: A global meta-analysis</t>
  </si>
  <si>
    <t>FIELD CROPS RESEARCH</t>
  </si>
  <si>
    <t>Organic amendments; Soil organic carbon; Methane; Nitrous oxide; Carbon footprint; Meta-analysis</t>
  </si>
  <si>
    <t>LONG-TERM FERTILIZATION; OXIDE EMISSIONS; CHEMICAL FERTILIZER; USE EFFICIENCY; SOIL CARBON; MANAGEMENT; MAIZE; RICE; METHANE; PADDY</t>
  </si>
  <si>
    <t>Context or problem: Excessive application of synthetic nitrogen fertilizer and discharge of organic wastes were the primary sources of greenhouse gas (GHG) emissions in agricultural system. Synthetic nitrogen fertilizer substitution (NSS) practice by organic amendments was considered as a possible strategy to decrease the on-field N2O emission and simultaneously increase the soil organic carbon (SOC) and yield in cropping system.Objective or research question: The effects of NSS practice on the trade-offs between crop yield and net greenhouse (NGHG) emissions have been still uncertain at a global level at present.Methods: This study carried out a joint use of meta-analysis, NGHG balance assessment and carbon footprint (CF) to quantitatively assess the effects of the NSS practices from multi-points.Results: Results showed the NSS practice improved crop yield by 2.00 %, showing a positive effect at a global level, especially in rice and maize production systems. Meanwhile, the NSS practice significantly increased SOC storage by 23.97 %. For the on-field N2O and CH4 emissions, the effect sizes varied large under different factors, without significant difference. The general trends were that the NSS practice decreased the average effect sizes of N2O emission and increased the average effect sizes of CH4 emission. Standing at a farmland and system levels, the NSS practice increased the NGHGs and CFs both at the area and yield scales for paddy system. For upland cropping system, both of the yield-based and area-based CFs were reduced under the NSS practice due to the improved yields of wheat and maize.Conclusions: In conclusion, the NSS practice showed positive effects on improving crop yield and SOC storage at the global level but negative effect on decreasing the on-field GHG emissions. Crop type was the primary influencing factor. According to the current results, we assumed that the NSS would be an effective practice for upland cropping systems because it would generate the less NGHG emission and CF when producing unit mass of grain products. However, the NSS would not be a good practice for the rice production system.Implications or significance: The results provided valuable information for the development of sustainable agricultural production in the world.</t>
  </si>
  <si>
    <t>[Fan, Xiaoru; Chen, Tuo; Liu, Xingxing; Chen, Yong; Wang, Xiaolong] South China Agr Univ, Coll Agr, Guangzhou 510642, Peoples R China; [Chen, Xianpeng; Song, Yilan; Tan, Shurong] Guangdong Biranmei Landscape Art Co Ltd, Foshan 528200, Guangdong, Peoples R China; [Yan, Peng] Chinese Acad Agr Sci, Inst Crop Sci, Beijing, Peoples R China</t>
  </si>
  <si>
    <t>South China Agricultural University; Chinese Academy of Agricultural Sciences; Institute of Crop Sciences, CAAS</t>
  </si>
  <si>
    <t>Wang, XL (corresponding author), South China Agr Univ, Coll Agr, Guangzhou 510642, Peoples R China.;Yan, P (corresponding author), Chinese Acad Agr Sci, Inst Crop Sci, Beijing, Peoples R China.</t>
  </si>
  <si>
    <t>yanpeng01@caas.cn; wangxiaolong@scau.edu.cn</t>
  </si>
  <si>
    <t>Chen, Tuo/JFJ-7901-2023</t>
  </si>
  <si>
    <t>National Key Research and Development Program of China [2022YFD1901604]; Dou- ble First-class Discipline Promotion Project [2021B10564001]; Enterprise Science and Technology Commissioner Program of Guang- dong Province [GDKTP2021049200]</t>
  </si>
  <si>
    <t>National Key Research and Development Program of China(National Key Research &amp; Development Program of China); Dou- ble First-class Discipline Promotion Project; Enterprise Science and Technology Commissioner Program of Guang- dong Province</t>
  </si>
  <si>
    <t>This work was financially supported by the National Key Research and Development Program of China (No. 2022YFD1901604) , the Dou- ble First-class Discipline Promotion Project (2021B10564001) and the Enterprise Science and Technology Commissioner Program of Guang- dong Province (GDKTP2021049200) . We thank anonymous reviewers and editors for very helpful comments and suggestions for the manuscript.</t>
  </si>
  <si>
    <t>0378-4290</t>
  </si>
  <si>
    <t>1872-6852</t>
  </si>
  <si>
    <t>FIELD CROP RES</t>
  </si>
  <si>
    <t>Field Crop. Res.</t>
  </si>
  <si>
    <t>10.1016/j.fcr.2023.109035</t>
  </si>
  <si>
    <t>N7OA9</t>
  </si>
  <si>
    <t>WOS:001038849800001</t>
  </si>
  <si>
    <t>Sheykhan, M; Aladaghlo, Z; Javanbakht, S; Fakhari, A; Shaabani, A</t>
  </si>
  <si>
    <t>Sheykhan, Momeneh; Aladaghlo, Zolfaghar; Javanbakht, Siamak; Fakhari, Alireza; Shaabani, Ahmad</t>
  </si>
  <si>
    <t>Carbon nanotubes/metal-organic framework based magnetic dispersive micro-solid phase extraction for the determination of triazole fungicides in wastewater and soil samples</t>
  </si>
  <si>
    <t>MICROCHEMICAL JOURNAL</t>
  </si>
  <si>
    <t>Triticonazole; Hexaconazole; Difenoconazole; Agricultural wastewater; Agricultural; Soil</t>
  </si>
  <si>
    <t>TRACE DETERMINATION; GAS-CHROMATOGRAPHY; PRECONCENTRATION; MICROEXTRACTION; NANOCOMPOSITE; NANOPARTICLES; PESTICIDES</t>
  </si>
  <si>
    <t>In this research, the magnetic dispersive micro solid phase extraction (M-D-&amp; mu;-SPE) method was used for preconcentration and trace detection of triazole fungicides in agricultural wastewater and soil samples. The nano sorbent used for M-D-&amp; mu;-SPE is based on a magnetic carbon nanotubes/Cu-based MOF (M-MWCNT-Cu-BDC) nanocomposite, which was synthesized and characterized by X-ray diffraction, Fourier-transform infrared spectroscopy, field emission scanning electron microscopy, energy-dispersive X-ray spectroscopy, vibratingsample magnetometer, and Nitrogen adsorption-desorption analysis. The effective parameters on the extraction performance were optimized, and under the optimized conditions (pH value: 7.0; the amount of sorbent: 30 mg; extraction time: 30 min; desorbing agent: ethanol; the volume of desorbing solvent: 500 &amp; mu;L and desorption time: 5 min), the limits of detection (LOD) was 0.45 ng mL-1, and the linear range was 1.50 to 750 ng mL-1 with a correlation coefficient higher than 0.993. The repeatability (RSD%) of the method for five replicates ranged from 2.8 to 5.5%. High recoveries (91-94%) and excellent preconcentration factor (PF = 91-94) were also obtained. Finally, this method was applied to determine triazole fungicides in agricultural wastewater and soil samples.</t>
  </si>
  <si>
    <t>[Sheykhan, Momeneh; Javanbakht, Siamak; Fakhari, Alireza; Shaabani, Ahmad] Shahid Beheshti Univ, Fac Chem, POB 1983963113, Tehran, Iran; [Aladaghlo, Zolfaghar] Univ Tehran, Coll Agr &amp; Nat Resources, Dept Soil Sci, Karaj 3158777871, Iran</t>
  </si>
  <si>
    <t>Shahid Beheshti University; University of Tehran</t>
  </si>
  <si>
    <t>Fakhari, A (corresponding author), Shahid Beheshti Univ, Fac Chem, POB 1983963113, Tehran, Iran.;Aladaghlo, Z (corresponding author), Univ Tehran, Coll Agr &amp; Nat Resources, Dept Soil Sci, Karaj 3158777871, Iran.</t>
  </si>
  <si>
    <t>z.aladaghlo@ut.ac.ir; a-zavareh@sbu.ac.ir</t>
  </si>
  <si>
    <t>Shaabani, Ahmad/AAJ-1109-2020; Javanbkat, Siamak/KVI-8387-2024; Aladaghlo, Zolfaghar/JAO-2439-2023</t>
  </si>
  <si>
    <t>Aladaghlo, Zolfaghar/0009-0005-4997-7968;</t>
  </si>
  <si>
    <t>University of Tehran; Shahid Beheshti University</t>
  </si>
  <si>
    <t>University of Tehran(University of Tehran); Shahid Beheshti University(Shahid Beheshti University)</t>
  </si>
  <si>
    <t>Authors gratefully acknowledge the research affairs of the University of Tehran and Shahid Beheshti University for the financial supports of the present study.</t>
  </si>
  <si>
    <t>0026-265X</t>
  </si>
  <si>
    <t>1095-9149</t>
  </si>
  <si>
    <t>MICROCHEM J</t>
  </si>
  <si>
    <t>Microchem J.</t>
  </si>
  <si>
    <t>10.1016/j.microc.2023.109149</t>
  </si>
  <si>
    <t>Chemistry, Analytical</t>
  </si>
  <si>
    <t>P8LM0</t>
  </si>
  <si>
    <t>WOS:001053130300001</t>
  </si>
  <si>
    <t>Li, GL; Zhang, WK; Qiu, HL; Tan, CL; Niu, JJ</t>
  </si>
  <si>
    <t>Li, Guangliang; Zhang, Weikun; Qiu, Hailan; Tan, Chunlan; Niu, Juanjuan</t>
  </si>
  <si>
    <t>The allocation of carbon resources in marine capture fisheries</t>
  </si>
  <si>
    <t>SHADOW PRICES; CO2 EMISSIONS; EFFICIENCY</t>
  </si>
  <si>
    <t>Marine fishery carbon emissions play a significant role in agricultural carbon emissions, making resource allocation a crucial topic for the overall marine ecological protection. This paper evaluates the dynamic iteration method as a research approach with the factors of resource allocation consisting of value assessment, optimization objective, difference between value assessment and objective, and optimization calculation. The paper selects the shadow price from the Super-SBM model as the judgment function for the goal value, aiming for the fairness criterion. From an equity standpoint, the allocation of carbon resources in marine capture fisheries proves to be unreasonable. The fishery model exhibits an excessive supply of carbon resources, resulting in wastage, while the green fishery model faces a relatively limited supply, with a focus on energy conservation and environmental protection. To address this issue, this paper proposes a new method and discusses the corrective results. This result shows that the stabilization point achieved is a short-term equilibrium rather than a long-term one. By rectifying the social contradiction of profit-oriented approaches, this research provides a fresh perspective for economic studies and applications, particularly in industrial layout and resource utilization optimization.</t>
  </si>
  <si>
    <t>[Li, Guangliang] Liaoning Univ, Sch Int Econ &amp; Int Relat, Shenyang, Liaoning, Peoples R China; [Zhang, Weikun] Lingnan Normal Univ, Sch Social &amp; Publ Adm, Zhanjiang, Guangdong, Peoples R China; [Qiu, Hailan] Jiangxi Agr Univ, Sch Econ &amp; Management, Nanchang, Jiangxi, Peoples R China; [Tan, Chunlan] Shanghai Ocean Univ, Coll Econ &amp; Management, Shanghai, Peoples R China; [Niu, Juanjuan] Liaoning Univ, Sch Econ, Shenyang, Liaoning, Peoples R China</t>
  </si>
  <si>
    <t>Liaoning University; LingNan Normal University; Jiangxi Agricultural University; Shanghai Ocean University; Liaoning University</t>
  </si>
  <si>
    <t>Qiu, HL (corresponding author), Jiangxi Agr Univ, Sch Econ &amp; Management, Nanchang, Jiangxi, Peoples R China.</t>
  </si>
  <si>
    <t>qiuhailan@jxau.edu.cn</t>
  </si>
  <si>
    <t>Zhang, Weikun/IYT-0570-2023; li, guangliang/LXV-2093-2024</t>
  </si>
  <si>
    <t>Zhang, Weikun/0000-0002-9983-7788</t>
  </si>
  <si>
    <t>National Social Science Foundation of China [22CGL027]; Youth Project of Humanities and Social Science Research in University of Jiangxi Province [JJ21227]; Science and Technology Research Project of Jiangxi Provincial Department of Education [GJJ210461]; General Programs of Humanities and Social Sciences of the Ministry of Education [20YJAZH113]; Guangdong Philosophy and Social Sciences Planning Youth Project [GD22YGL19]</t>
  </si>
  <si>
    <t>National Social Science Foundation of China(National Office of Philosophy and Social Sciences); Youth Project of Humanities and Social Science Research in University of Jiangxi Province; Science and Technology Research Project of Jiangxi Provincial Department of Education; General Programs of Humanities and Social Sciences of the Ministry of Education; Guangdong Philosophy and Social Sciences Planning Youth Project</t>
  </si>
  <si>
    <t>This research is supported by the National Social Science Foundation of China (22CGL027), the Youth Project of Humanities and Social Science Research in University of Jiangxi Province (JJ21227), the Science and Technology Research Project of Jiangxi Provincial Department of Education (GJJ210461), General Programs of Humanities and Social Sciences of the Ministry of Education (20YJAZH113), and Guangdong Philosophy and Social Sciences Planning Youth Project (GD22YGL19)</t>
  </si>
  <si>
    <t>MAR 15</t>
  </si>
  <si>
    <t>e0293120</t>
  </si>
  <si>
    <t>10.1371/journal.pone.0293120</t>
  </si>
  <si>
    <t>MA1A7</t>
  </si>
  <si>
    <t>WOS:001190798000047</t>
  </si>
  <si>
    <t>Hörtenhuber, S; Piringer, G; Zollitsch, W; Lindenthal, T; Winiwarter, W</t>
  </si>
  <si>
    <t>Hoertenhuber, Stefan; Piringer, Gerhard; Zollitsch, Werner; Lindenthal, Thomas; Winiwarter, Wilfried</t>
  </si>
  <si>
    <t>Land use and land use change in agricultural life cycle assessments and carbon footprints - the case for regionally specific land use change versus other methods</t>
  </si>
  <si>
    <t>Land use; Land use change; Agriculture; Greenhouse gas emissions; GHG; Feedstuffs</t>
  </si>
  <si>
    <t>GREENHOUSE-GAS EMISSIONS; DEFORESTATION; IMPACT; AMAZON; LCA</t>
  </si>
  <si>
    <t>The supply chain of a product is essential for understanding its environmental impacts. As parts of agricultural product supply chains, land use (LU) and land use change (LUC) are considered to be major contributors to global CO2 emissions. Nevertheless, LU and LUC (LULUC) are rarely included in GHG estimations for food and feedstuffs. Here we propose a method which can be used to derive emissions from LU and LUC on a regional level. Emissions are distributed over an accounting period chosen to match the physically occurring carbon fluxes. As fluxes from soil organic carbon persist for years or even for decades after a LUC episode, depending on the climatic conditions of the region, we apply 10 and 20 years as suitable accounting periods for tropical and temperate climate zones, respectively. We compare the proposed method with two other methods proposed in the literature. Using two types of feedstuffs (Brazilian soybean-meal and Austrian barley) as examples, we find that the other two methods produce mostly lower emission estimates in the case of Brazilian soybeans, and higher estimates for Austrian barley. We conclude that these differences are caused mainly by different accounting periods and by a (non)consideration of regional specificities. While analysing life cycles necessarily entails a well supported but still arbitrary setting of such system boundaries, we argue that the methodology presented here better reflects actually occurring carbon fluxes that we understand to be the foundation of any environmental product assessment. (C) 2013 Elsevier Ltd. All rights reserved.</t>
  </si>
  <si>
    <t>[Hoertenhuber, Stefan; Lindenthal, Thomas] Res Inst Organ Agr FiBL Austria, A-1010 Vienna, Austria; [Hoertenhuber, Stefan; Piringer, Gerhard; Zollitsch, Werner] BOKU Univ Nat Resources &amp; Life Sci Vienna, Dept Sustainable Agr Syst, Div Livestock Sci, A-1180 Vienna, Austria; [Lindenthal, Thomas] BOKU Univ Nat Resources &amp; Life Sci Vienna, Ctr Global Change &amp; Sustainabil, A-1190 Vienna, Austria; [Winiwarter, Wilfried] Graz Univ, Inst Syst Sci Innovat &amp; Sustainabil Res, A-8010 Graz, Austria; [Winiwarter, Wilfried] Int Inst Appl Syst Anal, A-2361 Laxenburg, Austria</t>
  </si>
  <si>
    <t>BOKU University; BOKU University; University of Graz; International Institute for Applied Systems Analysis (IIASA)</t>
  </si>
  <si>
    <t>Hörtenhuber, S (corresponding author), Res Inst Organ Agr FiBL Austria, Doblhoffgasse 7-10, A-1010 Vienna, Austria.</t>
  </si>
  <si>
    <t>stefan.hoertenhuber@boku.ac.at</t>
  </si>
  <si>
    <t>Winiwarter, Wilfried/F-5073-2017</t>
  </si>
  <si>
    <t>Winiwarter, Wilfried/0000-0001-7131-1496; Zollitsch, Werner/0000-0002-8070-7449; Hörtenhuber, Stefan/0000-0002-0602-3049; Piringer, Gerhard/0000-0002-7796-5172</t>
  </si>
  <si>
    <t>Research Institute of Organic Agriculture</t>
  </si>
  <si>
    <t>The authors are grateful to Gwendolyn Rudolph, Theresia Markut, Michaela Theurl, Dr. Christian Schader and other colleagues from the Research Institute of Organic Agriculture and the University of Natural Resources and Life Sciences Vienna for many discussions and their inputs to this paper. The authors would also like to thank three anonymous reviewers for their valuable comments on an earlier version of this paper.</t>
  </si>
  <si>
    <t>10.1016/j.jclepro.2013.12.027</t>
  </si>
  <si>
    <t>AJ7BL</t>
  </si>
  <si>
    <t>WOS:000337852000005</t>
  </si>
  <si>
    <t>Nayak, AK; Tripathi, R; Debnath, M; Swain, CK; Dhal, B; Vijaykumar, S; Nayak, AD; Mohanty, S; Shahid, M; Kumar, A; Rajak, M; Moharana, KC; Chatterjee, D; Munda, S; Guru, P; Khanam, R; Lal, B; Gautam, P; Pattanaik, S; Shukla, AK; Fitton, N; Smith, P; Pathak, H</t>
  </si>
  <si>
    <t>Nayak, Amaresh Kumar; Tripathi, Rahul; Debnath, Manish; Swain, Chinmaya Kumar; Dhal, Biswaranjan; Vijaykumar, Shanmugam; Nayak, Anshuman Debasis; Mohanty, Sangita; Shahid, Mohammad; Kumar, Anjani; Rajak, Manoj; Moharana, Khitish Chandra; Chatterjee, Dibyendu; Munda, Susmita; Guru, Pravat; Khanam, Rubina; Lal, Banwari; Gautam, Priyanka; Pattanaik, Suschismita; Shukla, Arvind Kumar; Fitton, Nuala; Smith, Pete; Pathak, Himanshu</t>
  </si>
  <si>
    <t>Carbon and water footprints of major crop production in India</t>
  </si>
  <si>
    <t>cereal crop; crop planning; green water footprint; greenhouse gas emission; water productivity; water use</t>
  </si>
  <si>
    <t>GREENHOUSE-GAS EMISSION; AGRICULTURAL PRODUCTION SYSTEMS; SOIL-WATER; PADDY FIELDS; RICE FIELDS; ENVIRONMENTAL IMPACTS; NITROGEN MANAGEMENT; METHANE EMISSION; SPATIAL-ANALYSIS; ORGANIC-CARBON</t>
  </si>
  <si>
    <t>Scarcity of water and emission of greenhouse gases (GHGs) are the two key environmental issues affecting crop production in India. Reducing the carbon footprint (CF) and water footprint (WF) of crop production can help to mitigate the environmental hazards that stem from GHG emissions and water scarcity. The CFs and WFs of three major cereal crops, rice, wheat, and maize, were estimated for the year 2014 under the environmental conditions in India, based on national statistics and other data sources. Total CFs (TCFs) of rice, wheat, and maize in India were estimated to be 2.44, 1.27, and 0.80 t CO2 equivalent ha-1, respectively, and product WFs for rice, wheat, and maize in India were 3.52, 1.59, and 2.06 m3 kg-1, respectively. Blue WF was found to be the highest in West India for rice and in South India for both wheat and maize, with the highest irrigation water use in these regions. There was a positive correlation between TCF and total WF, and hence mitigation of both was possibly simultaneous in various regions in India. Potential measures for mitigating GHG emissions and optimizing water use for rice, wheat, and maize production in India are recommended in this paper.</t>
  </si>
  <si>
    <t>[Nayak, Amaresh Kumar; Tripathi, Rahul; Debnath, Manish; Swain, Chinmaya Kumar; Dhal, Biswaranjan; Vijaykumar, Shanmugam; Nayak, Anshuman Debasis; Mohanty, Sangita; Shahid, Mohammad; Kumar, Anjani; Rajak, Manoj; Moharana, Khitish Chandra; Chatterjee, Dibyendu; Munda, Susmita; Guru, Pravat; Khanam, Rubina; Pattanaik, Suschismita; Pathak, Himanshu] Indian Council Agr Res ICAR, Natl Rice Res Inst, Cuttack 753006, India; [Lal, Banwari] ICAR Cent Sheep &amp; Wool Res Inst, Avikanagar 304501, India; [Gautam, Priyanka] ICAR Natl Res Ctr Camel, Bikaner 304001, India; [Shukla, Arvind Kumar] ICAR Indian Inst Soil Sci, Bhopal 462038, India; [Fitton, Nuala; Smith, Pete] Univ Aberdeen, Inst Biol &amp; Environm Sci, 23 St Machar Dr, Aberdeen AB2 43UU, Scotland</t>
  </si>
  <si>
    <t>Indian Council of Agricultural Research (ICAR); ICAR - National Rice Research Institute; Indian Council of Agricultural Research (ICAR); ICAR - Central Sheep &amp; Wool Research Institute; Indian Council of Agricultural Research (ICAR); ICAR - National Research Centre on Camel; Indian Council of Agricultural Research (ICAR); ICAR - Indian Institute of Soil Sciences; University of Aberdeen</t>
  </si>
  <si>
    <t>Nayak, AK (corresponding author), Indian Council Agr Res ICAR, Natl Rice Res Inst, Cuttack 753006, India.</t>
  </si>
  <si>
    <t>aknayak20@yahoo.com</t>
  </si>
  <si>
    <t>; TRIPATHI, RAHUL/CAA-5058-2022; Nayak, Amaresh/J-7647-2019; Smith, Pete/G-1041-2010; Chatterjee, Dibyendu/I-7638-2019; Lal, Dr. Basant/AAZ-8080-2021; Gautam, Priyanka/AAU-3483-2021; Vijayakumar, Shanmugam/JJD-3529-2023; Swain, Dr. Chinmaya/CAH-8656-2022; Smith, Pete/G-1041-2010; Shukla, Arvind/U-6063-2017</t>
  </si>
  <si>
    <t>Nayak, A K/0000-0002-2257-3243; Chatterjee, Dibyendu/0000-0001-6539-0781; Tripathi, Rahul/0000-0001-8826-9132; Smith, Pete/0000-0002-3784-1124; Vijayakumar, Shanmugam/0000-0002-1797-7980; Swain, Chinmaya Kumar/0000-0001-7801-8049; Smith, Pete/0000-0002-3784-1124;</t>
  </si>
  <si>
    <t>Ministry of Earth Sciences, Government of India; Department of Science and Technology, Government of India</t>
  </si>
  <si>
    <t>Ministry of Earth Sciences, Government of India(Ministry of Earth Sciences (MoES) - India); Department of Science and Technology, Government of India(Department of Science &amp; Technology (India))</t>
  </si>
  <si>
    <t>The authors acknowledge the financial assistance provided by the Ministry of Earth Sciences, Government of India and Department of Science and Technology, Government of India, and also thank the Director General, Indian Council of Agricultural Research (ICAR) and Director, ICAR-National Rice Research Institute (NRRI) for providing support in the execution of this work. This study was part of the Delivering Food Security on Limited Land Project, Belmont Forum, India (No. FACCE-JPI via NERC) .</t>
  </si>
  <si>
    <t>10.1016/j.pedsph.2022.06.045</t>
  </si>
  <si>
    <t>MAY 2023</t>
  </si>
  <si>
    <t>J8JX5</t>
  </si>
  <si>
    <t>WOS:001012041900001</t>
  </si>
  <si>
    <t>Hu, YJ; Sun, J; Zheng, J</t>
  </si>
  <si>
    <t>Hu, Yingjie; Sun, Jin; Zheng, Ji</t>
  </si>
  <si>
    <t>Comparative analysis of carbon footprint between conventional smallholder operation and innovative largescale farming of urban agriculture in Beijing, China</t>
  </si>
  <si>
    <t>PEERJ</t>
  </si>
  <si>
    <t>Life cycle assessment; Carbon footprint; Conventional smallholder operation; Home-delivery vegetable; Pick-your-own fruit; Beijing</t>
  </si>
  <si>
    <t>LIFE-CYCLE ASSESSMENT; GREENHOUSE-GAS EMISSIONS; NET ECOSYSTEM CARBON; TOMATO PRODUCTION; ENVIRONMENTAL SUSTAINABILITY; FOOD SYSTEMS; ENERGY; CROP; MITIGATION; MANAGEMENT</t>
  </si>
  <si>
    <t>The sustainable development of agriculture is one of the key issues of ensuring food security and mitigating climate change. Since innovative large-scale agriculture is gaining popularity in cities in China, where the agricultural landscape is dominated by conventional smallholder farming, it is necessary to investigate the difference in carbon emissions between conventional smallholder operation and innovative largescale agriculture. This study evaluated the carbon footprint (CF) of conventional and innovative urban agriculture in Beijing using the cradle-to-consumption Life Cycle Assessment (LCA). Two modes of greenhouse vegetable and fruit production were analyzed and compared respectively: conventional smallholder operated vegetable farms that sell in local markets versus largescale home-delivery agriculture (HDA) that deliver vegetables to consumers' home directly, conventional smallholder operated fruit farms that sell in farm shops versus largescale pick-your-own (PYO) initiatives. Results showed that HDA and PYO can reduce CF per area in on-farm cultivation compared to smallholder operation, while may bring an increase in CF per product weight unit and the gap was wider if the supply chain was considered. This is mainly because innovative large-scale farming consumes fewer agricultural inputs (e.g., fertilizer, pesticides) and obtains lower yields than conventional smallholder operations. Plastic materials with high carbon emission, fossil energy dependence and transportation efficiency are CF hotspots of both modes and therefore can be prioritized and targeted for carbon reduction adjustment. The results of this work further advance understanding of how innovative largescale agriculture and conventional smallholder operation compare and which particular inputs and activities should be prioritized to effectively reduce the CF in China during agricultural transformation.</t>
  </si>
  <si>
    <t>[Hu, Yingjie] Jiangxi Normal Univ, Coll City Construct, Nanchang, Jiangxi, Peoples R China; [Sun, Jin] North China Univ Water Resources &amp; Elect Power, Coll Surveying &amp; Geoinformat, Zhengzhou, Henan, Peoples R China; [Zheng, Ji] Univ Hong Kong, Dept Urban Planning &amp; Design, Pokfulam, Hong Kong, Peoples R China</t>
  </si>
  <si>
    <t>Jiangxi Normal University; North China University of Water Resources &amp; Electric Power; University of Hong Kong</t>
  </si>
  <si>
    <t>Zheng, J (corresponding author), Univ Hong Kong, Dept Urban Planning &amp; Design, Pokfulam, Hong Kong, Peoples R China.</t>
  </si>
  <si>
    <t>zhengji@hku.hk</t>
  </si>
  <si>
    <t>National Nature Science Foundation of China [42001247]; Beijing Natural Science Foundation [8151001]</t>
  </si>
  <si>
    <t>National Nature Science Foundation of China(National Natural Science Foundation of China (NSFC)); Beijing Natural Science Foundation(Beijing Natural Science Foundation)</t>
  </si>
  <si>
    <t>This work was supported by the National Nature Science Foundation of China (42001247) and the Beijing Natural Science Foundation (No. 8151001). The funders had no role in study design, data collection and analysis, decision to publish, or preparation of the manuscript.</t>
  </si>
  <si>
    <t>PEERJ INC</t>
  </si>
  <si>
    <t>341-345 OLD ST, THIRD FLR, LONDON, EC1V 9LL, ENGLAND</t>
  </si>
  <si>
    <t>2167-8359</t>
  </si>
  <si>
    <t>PeerJ</t>
  </si>
  <si>
    <t>JUN 29</t>
  </si>
  <si>
    <t>e11632</t>
  </si>
  <si>
    <t>10.7717/peerj.11632</t>
  </si>
  <si>
    <t>TC7BI</t>
  </si>
  <si>
    <t>WOS:000668794200004</t>
  </si>
  <si>
    <t>Luo, LX; Zhang, W; Zhang, Y; Feng, DD; Li, YZ; Zhu, XS; Ye, HB; Chen, WC; Qin, YS</t>
  </si>
  <si>
    <t>Luo, Lixiao; Zhang, Wei; Zhang, Yu; Feng, Dongdong; Li, Yuzhi; Zhu, Xishan; Ye, Haibo; Chen, Weichong; Qin, Yingsen</t>
  </si>
  <si>
    <t>Study on life-cycle carbon emission accounting of cane sugar products based on ammonia-based CO2 capture method</t>
  </si>
  <si>
    <t>Life Cycle Assessment (LCA); Carbon emission; Sugarcane products; Ammonia-based CO 2 capture; Carbon-negative</t>
  </si>
  <si>
    <t>BAGASSE; FOOTPRINT; INDUSTRY; LCA</t>
  </si>
  <si>
    <t>China's cane sugar whole life cycle carbon accounting remains blank, which is urgent to formulate an emission reduction strategy. A life-cycle carbon accounting model for cane sugar products is established, with the carbon emission accounting conducted for planting, harvesting, transportation, processing, waste treatment, packaging, and other aspects of the cane sugar industry, which is multi-temporal and multi-scale. The quantitative and systematic assessment of carbon emissions from the cane sugar industry is accomplished. A new ammonia-based CO2 capture method has been innovatively proposed to achieve harmful carbon emission reduction from sugar products using sugar flue gas. The results show that the construction of the cane sugar life-cycle carbon accounting model can more accurately describe the comprehensive carbon footprint of the Chinese sugar industry. The carbon footprint of sucrose is -1.4259 CO2e/kg sugar, of which the highest carbon emission from agricultural fertilizers is 46.9 %. The new ammonia-based CO2 capture method enables 0.1319 t/t sugar of nitrogen fertilizer while achieving an overall reduction of 29 % in carbon emissions from sucrose, significantly reducing carbon emissions from agriculture. Its carbon footprint of cane sugar is greatly degraded to -2.1494 CO2e/kg sugar. The research provides a scientific basis for developing a carbon emission assessment for sugar while demonstrating that cane sugar has a sizeable carbon-negative potential in the future.</t>
  </si>
  <si>
    <t>[Luo, Lixiao; Zhu, Xishan; Ye, Haibo; Chen, Weichong; Qin, Yingsen] Guangxi Special Equipment Inspection &amp; Res Inst, Nanning 530299, Peoples R China; [Zhang, Wei; Zhang, Yu; Feng, Dongdong; Li, Yuzhi] Harbin Inst Technol, Sch Energy Sci &amp; Engn, Harbin 150001, Peoples R China</t>
  </si>
  <si>
    <t>Harbin Institute of Technology</t>
  </si>
  <si>
    <t>Zhang, Y (corresponding author), Harbin Inst Technol, Sch Energy Sci &amp; Engn, Harbin 150001, Peoples R China.</t>
  </si>
  <si>
    <t>zhang.y@hit.edu.cn</t>
  </si>
  <si>
    <t>; Feng, Dongdong/LIH-1620-2024</t>
  </si>
  <si>
    <t>Feng, Dongdong/0000-0002-4453-0287;</t>
  </si>
  <si>
    <t>National Key R &amp; D Program of China [2022YFE0204100]; National Natural Science Foundation of China [52376102]; Fundamental Research Funds for the Central Universities [2022ZFJH004]; National Market Supervision and Administration General Science and Technology Program Project [2022MK100]; Guangxi Zhuang Autonomous Region Market Supervision Administration Self-financed Science and Technology Project [GSJKJZC2022-7]</t>
  </si>
  <si>
    <t>National Key R &amp; D Program of China; National Natural Science Foundation of China(National Natural Science Foundation of China (NSFC)); Fundamental Research Funds for the Central Universities(Fundamental Research Funds for the Central Universities); National Market Supervision and Administration General Science and Technology Program Project; Guangxi Zhuang Autonomous Region Market Supervision Administration Self-financed Science and Technology Project</t>
  </si>
  <si>
    <t>This work is supported by the National Key R &amp; D Program of China (2022YFE0204100) , National Natural Science Foundation of China (52376102) , Fundamental Research Funds for the Central Universities (2022ZFJH004) , the National Market Supervision and Administration General Science and Technology Program Project (2022MK100) and Guangxi Zhuang Autonomous Region Market Supervision Administration Self-financed Science and Technology Project (GSJKJZC2022-7) .</t>
  </si>
  <si>
    <t>10.1016/j.seta.2024.103858</t>
  </si>
  <si>
    <t>WW0V0</t>
  </si>
  <si>
    <t>WOS:001257799600001</t>
  </si>
  <si>
    <t>Curtright, AJ; Tiemann, LK</t>
  </si>
  <si>
    <t>Curtright, Andrew J.; Tiemann, Lisa K.</t>
  </si>
  <si>
    <t>Chemical identity of carbon substrates drives differences in denitrification and N2O reduction within agricultural soils</t>
  </si>
  <si>
    <t>Denitrification; N2O reduction; C substrate; C-To-N ratio; Soil carbon</t>
  </si>
  <si>
    <t>NITROUS-OXIDE REDUCTION; MICROBIAL COMMUNITIES; ECOLOGICAL NICHES; EMISSIONS; RATES; EFFICIENCY; DIVERSITY; NITRATE; NOSZ; CONSUMPTION</t>
  </si>
  <si>
    <t>Rates of nitrous oxide (N2O) production from agricultural soils are highly variable across space and time. Improving predictions of N2O emissions will require improving our understanding of the drivers of denitrifica-tion and the sources of variability in the rates of N2O production between soils and over time. While the amount of available carbon (C) is a known control on denitrification and N2O reduction, relatively little attention has been paid to the effect of the chemical identity of C substrates on rates of denitrification and N2O reduction. We investigated the effects of twelve different C-substrate additions on the production and reduction of N2O in five soils taken from two distinct agricultural locations in Michigan under multiple land uses. We provided additions of glucose, cellulose, N-acetyl-glucosamine, chitin, amino acids, protein, vanillyl alcohol, lignin, citrate, succi-nate, methanol, and water in laboratory denitrification potential assays to determine the effects of denitrifier C preference on denitrification rates. We found that amino acids, protein, and organic acids stimulated the greatest rates of denitrification potential across all land uses. Similarly, we found these same substrates caused the most N2O reduction, resulting in the lowest net concentrations of N2O. Soils from agricultural rotations without cover crops had overall lower rates of denitrifier activity, leading to less net N2O production compared to soils from other land uses. In general, C-utilization patterns were similar among all soils, and C-substrate identity had a much stronger effect than land use. Here, we demonstrate that the chemical identity of available C gives rise to wide variability in rates of denitrification and N2O reduction.</t>
  </si>
  <si>
    <t>[Curtright, Andrew J.; Tiemann, Lisa K.] Michigan State Univ, Dept Plant Soil &amp; Microbial Sci, 1066 Bogue St,A286 Plant &amp; Soil Sci Bldg, E Lansing, MI 48824 USA; [Curtright, Andrew J.] Univ Calif Davis, Dept Land Air &amp; Water Resources, One Shields Ave,1110 Plant &amp; Environm Sci Bldg, Davis, CA 95616 USA</t>
  </si>
  <si>
    <t>Michigan State University; University of California System; University of California Davis</t>
  </si>
  <si>
    <t>Curtright, AJ (corresponding author), Michigan State Univ, Dept Plant Soil &amp; Microbial Sci, 1066 Bogue St,A286 Plant &amp; Soil Sci Bldg, E Lansing, MI 48824 USA.;Curtright, AJ (corresponding author), Univ Calif Davis, Dept Land Air &amp; Water Resources, One Shields Ave,1110 Plant &amp; Environm Sci Bldg, Davis, CA 95616 USA.</t>
  </si>
  <si>
    <t>acurtright@ucdavis.edu; ltiemann@msu.edu</t>
  </si>
  <si>
    <t>Curtright, Andrew/LGY-8161-2024</t>
  </si>
  <si>
    <t>Curtright, Anew/0000-0003-4490-3394</t>
  </si>
  <si>
    <t>U.S. Department of Energy, Office of Science, Office of Biological and Environmental Research [DESC0014108]; USDA-NIFA [2017-67013-26257]; Foundation for Food and Agriculture Research [430834]; NSF Long-term Ecological Research Program at the Kellogg Biological Station [DEB 2224712]; Michigan State University AgBioResearch</t>
  </si>
  <si>
    <t>U.S. Department of Energy, Office of Science, Office of Biological and Environmental Research(United States Department of Energy (DOE)); USDA-NIFA(United States Department of Agriculture (USDA)); Foundation for Food and Agriculture Research; NSF Long-term Ecological Research Program at the Kellogg Biological Station(UK Research &amp; Innovation (UKRI)Biotechnology and Biological Sciences Research Council (BBSRC)); Michigan State University AgBioResearch(Michigan State University)</t>
  </si>
  <si>
    <t>This work was part of the MMPRNT project, which is funded by the U.S. Department of Energy, Office of Science, Office of Biological and Environmental Research [award number DESC0014108] . Additional funding was also provided by USDA-NIFA [award number 2017-67013-26257] and the Foundation for Food and Agriculture Research [award number 430834] . Support for this research was also provided by the NSF Long-term Ecological Research Program (DEB 2224712) at the Kellogg Biological Station and by Michigan State University AgBioResearch.</t>
  </si>
  <si>
    <t>10.1016/j.soilbio.2023.109078</t>
  </si>
  <si>
    <t>JUN 2023</t>
  </si>
  <si>
    <t>M3DU4</t>
  </si>
  <si>
    <t>WOS:001029025300001</t>
  </si>
  <si>
    <t>Takeshima, H; Liu, YY</t>
  </si>
  <si>
    <t>Takeshima, Hiroyuki; Liu, Yanyan</t>
  </si>
  <si>
    <t>Smallholder mechanization induced by yield-enhancing biological technologies: Evidence from Nepal and Ghana</t>
  </si>
  <si>
    <t>Biological and mechanical technologies; Agroclimatic similarity; Adoption intensity; Principal component-based instrumental variables; Nepal; Ghana</t>
  </si>
  <si>
    <t>PRINCIPAL COMPONENTS; AGRICULTURE; DEMAND; GROWTH; INPUTS; FOOD</t>
  </si>
  <si>
    <t>Recent agricultural transformation in Asia and Africa has witnessed the gradual spread of mechanization in agricultural areas that are still largely made up of smallholder farming. While the literature has often characterized mechanical technologies as being complementary to land, knowledge gaps exist with regard to the process of adoption of mechanization by smallholders for whom the scope for exploiting its complementarity with land is limited. We test a hypothesis that yield-enhancing biological technologies-which potentially raise total factor productivity and returns to more intensive farm-power use-are important drivers of the adoption of agricultural mechanization among smallholders. To enhance the external validity of evidence, we empirically analyze this hypothesis by applying the same methodologies in two countries, lowland (Terai) Nepal and Ghana. We employ nationally representative, repeated, cross-sectional data from both countries, as well as unique tractor-use data from Ghana; we also employ multidimensional indicators of agroclimatic similarly in the respective plant breeding locations. We show that in both lowland Nepal and Ghana, the adoption of tractors and agricultural equipment has been induced by yield-enhancing biological technologies, particularly improved varieties and high-yielding production systems, when these biological technologies are instrumented by agroclimatic similarly to plant breeding locations, which is measured accounting for the multidimensional characteristics of agroclimatic conditions, and thus proxies spillover potentials of the public sector developed biological technologies. In general, these effects are particularly strong among smaller farms, and the effect holds for the adoption of mechanization both at extensive margins (whether to adopt) and at intensive margins (how much to adopt). In Ghana, partly due to improved efficiency in supply-side factors of mechanization, these linkages have strengthened in the 2010s. The results suggest that in both countries, mechanization support strategies for smallholders can potentially improve their targeting by utilizing the information of agroclimatic similarly with plant breeding locations. In Ghana, further public investments in plant-breeding system in strategic locations may broadly enhance smallholders' demand for mechanization. In lowland Nepal where tractor adoptions have grown fairly high, it is now important to more carefully evaluate the trade-off between smallholder-based growth strategies and other strategies, for example, promoting scale-expansions of farming, which also involves mechanization.</t>
  </si>
  <si>
    <t>[Takeshima, Hiroyuki; Liu, Yanyan] Int Food Policy Res Inst, 1201 Eye St NW, Washington, DC 20005 USA</t>
  </si>
  <si>
    <t>CGIAR; International Food Policy Research Institute (IFPRI)</t>
  </si>
  <si>
    <t>Takeshima, H (corresponding author), Int Food Policy Res Inst, 1201 Eye St NW, Washington, DC 20005 USA.</t>
  </si>
  <si>
    <t>H.takeshima@cgiar.org; Y.liu@cgiar.org</t>
  </si>
  <si>
    <t>Takeshima, Hiroyuki/AAN-6611-2021</t>
  </si>
  <si>
    <t>Takeshima, Hiroyuki/0000-0002-1761-408X</t>
  </si>
  <si>
    <t>Syngenta Foundation for Sustainable Agriculture; CGIAR Research Program on Policies, Institutions, and Markets (PIM)</t>
  </si>
  <si>
    <t>Syngenta Foundation for Sustainable Agriculture(Syngenta); CGIAR Research Program on Policies, Institutions, and Markets (PIM)(CGIAR)</t>
  </si>
  <si>
    <t>Authors appreciate the comments from the two anonymous reviewers and the editor of the journal for their constructive comments. This study was financially supported by Syngenta Foundation for Sustainable Agriculture and the CGIAR Research Program on Policies, Institutions, and Markets (PIM) led by the International Food Policy Research Institute (IFPRI). The views expressed in this paper are those of authors and do not necessarily reflect those of their respective institutions. All remaining errors or omissions are our own.</t>
  </si>
  <si>
    <t>10.1016/j.agsy.2020.102914</t>
  </si>
  <si>
    <t>NH6CS</t>
  </si>
  <si>
    <t>WOS:000564756600007</t>
  </si>
  <si>
    <t>Benin, S</t>
  </si>
  <si>
    <t>Benin, Samuel</t>
  </si>
  <si>
    <t>Impact of Ghana's agricultural mechanization services center program</t>
  </si>
  <si>
    <t>AGRICULTURAL ECONOMICS</t>
  </si>
  <si>
    <t>Ghana; Matching; Mechanization services; Treatment effects</t>
  </si>
  <si>
    <t>Use of mechanization in African agriculture has returned strongly to the development agenda, particularly following the recent high food prices crisis. Many developing country governments-including Ghana, the case study of this article-have resumed support for agricultural mechanization, typically in the form of subsidies for tractor purchase and establishment of private-sector-run agricultural mechanization service centers (AMSECs). The aim of this article is to assess the impact of Ghana's AMSEC program on various farm household outcomes, using data from surveys that were conducted with 270 farm households. A two-stage propensity score matching and difference-in-difference estimation procedure is used to estimate the impacts of the program, employing different definitions of treatment, model specifications, and matching algorithms to assess sensitivity of the estimator to different assumptions. The results indicate that the AMSEC program has had a mixed impact on different outcome indicators. For example, whereas the program has contributed to improving availability of mechanization services, reducing drudgery, and raising yield, it has had no impact on the change in the prices paid by farmers for the services used and the change in the amount of area plowed. Implications of the results on labor-mechanization substitution and for raising and sustaining productivity further are drawn.</t>
  </si>
  <si>
    <t>[Benin, Samuel] Int Food Policy Res Inst, Davis, CA 95616 USA</t>
  </si>
  <si>
    <t>Benin, S (corresponding author), Int Food Policy Res Inst, 1107 Alice St, Davis, CA 95616 USA.</t>
  </si>
  <si>
    <t>s.benin@cgiar.org</t>
  </si>
  <si>
    <t>WILEY-BLACKWELL</t>
  </si>
  <si>
    <t>0169-5150</t>
  </si>
  <si>
    <t>1574-0862</t>
  </si>
  <si>
    <t>AGR ECON-BLACKWELL</t>
  </si>
  <si>
    <t>10.1111/agec.12201</t>
  </si>
  <si>
    <t>DA1KL</t>
  </si>
  <si>
    <t>WOS:000367554600008</t>
  </si>
  <si>
    <t>Zhang, CQ; Nie, JH; Yan, XH</t>
  </si>
  <si>
    <t>Zhang, Caiqing; Nie, Jinghan; Yan, Xiaohui</t>
  </si>
  <si>
    <t>Estimation of biomass utilization potential in China and the impact on carbon peaking</t>
  </si>
  <si>
    <t>Biomass energy; China; Potential measurement; Energy utilization; Fossil fuel substitution; Carbon emission reduction; Carbon peaking</t>
  </si>
  <si>
    <t>ENERGY-PRODUCTION; BIOGAS PRODUCTION; CROP RESIDUES; BIOENERGY; WASTE; EMISSIONS; STRAW</t>
  </si>
  <si>
    <t>China has abundant agricultural and forestry waste resources that are crucial sources of energy for substituting fossil fuels and achieving the carbon peaking and carbon neutrality goals. These resources play an essential role in reducing carbon dioxide emissions and promoting sustainable development. This paper presents an estimation of the number of biomass resources that can be used for energy in 2020 by using parameters such as the grass-to-grain ratio coefficient and excretion coefficient. Moreover, the potential for conversion of biomass resources into biomass energy is evaluated by using parameters such as lower heating value and gas production coefficient. Finally, based on the whole life cycle theory, the potential of biomass energy utilization to reduce carbon dioxide emissions and its impact on carbon peaking is calculated. It was found that the total amount of fossil fuels that can be replaced by biomass energy is 256 million tons of standard coal. Utilizing biomass energy can reduce carbon dioxide emissions by approximately 520 million tons, with a peak impact of 4-6% on carbon peaking. The research results presented in this article can provide valuable data to support the promotion of green transformation in various regions. The findings can serve as a useful reference for formulating localized biomass utilization plans and designing effective emission reduction policies.</t>
  </si>
  <si>
    <t>[Zhang, Caiqing; Nie, Jinghan; Yan, Xiaohui] North China Elect Power Univ, Sch Econ Management, Huadian Rd, Baoding 071000, Peoples R China</t>
  </si>
  <si>
    <t>North China Electric Power University</t>
  </si>
  <si>
    <t>Nie, JH (corresponding author), North China Elect Power Univ, Sch Econ Management, Huadian Rd, Baoding 071000, Peoples R China.</t>
  </si>
  <si>
    <t>w18232023783@126.com; njh2096271215@163.com; 759652771@qq.com</t>
  </si>
  <si>
    <t>10.1007/s11356-023-28891-1</t>
  </si>
  <si>
    <t>U7KP0</t>
  </si>
  <si>
    <t>WOS:001041862000014</t>
  </si>
  <si>
    <t>Jong, YW; Beirne, C; Meunier, Q; Biyogo, APM; Mbélé, AE; Stewart, CG; Poulsen, JR</t>
  </si>
  <si>
    <t>Jong, Ying Wei; Beirne, Christopher; Meunier, Quentin; Biyogo, Andreana Paola Mekui; Mbele, Alex Ebang; Stewart, Christopher G.; Poulsen, John R.</t>
  </si>
  <si>
    <t>Expected carbon emissions from a rubber plantation in Central Africa</t>
  </si>
  <si>
    <t>Secondary forest; Rubber plantation; Land use; Carbon sequestration; Central Africa; Tropical agriculture; Gabon</t>
  </si>
  <si>
    <t>AGRICULTURAL EXPANSION; HEVEA-BRASILIENSIS; BURN AGRICULTURE; SOIL FERTILITY; STOCKS; SEQUESTRATION; FOREST; LANDSCAPE; BIOMASS; DEFORESTATION</t>
  </si>
  <si>
    <t>The development of agriculture on degraded lands is increasingly seen as a strategy to boost food availability and economic productivity while minimizing environmental degradation and loss of forests. To understand the effects of agricultural production on forest carbon, we quantify the aboveground carbon (AGC) of a degraded forest in northeast Gabon (the Olam Rubber Gabon concession) designated for development to a rubber plantation. Combining field measurements from 19 1-ha tree plots and aerial LiDAR, we estimate forest AGC stocks and emissions under four development scenarios: no development, 30-year rubber rotation, extended rubber rotation (replanting of plantation in stages at 30 and 40 years), and 30-year oil palm rotation. On average, the degraded forest in the study area stored 123.8 Mg C ha(-1), a mean AGC lower than the Gabon average (141.6 Mg C h(a-)1) but substantially higher than the 75 Mg C ha(-1) threshold recommended by the High Carbon Stock protocol. Converting secondary forest to plantation might incur high environmental opportunity costs from lost carbon sequestration through forest succession and growth. In this study, we estimate that a rubber plantation can sequester similar amounts of AGC as secondary forest by the end of a 30-year rotation; however, the timeaveraged AGC of regenerating secondary forests under no development would be 184% higher than a mature rubber plantation with a 30-year rotation, 169% higher than an extended rubber rotation, and 512% higher than a 30-year oil palm rotation. When degraded forest is developed for agriculture, measures should be taken to avoid emissions and prolong carbon retention. We specifically estimate carbon retention from extended harvest rotations and conserving high carbon value areas as set-asides and highlight recommendations from the litera ture such as minimizing soil disturbance and creating rubber timber products (e.g. furniture). To minimize carbon emissions from agriculture, crop plantation area should be minimized at national and regional scales in highly forested countries, and new plantations should be coupled explicitly with effective forest restoration actions, through suitable regulation and planning, to mitigate or compensate for their climate and biodiversity impacts.</t>
  </si>
  <si>
    <t>[Jong, Ying Wei; Beirne, Christopher; Mbele, Alex Ebang; Poulsen, John R.] Duke Univ, Nicholas Sch Environm, Durham, NC 27710 USA; [Meunier, Quentin; Biyogo, Andreana Paola Mekui; Stewart, Christopher G.] OLAM Int Ltd, BP 1024, Libreville, Gabon; [Mbele, Alex Ebang] Agence Natl Parcs Nationaux, BP 20379, Libreville, Gabon</t>
  </si>
  <si>
    <t>Duke University</t>
  </si>
  <si>
    <t>Poulsen, JR (corresponding author), Duke Univ, Nicholas Sch Environm, Durham, NC 27710 USA.</t>
  </si>
  <si>
    <t>john.poulsen@duke.edu</t>
  </si>
  <si>
    <t>Beirne, Christopher/S-9430-2019; Poulsen, John/O-5332-2019</t>
  </si>
  <si>
    <t>Poulsen, John/0000-0002-1532-9808; Beirne, Christopher/0000-0003-3988-2031</t>
  </si>
  <si>
    <t>10.1016/j.foreco.2020.118668</t>
  </si>
  <si>
    <t>PF9CE</t>
  </si>
  <si>
    <t>WOS:000599342600005</t>
  </si>
  <si>
    <t>Manka'abusi, D; Steiner, C; Haering, V; Abubakari, A; Marschner, B; Buerkert, A</t>
  </si>
  <si>
    <t>Manka'abusi, Delphine; Steiner, Christoph; Haering, Volker; Abubakari, Abdul-Halim; Marschner, Bernd; Buerkert, Andreas</t>
  </si>
  <si>
    <t>Gaseous carbon and nitrogen losses during composting of carbonized and un-carbonized agricultural residues in northern Ghana</t>
  </si>
  <si>
    <t>JOURNAL OF PLANT NUTRITION AND SOIL SCIENCE</t>
  </si>
  <si>
    <t>ammonia; biochar; carbon dioxide; nitrous oxide; sub-Saharan Africa</t>
  </si>
  <si>
    <t>ORGANIC-MATTER DEGRADATION; POULTRY LITTER; ACTIVATED CARBON; GREENHOUSE-GAS; LAND-USE; BIOCHAR; MANURE; RETENTION; EMISSIONS; WASTE</t>
  </si>
  <si>
    <t>Adding biochar to nutrient rich organic matter during composting reportedly reduces nitrogen (N) volatilization and carbonization of feedstock stabilized organic carbon (C). We studied the effects of biochar, produced from agricultural residue as compost additives, on CO2, N2O, and NH3 fluxes in northern Ghana. Three biochar types [from corn cobs (cCC), rice husks (cRH), and wood (cWO)] and their uncharred feedstocks (CC, RH, and WO), were co-composted with poultry manure (15 vol.-%) and rice straw (60 vol.-%) in randomly allocated 1 m(3) compost bins. Emissions were measured using a closed chamber system composed of a photo-acoustic infrared gas analyser (INNOVA 1312-5). Biochar amended composts showed higher CO2-C emission rates during the initial composting phase. Maximum CO2-C flux rates during the first week reached 15 g CO2-C m(-2) h(-1) in cRH and 12 g CO2-C m(-2) h(-1) for RH, while those from cCC were 19 g CO2-C m(-2) h(-1) and from CC 14 g CO2-C m(-2) h(-1). Respiration significantly dropped during the last week of composting and lower rates recorded with carbonized compared with the un-carbonized feedstocks. Total CO2-C losses were 12 kg m(-2) 34 d(-1) for RH and 9 kg m(-2) 34 d(-1) for cRH, resulting in a 29% reduction of CO2-C. Emissions were 9 and 10 kg CO2-C m(-2) 34 d(-1) for cCC and CC, while cWO and WO emitted 7 and 8 kg CO2-C m(-2) 34 d(-1), respectively. Volatilization of NH3-N was significantly lower in compost containing cWO (89 g N m(-2) 34 d(-1)) compared to WO (166 g N m(-2) 34 d(-1)), while N2O-N emissions were lower in compost mixtures containing cRH (27%), cCC (7%), and cWO (16%) compared with their un-carbonized feedstock.</t>
  </si>
  <si>
    <t>[Manka'abusi, Delphine; Steiner, Christoph; Buerkert, Andreas] Univ Kassel, Organ Plant Prod &amp; Agroecosyst Res Trop &amp; Subtrop, D-37213 Witzenhausen, Germany; [Haering, Volker; Marschner, Bernd] Ruhr Univ Bochum, Inst Geog Soil Sci &amp; Soil Ecol, D-44780 Bochum, Germany; [Abubakari, Abdul-Halim] Univ Dev Studies, Dept Hort, Hort, Box TL 1882, Tamale, Ghana</t>
  </si>
  <si>
    <t>Universitat Kassel; Ruhr University Bochum; University for Development Studies</t>
  </si>
  <si>
    <t>Buerkert, A (corresponding author), Univ Kassel, Organ Plant Prod &amp; Agroecosyst Res Trop &amp; Subtrop, D-37213 Witzenhausen, Germany.</t>
  </si>
  <si>
    <t>buerkert@uni-kassel.de</t>
  </si>
  <si>
    <t>; Marschner, Bernd/X-3498-2018; Steiner, Christoph/OUH-8622-2025</t>
  </si>
  <si>
    <t>Manka'abusi, Delphine/0000-0003-2227-593X; Marschner, Bernd/0000-0002-4109-1282; Abubakari, Abdul-Halim/0000-0001-7359-0118</t>
  </si>
  <si>
    <t>German Federal Ministry of Education and Research (BMBF); German Federal Ministry for Economic Cooperation and Development (BMZ) under the initiative GlobE-Research for the Global Food Supply [031A242-A, 031A242-B]; German Academic Exchange Service (DAAD)</t>
  </si>
  <si>
    <t>German Federal Ministry of Education and Research (BMBF)(Federal Ministry of Education &amp; Research (BMBF)); German Federal Ministry for Economic Cooperation and Development (BMZ) under the initiative GlobE-Research for the Global Food Supply; German Academic Exchange Service (DAAD)(Deutscher Akademischer Austausch Dienst (DAAD))</t>
  </si>
  <si>
    <t>This work was conducted within the UrbanFoodPlus Project, funded by the German Federal Ministry of Education and Research (BMBF) and the German Federal Ministry for Economic Cooperation and Development (BMZ) under the initiative GlobE-Research for the Global Food Supply, grant number 031A242-A,B. The support of the German Academic Exchange Service (DAAD) by a scholarship to the first author is gratefully acknowledged. We thank Kofi Atiah for producing the biochar, and also the field assistant Abdul-Kadiri Amadou during the field work. This study would not have been possible without the infrastructural and logistic support of the University for Development Studies (UDS) Tamale, Ghana.</t>
  </si>
  <si>
    <t>WILEY-V C H VERLAG GMBH</t>
  </si>
  <si>
    <t>WEINHEIM</t>
  </si>
  <si>
    <t>POSTFACH 101161, 69451 WEINHEIM, GERMANY</t>
  </si>
  <si>
    <t>1436-8730</t>
  </si>
  <si>
    <t>1522-2624</t>
  </si>
  <si>
    <t>J PLANT NUTR SOIL SC</t>
  </si>
  <si>
    <t>J. Plant Nutr. Soil Sci.</t>
  </si>
  <si>
    <t>10.1002/jpln.201800225</t>
  </si>
  <si>
    <t>HC6JB</t>
  </si>
  <si>
    <t>WOS:000451906900010</t>
  </si>
  <si>
    <t>Guo, XM; Huang, S; Wang, Y</t>
  </si>
  <si>
    <t>Guo, Xiaoming; Huang, Sen; Wang, Yu</t>
  </si>
  <si>
    <t>Influence of Agricultural Mechanization Development on Agricultural Green Transformation in Western China, Based on the ML Index and Spatial Panel Model</t>
  </si>
  <si>
    <t>MATHEMATICAL PROBLEMS IN ENGINEERING</t>
  </si>
  <si>
    <t>The agricultural mechanization development can promote the high-quality development of agriculture, but the agriculture which faces the huge environmental pressure also needs to transform to the green sustainable development. Based on agricultural panel data of 30 provinces in China from the year 2008 to 2017, this paper measures the level of agricultural green transformation using the Malmquist-Luenberger (ML) index. Furthermore, the spatial panel econometric model is used to empirically investigate the impact of agricultural mechanization development on this green transformation. It concludes that the agricultural green transformation in western China shows an upward trend in fluctuations, with its overall transformation level still lower than the national average level. Besides, the agricultural mechanization operation level in the western region has a positive role in promoting the green transformation of agriculture, while the agricultural mechanization equipment level shows the opposite force. Compared with southwest China, the agricultural mechanization operation level in northwest China has a more positive impact. The improvement of farmers' income and agricultural technology has positive impacts on agriculture green transformation in the whole western region, while agricultural human capital shows an opposite impact on the northwest and southwest.</t>
  </si>
  <si>
    <t>[Guo, Xiaoming; Huang, Sen; Wang, Yu] Sichuan Int Studies Univ, Res Ctr Natl Econ &amp; Int Business, Chongqing 400031, Peoples R China</t>
  </si>
  <si>
    <t>Sichuan International Studies University</t>
  </si>
  <si>
    <t>Huang, S (corresponding author), Sichuan Int Studies Univ, Res Ctr Natl Econ &amp; Int Business, Chongqing 400031, Peoples R China.</t>
  </si>
  <si>
    <t>alicegxm@sina.com; mikerwashine@163.com; 84744434@qq.com</t>
  </si>
  <si>
    <t>guo, xiaoming/0000-0002-2577-2803</t>
  </si>
  <si>
    <t>National Natural Science Foundation of China [71503028]; Social Science Planning Project of Chongqing Municipality China [2019YBJJ039]; Research Project of Sichuan International Studies University Chongqing China [sisu2019033]</t>
  </si>
  <si>
    <t>National Natural Science Foundation of China(National Natural Science Foundation of China (NSFC)); Social Science Planning Project of Chongqing Municipality China; Research Project of Sichuan International Studies University Chongqing China</t>
  </si>
  <si>
    <t>This research was supported by the National Natural Science Foundation of China (Project no. 71503028) Study on dynamic incentive system of river basin cross-border compensation and coordinated management based on MLPANT model, the Social Science Planning Project of Chongqing Municipality China (Project no. 2019YBJJ039) Research on efficient trade cooperation between China and `Belt and Road' route countries under the international logistics corridor construction, and the Research Project of Sichuan International Studies University Chongqing China (Project no. sisu2019033) Efficiency measurement and promotion mechanism of interconnection between China and 'Belt and Road' route countries.</t>
  </si>
  <si>
    <t>HINDAWI LTD</t>
  </si>
  <si>
    <t>ADAM HOUSE, 3RD FLR, 1 FITZROY SQ, LONDON, W1T 5HF, ENGLAND</t>
  </si>
  <si>
    <t>1024-123X</t>
  </si>
  <si>
    <t>1563-5147</t>
  </si>
  <si>
    <t>MATH PROBL ENG</t>
  </si>
  <si>
    <t>Math. Probl. Eng.</t>
  </si>
  <si>
    <t>AUG 24</t>
  </si>
  <si>
    <t>10.1155/2020/6351802</t>
  </si>
  <si>
    <t>Engineering, Multidisciplinary; Mathematics, Interdisciplinary Applications</t>
  </si>
  <si>
    <t>Engineering; Mathematics</t>
  </si>
  <si>
    <t>NQ3KJ</t>
  </si>
  <si>
    <t>WOS:000570762700007</t>
  </si>
  <si>
    <t>Fischer, G; Kotu, B; Mutungi, C</t>
  </si>
  <si>
    <t>Fischer, Gundula; Kotu, Bekele; Mutungi, Christopher</t>
  </si>
  <si>
    <t>Sustainable and equitable agricultural mechanization? A gendered perspective on maize shelling</t>
  </si>
  <si>
    <t>RENEWABLE AGRICULTURE AND FOOD SYSTEMS</t>
  </si>
  <si>
    <t>Gender; labor; maize; mechanization; post-harvest processes; sustainability; Tanzania</t>
  </si>
  <si>
    <t>How can agricultural mechanization be accomplished in a sustainable and equitable way? This question has gained increased prominence in mechanization research over the past few years. In this study, we apply the question to mechanized maize shelling in Tanzania as a case in point. Data from a survey with 400 farmers and from semi-structured interviews with 21 key informants are combined for a gender analysis that relies on Kabeer's concept of four institutional sites (household, community, market and government). The findings reveal that although mechanization reduces men's and women's perceived drudgery of shelling, relief depends on gendered patterns of labor allocation and decision-making at the household level. As a result, the transformation of inequitable norms emerges as paramount. Key informants identified additional aspects that would make mechanized shelling more equitable and sustainable, such as mainstreaming gender and mechanization in comprehensive agricultural training, or the sensitization of mechanized input suppliers and manufacturers to farmers' preferences (including gender-sensitive machine design). Concerted efforts in multiple institutional sites are needed to achieve lasting change in respect of equity in mechanization.</t>
  </si>
  <si>
    <t>[Fischer, Gundula; Kotu, Bekele; Mutungi, Christopher] Int Inst Trop Agr IITA, Africa RISING, Arusha, Tanzania</t>
  </si>
  <si>
    <t>Fischer, G (corresponding author), Int Inst Trop Agr IITA, Africa RISING, Arusha, Tanzania.</t>
  </si>
  <si>
    <t>g.fischer@cgiar.org</t>
  </si>
  <si>
    <t>; Mutungi, Christopher/W-2974-2018; Fischer, Gundula/IWV-1819-2023</t>
  </si>
  <si>
    <t>Kotu, Bekele Hundie/0000-0002-5488-8426; Fischer, Gundula/0000-0002-7658-786X; Mutungi, Christopher/0000-0002-7876-1569;</t>
  </si>
  <si>
    <t>Africa Research in Sustainable Intensification for the Next Generation (Africa RISING) [AID-BFS-G-11-00002]; US Agency for International Development (USAID)</t>
  </si>
  <si>
    <t>Africa Research in Sustainable Intensification for the Next Generation (Africa RISING)(United States Agency for International Development (USAID)); US Agency for International Development (USAID)(United States Agency for International Development (USAID))</t>
  </si>
  <si>
    <t>This research was supported by Africa Research in Sustainable Intensification for the Next Generation (Africa RISING) grant number AID-BFS-G-11-00002 with funding by the US Agency for International Development (USAID).</t>
  </si>
  <si>
    <t>1742-1705</t>
  </si>
  <si>
    <t>1742-1713</t>
  </si>
  <si>
    <t>RENEW AGR FOOD SYST</t>
  </si>
  <si>
    <t>Renew. Agr. Food Syst.</t>
  </si>
  <si>
    <t>10.1017/S1742170521000016</t>
  </si>
  <si>
    <t>0I4QI</t>
  </si>
  <si>
    <t>WOS:000779405200009</t>
  </si>
  <si>
    <t>Ji, C; Wang, JD; Xu, C; Gu, Y; Yuan, J; Liang, D; Wang, L; Ning, YW; Zhou, J; Zhang, YC</t>
  </si>
  <si>
    <t>Ji, Cheng; Wang, Jidong; Xu, Cong; Gu, Yian; Yuan, Jie; Liang, Dong; Wang, Lei; Ning, Yunwang; Zhou, Jie; Zhang, Yongchun</t>
  </si>
  <si>
    <t>Amendment of straw with decomposing inoculants benefits the ecosystem carbon budget and carbon footprint in a subtropical wheat cropping field</t>
  </si>
  <si>
    <t>GREENHOUSE-GAS EMISSIONS; NITROUS-OXIDE EMISSIONS; WINTER-WHEAT; CHINA; SOIL; SYSTEMS; METHANE; YIELD</t>
  </si>
  <si>
    <t>The incorporation of straw with decomposing inoculants into soils has been widely recommended to sustain agricultural productivity. However, comprehensive analyses assessing the effects of straw combined with decomposing inoculants on greenhouse gas (GHG) emissions, net primary production (NPP), the net ecosystem carbon budget (NECB), and the carbon footprint (CF) in farmland ecosystems are scant. Here, we carried out a 2 - year field study in a wheat cropping system with six treatments: rice straw (S), a straw -decomposing Bacillus subtilis inoculant (K), a straw -decomposing Aspergillus oryzae inoculant (Q), a combination of straw and Bacillus subtilis inoculant (SK), a combination of straw and Aspergillus oryzae inoculant (SQ), and a control with no rice straw or decomposing inoculant (Control). We found that all the treatments resulted in a positive NECB ranging between 838 and 5065 kg C ha -1 . Relative to the Control, the S treatment increased CO 2 emissions by 16%, while considerably enhancing the NECB by 349%. This difference might be attributed to the straw C input and an increase in plant productivity (NPP, 30%). More importantly, in comparison to that in S, the NECB in SK and SQ significantly increased by 27 - 35% due to the positive response of NPP to the decomposing inoculants. Although the combination of straw and decomposing inoculants yielded a 3% increase in indirect GHG emissions, it also exhibited the lowest CF (0.18 kg CO 2 -eq kg - 1 of grain). This result was attributed to the synergistic effects of straw and decomposing inoculants, which reduced direct N 2 O emissions and increased wheat productivity. Overall, the findings of the present study suggested that the combined amendment of straw and decomposing inoculants is an environmentally sustainable management practice in wheat cropping systems that can generate win - win scenarios through improvements in soil C stock, crop productivity, and GHG mitigation.</t>
  </si>
  <si>
    <t>[Ji, Cheng; Wang, Jidong; Xu, Cong; Yuan, Jie; Liang, Dong; Wang, Lei; Ning, Yunwang; Zhang, Yongchun] Jiangsu Acad Agr Sci, Inst Agr Resources &amp; Environm, Natl Agr Expt Stn Agr Environm, Nanjing 210014, Peoples R China; [Ji, Cheng; Wang, Jidong; Xu, Cong; Zhang, Yongchun] Jiangsu Univ, Sch Environm &amp; Safety Engn, Zhenjiang 212013, Peoples R China; [Gu, Yian] Nanjing Tech Univ, Coll Food Sci &amp; Light Ind, Nanjing 211816, Peoples R China; [Zhou, Jie] Nanjing Agr Univ, Coll Agr, Nanjing 210095, Peoples R China</t>
  </si>
  <si>
    <t>Jiangsu Academy of Agricultural Sciences; Jiangsu University; Nanjing Tech University; Nanjing Agricultural University</t>
  </si>
  <si>
    <t>Wang, JD (corresponding author), Jiangsu Acad Agr Sci, Inst Agr Resources &amp; Environm, Natl Agr Expt Stn Agr Environm, Nanjing 210014, Peoples R China.</t>
  </si>
  <si>
    <t>Jidongwang@jaas.ac.cn</t>
  </si>
  <si>
    <t>Zhang, Yongchun/Q-2364-2016; Gu, Yian/IRZ-6531-2023; Yuan, Jie/LMN-7257-2024</t>
  </si>
  <si>
    <t>JI, CHENG/0000-0003-3726-3878;</t>
  </si>
  <si>
    <t>National Natural Science Foundation of China [42007088, 41907069, 42377338, 42177271, 42207388]; Key Research and Development Project of Jiangsu Province [BE2021378]; Jiangsu Agriculture Science and Technology Independent Innovation Fund [CX (21) 1009]; China Agriculture Research System [CARS-10-Sweetpotato]</t>
  </si>
  <si>
    <t>National Natural Science Foundation of China(National Natural Science Foundation of China (NSFC)); Key Research and Development Project of Jiangsu Province; Jiangsu Agriculture Science and Technology Independent Innovation Fund; China Agriculture Research System</t>
  </si>
  <si>
    <t>This research was financially supported by the National Natural Science Foundation of China (42007088, 41907069, 42377338, 42177271, and 42207388) , the Key Research and Development Project of Jiangsu Province (BE2021378) , the Jiangsu Agriculture Science and Technology Independent Innovation Fund (CX (21) 1009) , and the China Agriculture Research System (CARS-10-Sweetpotato) .</t>
  </si>
  <si>
    <t>10.1016/j.scitotenv.2024.171419</t>
  </si>
  <si>
    <t>QA7D9</t>
  </si>
  <si>
    <t>WOS:001218216400001</t>
  </si>
  <si>
    <t>Besseau, R; Hurtig, O; Scarlat, N</t>
  </si>
  <si>
    <t>Besseau, Romain; Hurtig, Oliver; Scarlat, Nicolae</t>
  </si>
  <si>
    <t>Mapping N2O cultivation emissions to assess the carbon footprint of bio-based energy with GNOCpy</t>
  </si>
  <si>
    <t>Cultivation emission; Carbon footprint; Bio-based energy; Nitrous oxide (N2O)</t>
  </si>
  <si>
    <t>NITROUS-OXIDE; ATMOSPHERIC METHANE; ANTARCTIC ICE; CO2; BUDGET; CH4</t>
  </si>
  <si>
    <t>Bioenergy, an alternative to fossil fuels, is not climate impact-free, with about a third of its carbon footprint coming as nitrous oxide emissions from feedstock cultivation. That is why, an accurate knowledge of those emissions is needed to ensure sufficient greenhouse gas savings. This study introduces GNOCpy, a Global Nitrous Oxide Calculator implemented in Python and designed to assess N2O emissions from feedstock cultivation for bioenergy. GNOCpy relies on the implementation of updated IPCC formulas and input data, including maps for location-dependent parameters such as climate, soil type, and agricultural data. The tool allows spatial visualisation and analysis of the nitrous oxide emissions caused by the production of various bioenergy feedstocks. A sensitivity analysis was performed and highlights the determining factors affecting the overall performance. Finally, averaged values corresponding to the European consumption were calculated and compared with the previous ones. The observed changes are mainly driven by the variation of the fertiliser use per unit of feedstock produced. Such outcomes are important to inform decision-making supporting the development of a more sustainable bioenergy sector. The GNOCpy tool is open-source and documented, allowing for transparency, reproducibility, and potential reuse beyond the scope of this study.</t>
  </si>
  <si>
    <t>[Besseau, Romain; Hurtig, Oliver; Scarlat, Nicolae] European Commiss, Joint Res Ctr JRC, I-21027 Ispra, Italy</t>
  </si>
  <si>
    <t>Besseau, R (corresponding author), European Commiss, Joint Res Ctr JRC, I-21027 Ispra, Italy.</t>
  </si>
  <si>
    <t>romain.besseau@ec.europa.eu</t>
  </si>
  <si>
    <t>Besseau, Romain/MVW-9036-2025</t>
  </si>
  <si>
    <t>10.1016/j.biombioe.2025.108234</t>
  </si>
  <si>
    <t>6QD8W</t>
  </si>
  <si>
    <t>WOS:001559370500001</t>
  </si>
  <si>
    <t>Luo, YT; Ye, X; Chuai, X; Yu, XX; Xu, Y; Li, S; Wang, T; Xiang, A</t>
  </si>
  <si>
    <t>Luo, Yuting; Ye, Xin; Chuai, Xiaowei; Yu, Xiaoxi; Xu, Ying; Li, Shuai; Wang, Tong; Xiang, Ai</t>
  </si>
  <si>
    <t>Spatiotemporal patterns and carbon balance of non-grain cultivation across China: coupling coordination analysis and multi-objective optimization</t>
  </si>
  <si>
    <t>Non-grain production; Carbon balance; Food security; Planting structure</t>
  </si>
  <si>
    <t>PARTICLE SWARM OPTIMIZATION; URBANIZATION; CONSUMPTION; FOOTPRINT; CROPS</t>
  </si>
  <si>
    <t>Non-grain cultivation is emerging as a critical issue in China, threatening food security and potentially impacting the carbon balance significantly. To date, limited research has examined the overall level of non-grain production in China, and there is a notable absence of studies investigating its impact on carbon levels. This study examines the heterogeneity of non-grain production levels across China's provinces from 2000 to 2021, elucidates the variations in crop carbon induced by non-grain production within a developed carbon accounting framework, And investigates the coupling And coordination between non-grain production and the net carbon sink in agriculture. A multi-objective particle swarm optimization model is employed to optimize the planting structure. The data indicate that from 2000 to 2021, non-grain production levels in China varied between 33.05% And 36.01%, with peak concentrations observed along the Southeast coast and in the northwest region. The total carbon sequestration in Chinese agriculture is on a slowly growing trend and is mainly affected by grain crops, particularly rice and maize. On average, grain crops had a higher carbon sequestration rate (5.55 t C/hm2) than non-grain crops (4.50 t C/hm2), although certain non-grain crops, Such as sugar beet And cotton, exhibited relatively higher sequestration rates. The share of carbon emissions from non-grain crops is increasing, from 28.18% in 2000 to 31.23% in 2021. Non-grain crops consume more pesticides, agricultural films And fertilisers during cultivation, And their carbon emissions per unit area are 1.98 t C/hm2 while the average level of grain crops is 1.56 t C/hm2. The coupled and coordinated relationship between non-grain production and its net carbon sink exhibits a spatial trend of 'high in the North, low in the South', with an imbalance in agricultural development between regions. Generally, non-grain production on cultivated land has promoted China's agricultural carbon emissions. The multi-objective optimisation can increase economic benefits by 5.10% And carbon benefits by 31.67%, which can maximise food security and effectively balance the contradiction between economic development and carbon balance.</t>
  </si>
  <si>
    <t>[Luo, Yuting; Ye, Xin; Chuai, Xiaowei; Yu, Xiaoxi; Xu, Ying; Li, Shuai; Wang, Tong; Xiang, Ai] Nanjing Univ, Sch Geog &amp; Ocean Sci, Nanjing 210023, Jiangsu, Peoples R China; [Luo, Yuting] Minist Nat Resources, Key Lab Carbon Neutral &amp; Terr Space Optimizat, Nanjing 210023, Jiangsu, Peoples R China</t>
  </si>
  <si>
    <t>Nanjing University; Ministry of Natural Resources of the People's Republic of China</t>
  </si>
  <si>
    <t>Chuai, X (corresponding author), Nanjing Univ, Sch Geog &amp; Ocean Sci, Nanjing 210023, Jiangsu, Peoples R China.</t>
  </si>
  <si>
    <t>chuaixiaowei@163.com</t>
  </si>
  <si>
    <t>Key Project of Jiangsu Province Social Science Fund; Key Earth Material Cycles Frontier Science Center'GeoX'Interdisciplinary Project [20250211]; Key of Territorial Spatial Planning and Development-Protection of the Ministrv of Natural Resources of PRC; [23GLA002]</t>
  </si>
  <si>
    <t>Key Project of Jiangsu Province Social Science Fund; Key Earth Material Cycles Frontier Science Center'GeoX'Interdisciplinary Project; Key of Territorial Spatial Planning and Development-Protection of the Ministrv of Natural Resources of PRC;</t>
  </si>
  <si>
    <t>This work was funded by the Key Project of Jiangsu Province Social Science Fund (23GLA002), Key Earth Material Cycles Frontier Science Center'GeoX'Interdisciplinary Project (20250211), and Key of Territorial Spatial Planning and Development-Protection of the Ministrv of Natural Resources of PRC and CAUPD Beijing Planning &amp; Design Consultants LTD.</t>
  </si>
  <si>
    <t>2025 OCT 13</t>
  </si>
  <si>
    <t>10.1007/s10668-025-06776-2</t>
  </si>
  <si>
    <t>8MM0V</t>
  </si>
  <si>
    <t>WOS:001592178000001</t>
  </si>
  <si>
    <t>Li, ZG; Yang, YC; Wang, XR; Qi, YB; Yang, XY</t>
  </si>
  <si>
    <t>Li, Zhigang; Yang, Yuchun; Wang, Xinru; Qi, Yanbing; Yang, Xiangyun</t>
  </si>
  <si>
    <t>Linking N2O emissions and nosZ gene abundance: A meta-analysis of organic carbon amendments in agricultural soils</t>
  </si>
  <si>
    <t>N2O emission; nosZ gene; Biochar; Straw; Organic fertilizer</t>
  </si>
  <si>
    <t>NITROUS-OXIDE EMISSIONS; BIOCHAR ADDITION; DENITRIFICATION; AMMONIUM; NITRATE; FLUXES; MANURE; CO2</t>
  </si>
  <si>
    <t>Background and aimsOrganic carbon (C) materials, such as biochar, straw, and organic fertilizer (OF), play a significant role in regulating soil nitrous oxide (N2O) emissions and the abundance of nitrogen (N)-cycling genes. Previous data-driven studies have evaluated changes in either N2O emission or N-cycling gene abundance separately under organic C amendments. However, the link between N2O emission and the abundance of the nosZ gene (encoding N2O reductase: responsible for reducing N2O to N2) has not been comprehensively analyzed.MethodsTo address this, a meta-analysis was conducted to assess the effects of biochar, straw, and OF application on soil cumulative N2O emission or N2O flux alongside nosZ gene abundance. A boosted regression tree (BRT) model was employed to identify key moderators.ResultsBiochar application significantly reduced soil cumulative N2O emission, while straw addition had the opposite effect, and OF amendments showed no significant response. The abundance of the nosZ gene increased after biochar and OF amendments and exhibited a negative correlation (mixed-effects model) with soil N2O cumulative emission or dynamic flux. Furthermore, drivers governing N2O cumulative emissions or fluxes were distinctly different as indicated by the BRT model, and changes in N2O flux were largely explained by the (nirS + nirK)/nosZ ratio and abundance of N-cycling genes (amoA-AOA/AOB, nirS, nirK, and nosZ).ConclusionOverall, the enhanced abundance of the nosZ gene following biochar and OF amendments plays a critical role in reducing N2O emissions. Future research should focus on unraveling the interactions between organic C properties and N-cycling gene abundance, as well as their regulatory mechanisms underlying N2O emissions.</t>
  </si>
  <si>
    <t>[Li, Zhigang; Yang, Yuchun; Wang, Xinru; Qi, Yanbing; Yang, Xiangyun] Northwest A&amp;F Univ, Coll Nat Resources &amp; Environm, Xianyang 712100, Peoples R China</t>
  </si>
  <si>
    <t>Qi, YB; Yang, XY (corresponding author), Northwest A&amp;F Univ, Coll Nat Resources &amp; Environm, Xianyang 712100, Peoples R China.</t>
  </si>
  <si>
    <t>ybqi@nwsuaf.edu.cn; xiangyunyang@nwsuaf.edu.cn</t>
  </si>
  <si>
    <t>Wang, Xinru/AAR-1510-2021</t>
  </si>
  <si>
    <t>National Natural Science Foundation of China [42277310]; National Natural Science Foundation of China [2022 PT-28]; Natural Science Basic Research Program of Shaanxi Province</t>
  </si>
  <si>
    <t>National Natural Science Foundation of China(National Natural Science Foundation of China (NSFC)); National Natural Science Foundation of China(National Natural Science Foundation of China (NSFC)); Natural Science Basic Research Program of Shaanxi Province</t>
  </si>
  <si>
    <t>This work was financially supported by the National Natural Science Foundation of China (No. 42277310) and The Natural Science Basic Research Program of Shaanxi Province (No. 2022 PT-28).</t>
  </si>
  <si>
    <t>10.1007/s11104-025-07608-y</t>
  </si>
  <si>
    <t>H9483</t>
  </si>
  <si>
    <t>WOS:001503460300001</t>
  </si>
  <si>
    <t>Silva, LJ; Oliveira, DMS; Santos, RS; Oliveira, PA; Freitas, DAF; Cherubin, MR; Cerri, CEP</t>
  </si>
  <si>
    <t>Silva, Liberio J.; Oliveira, Dener M. S.; Santos, Rafael S.; Oliveira, Pedro A.; Freitas, Diego A. F.; Cherubin, Mauricio R.; Cerri, Carlos E. P.</t>
  </si>
  <si>
    <t>Soil carbon dynamics in integrated agricultural systems in Minas Gerais state, Brazil: A meta-analysis</t>
  </si>
  <si>
    <t>Crop -livestock; Crop -livestock -forestry; Climate change; Soil organic matter; Degraded pastures</t>
  </si>
  <si>
    <t>GRAZING EXCLUSION; ORGANIC-MATTER; STOCKS; SEQUESTRATION; PASTURE; STORAGE; CROPS</t>
  </si>
  <si>
    <t>The state of Minas Gerais, Brazil, has one of the highest rates of carbon dioxide emission in the country with a large part of these emissions attributed to extensive livestock on degraded pastures. Integrated agricultural production systems are considered a promising strategy to alleviate the negative impacts on soil caused by agriculture (e.g., soil carbon losses via CO2 emissions) while keeping food production. However, the extent to which integrated systems [i.e., integrated crop -livestock (ICL) and integrated crop -livestock -forestry (ICLF)] can contribute to counterbalance soil organic carbon (SOC) losses is limited. Here, through a meta -analysis, we provide a regional -scale assessment of changes in SOC stocks associated with the adoption of ICL and ICLF systems in Minas Gerais state, Brazil. Additionally, we further investigated how SOC dynamics in these systems are affected by distinct soil (e.g., texture, depth) and climatic (e.g., temperature, precipitation) variables. Our results indicate that both ICL and ICLF systems resulted in SOC accrual after their implementation, at average rates of 1.09 and 1.21 Mg ha  1 yr  1, respectivelly. The age of the system affected SOC stocks only in the ICLF system, particularly between 4 and 8 years, in which SOC stocks increased at an average rate of 1.3 Mg ha  1 yr  1. While SOC stocks decreased in clay -sandy soils under ICLF systems, they increased in clay loam soils (1.06 Mg ha  1 yr  1). No clear trend was observed for ICL systems regarding soil texture. Positive effects of precipitation on SOC stocks in ICLF and ICL systems were observed only between 880 and 1000 and 1500-1700 mm, respectively. Clear effects of temperature on SOC stocks were observed only between 22 and 25 degrees C in ICLF systems. Soil depth had no significant effect on the rate of SOC stock change in the systems evaluated. Although the observed results help to better understand how integrated agricultural systems can affect SOC dynamics, the lack of detailed information in the studies used in our meta -analysis limits statically comparisons. However, our results indicate clear trends that ICLF and ICL systems can contribute to increasing SOC sequestration, and which climate and soil characteristics might be considered to maximize the efficiency of these systems in increasing SOC across Minas Gerais state, Brazil.</t>
  </si>
  <si>
    <t>[Silva, Liberio J.; Oliveira, Dener M. S.; Freitas, Diego A. F.] Univ Fed Vicosa, Inst Ciencias Agr, BR-35690000 Florestal, MG, Brazil; [Santos, Rafael S.] Colorado State Univ, Nat Resource Ecol Lab, Ft Collins, CO 80521 USA; [Oliveira, Pedro A.] Fed Fluminense Univ, Geochem Program, Outeiro Sao Joao Baptista S-N, BR-24020141 Niteroi, RJ, Brazil; [Cherubin, Mauricio R.; Cerri, Carlos E. P.] Univ Sao Paulo, Dept Ciencia Solo, Escola Super Agr Luiz Queiroz, BR-13418260 Piracicaba, SP, Brazil; [Cherubin, Mauricio R.; Cerri, Carlos E. P.] Univ Sao Paulo, Ctr Carbon Res Trop Agr CCARBON, BR-13418260 Piracicaba, SP, Brazil</t>
  </si>
  <si>
    <t>Universidade Federal de Vicosa; Colorado State University System; Colorado State University Fort Collins; Universidade Federal Fluminense; Universidade de Sao Paulo; Universidade de Sao Paulo</t>
  </si>
  <si>
    <t>Silva, LJ (corresponding author), Univ Fed Vicosa, Inst Ciencias Agr, BR-35690000 Florestal, MG, Brazil.</t>
  </si>
  <si>
    <t>liberiojunior25@gmail.com</t>
  </si>
  <si>
    <t>; de Freitas, Diego/ABG-7078-2020; Cerri, Carlos/E-6456-2015; Cherubin, Mauricio/A-6896-2016; Silva, Libério/AHC-5655-2022; OLIVEIRA, DENER/G-9878-2018</t>
  </si>
  <si>
    <t>Silva, Libério/0000-0002-6677-4645; França de Freitas, Diego Antonio/0000-0003-2154-638X; Cherubin, Maurício Roberto/0000-0001-7920-8362; Silva Santos, Rafael/0000-0003-4829-0644</t>
  </si>
  <si>
    <t>RCGI - Research Centre for Gas Innovation; FAPESP - Sao Paulo Research Foundation [2014/50279-4, 2020/15230-5]; Shell Brasil; ANP (Brazil's National Oil, Natural Gas and Biofuels Agency) through the R &amp; D levy regulation [APQ-01712-22]; Fundacao de Amparo a Pesquisa do Estado de Minas Gerais-FAPEMIG [APQ-01712-22]</t>
  </si>
  <si>
    <t>RCGI - Research Centre for Gas Innovation; FAPESP - Sao Paulo Research Foundation(Fundacao de Amparo a Pesquisa do Estado de Sao Paulo (FAPESP)); Shell Brasil; ANP (Brazil's National Oil, Natural Gas and Biofuels Agency) through the R &amp; D levy regulation; Fundacao de Amparo a Pesquisa do Estado de Minas Gerais-FAPEMIG(Fundacao de Amparo a Pesquisa do Estado de Minas Gerais (FAPEMIG)Fundacao de Amparo a Pesquisa e Inovacao do Estado de Santa Catarina (FAPESC))</t>
  </si>
  <si>
    <t>We gratefully acknowledge the support of the RCGI - Research Centre for Gas Innovation, hosted by the University of Sao Paulo (USP) and sponsored by FAPESP - Sao Paulo Research Foundation (2014/50279-4 and 2020/15230-5) and Shell Brasil, and the strategic importance of the support given by ANP (Brazil's National Oil, Natural Gas and Biofuels Agency) through the R &amp; D levy regulation. We also thank the Fundacao de Amparo a Pesquisa do Estado de Minas Gerais-FAPEMIG (APQ-01712-22) for funding this research.</t>
  </si>
  <si>
    <t>e00761</t>
  </si>
  <si>
    <t>10.1016/j.geodrs.2024.e00761</t>
  </si>
  <si>
    <t>KG4W2</t>
  </si>
  <si>
    <t>WOS:001178801900001</t>
  </si>
  <si>
    <t>Zheng, YS; Li, WJ; Jiang, L; Yuan, C; Xiao, T; Wang, R; Cai, M; Hong, HB</t>
  </si>
  <si>
    <t>Zheng, Yingsheng; Li, Wenjie; Jiang, Lu; Yuan, Chao; Xiao, Te; Wang, Ran; Cai, Meng; Hong, Haobin</t>
  </si>
  <si>
    <t>Spatial modelling of street-level carbon emissions with multi-source open data: A case study of Guangzhou</t>
  </si>
  <si>
    <t>URBAN CLIMATE</t>
  </si>
  <si>
    <t>Carbon emissions; Spatial modelling; Street-level; Open data; Low-carbon planning</t>
  </si>
  <si>
    <t>PEARL RIVER DELTA; CLIMATE-CHANGE; ENERGY-CONSUMPTION; TOP-DOWN; CHINA; CITY; EFFICIENCY; INVENTORY; IMPACTS; HEALTH</t>
  </si>
  <si>
    <t>A refined spatial understanding of carbon emissions is crucial for advancing low-carbon development. This study aims to develop a comprehensive, open data-based approach for spatial modelling of carbon emissions at street level, covering five sectors: industry, transportation, residential &amp; public service, commerce, and agriculture in Guangzhou. Two sets of open data, including statistical yearbook data and urban morphology data, were analyzed using a comprehensive methodology that integrates both bottom-up and top-down approaches to map the spatial distribution of carbon emissions. The findings delineate the carbon emission hierarchy across five distinct sectors as follows: Industrial (37.9%), Transportation (31.3%), Residential (18.6%), Commercial and Public Services (11.6%), and Agriculture (0.6%). The industrial sector emerges as the largest contributor, emitting 61.59 million tons, chiefly situated in suburban industrial zones like Huangpu and Panyu. Following closely is transportation, emitting 50.87 million tons, concentrated around Baiyun International Airport, ports, and urban areas with heavy traffic. Commercial and residential sectors emit 18.94 million tons, primarily within densely populated areas such as Tianhe and Haizhu. Agricultural emissions total 1.02 million tons, predominantly located on the city's outskirts, notably in Nansha. The findings of this study could provide information support for identifying carbon emission hotspots and developing sector-specific low- carbon urban planning strategies.</t>
  </si>
  <si>
    <t>[Zheng, Yingsheng; Li, Wenjie; Hong, Haobin] Guangzhou Univ, Coll Architecture &amp; Urban Planning, Guangzhou, Peoples R China; [Jiang, Lu] Beijing Normal Univ, Fac Geog Sci, Beijing, Peoples R China; [Yuan, Chao] Natl Univ Singapore, Dept Architecture, Singapore, Singapore; [Xiao, Te] Shanghai Jiao Tong Univ, Dept Civil Engn, Shanghai, Peoples R China; [Wang, Ran] Nankai Univ, Coll Econ &amp; Social Dev, Tianjin, Peoples R China; [Cai, Meng] Wuhan Univ, Sch Urban Design, Wuhan, Peoples R China; [Yuan, Chao] Natl Univ Singapore, NUS Cities, Singapore, Singapore</t>
  </si>
  <si>
    <t>Guangzhou University; Beijing Normal University; National University of Singapore; Shanghai Jiao Tong University; Nankai University; Wuhan University; National University of Singapore</t>
  </si>
  <si>
    <t>Jiang, L (corresponding author), Beijing Normal Univ, Fac Geog Sci, Beijing, Peoples R China.</t>
  </si>
  <si>
    <t>zhengyingsheng@gzhu.edu.cn; 2112209011@e.gzhu.edu.cn; jianglu@bnu.edu.cn; akiyuan@nus.edu.sg; xiaote@sjtu.edu.cn; wangran@nankai.edu.cn; mengcai@whu.edu.cn; 2112309016@e.gzhu.edu.cn</t>
  </si>
  <si>
    <t>Cai, Meng/AAP-7444-2021; Xiao, Te/F-5958-2014; Wang, Ran/AAU-3522-2021</t>
  </si>
  <si>
    <t>Xiao, Te/0000-0003-4935-892X; Wang, Ran/0000-0002-5556-7835</t>
  </si>
  <si>
    <t>Guangdong Basic and Applied Basic Research Foundation [2022A1515010171]; Guangdong Philosophy and Social Science Foundation [GD22CGL38]; Guangzhou Science and Technology Programme [202201020541]; Guangzhou Philosophy and Social Science Planning 2022 Annual Project [2022GZQN19]; Science and Technology Program of Guangzhou University</t>
  </si>
  <si>
    <t>Guangdong Basic and Applied Basic Research Foundation; Guangdong Philosophy and Social Science Foundation; Guangzhou Science and Technology Programme; Guangzhou Philosophy and Social Science Planning 2022 Annual Project; Science and Technology Program of Guangzhou University</t>
  </si>
  <si>
    <t>This study is supported by Guangdong Basic and Applied Basic Research Foundation (Grant No. 2022A1515010171) , Guangdong Philosophy and Social Science Foundation (Grant No. GD22CGL38) , Guangzhou Science and Technology Programme (Grant No. 202201020541) , Guangzhou Philosophy and Social Science Planning 2022 Annual Project (Grant No. 2022GZQN19) , and the Science and Technology Program of Guangzhou University (Grant No. PT252022006) .</t>
  </si>
  <si>
    <t>2212-0955</t>
  </si>
  <si>
    <t>URBAN CLIM</t>
  </si>
  <si>
    <t>Urban CLim.</t>
  </si>
  <si>
    <t>10.1016/j.uclim.2024.101974</t>
  </si>
  <si>
    <t>C9K5R</t>
  </si>
  <si>
    <t>WOS:001292479900001</t>
  </si>
  <si>
    <t>Xie, HL; Zhang, YW; Choi, Y</t>
  </si>
  <si>
    <t>Xie, Hualin; Zhang, Yanwei; Choi, Yongrok</t>
  </si>
  <si>
    <t>Measuring the Cultivated Land Use Efficiency of the Main Grain-Producing Areas in China under the Constraints of Carbon Emissions and Agricultural Nonpoint Source Pollution</t>
  </si>
  <si>
    <t>cultivated land use efficiency; input-output redundancy analysis; environmental constraints; carbon emissions; environmental management; agricultural nonpoint source pollution; EBM super efficiency model; China</t>
  </si>
  <si>
    <t>TECHNICAL EFFICIENCY; PRODUCTIVITY; ZONES</t>
  </si>
  <si>
    <t>The carbon emissions and agricultural nonpoint source pollution constraints were incorporated into the input-output index system, and the epsilon-based measure (EBM) super efficiency model and global Malmquist-Luenberger (GML) index were used to measure the cultivated land use efficiency and changes in the total factor productivity (TFP) of cultivated land use in the main grain-producing areas in China from 1993-2016. The results indicate that: (1) from 1993 to 2016, the cultivated land use efficiency in the main grain-producing areas in China showed a tendency to fluctuate and increase, with obvious stage characteristics; however, the overall level was not high. (2) There is a significant difference in the cultivated land use efficiency under the constraints of carbon emissions and nonpoint source pollution in the main grain-producing areas in the different provinces, and low-efficiency provinces have higher input redundancy and undesired output redundancy than high-efficiency provinces. It can be observed that input redundancy and undesired output redundancy have a significant negative effect on cultivated land use efficiency. (3) The TFP of cultivated land use under the constraints of carbon emissions and nonpoint source pollution in China's main grain-producing areas is estimated by the GML index. The results show that the TFP of cultivated land use in the main provinces in the main grain-producing regions is greater than 1, indicating that the productivity levels of all the provinces in China's main grain-producing areas are increasing. From the perspective of the power sources in each province, global pure technological change (GPTC) and global scale technological change (GSTC) are the main driving forces for the TFP of cultivated land use, while global pure efficiency change (GPEC) and global scale efficiency change (GSEC) are the bottlenecks for increasing the TFP of cultivated land use.</t>
  </si>
  <si>
    <t>[Xie, Hualin; Zhang, Yanwei] Jiangxi Univ Finance &amp; Econ, Inst Ecol Civilizat, Nanchang 330013, Jiangxi, Peoples R China; [Zhang, Yanwei] Jiangxi Univ Finance &amp; Econ, Sch Tourism &amp; Urban Management, Nanchang 330032, Jiangxi, Peoples R China; [Choi, Yongrok] Inha Univ, Dept Int Trade &amp; Reg Studies, 100 Inha Ro, Incheon 402751, South Korea</t>
  </si>
  <si>
    <t>Jiangxi University of Finance &amp; Economics; Jiangxi University of Finance &amp; Economics; Inha University</t>
  </si>
  <si>
    <t>Xie, HL (corresponding author), Jiangxi Univ Finance &amp; Econ, Inst Ecol Civilizat, Nanchang 330013, Jiangxi, Peoples R China.;Choi, Y (corresponding author), Inha Univ, Dept Int Trade &amp; Reg Studies, 100 Inha Ro, Incheon 402751, South Korea.</t>
  </si>
  <si>
    <t>landuse2008@126.com; bsonyan@126.com; yrchoi@inha.ac.kr</t>
  </si>
  <si>
    <t>; Choi, Yongrok/GRJ-6248-2022; Zhang, Yanwei/AAI-4454-2020</t>
  </si>
  <si>
    <t>Zhang, Yanwei/0000-0003-0672-2963; Choi, Yongrok/0000-0003-1935-2172; Xie, Hualin/0000-0002-4951-4526</t>
  </si>
  <si>
    <t>National Natural Science Foundation of China [41561040]; Key projects of the National Social Science Fund of China [15AZD075]; Funding Project for Academic and Technical Leaders in Major Disciplines of Jiangxi Province [20172BCB22011]; Technology Foundation of Jiangxi Education Department of China [KJLD14033, GJJ160431]; Fok Ying-Tung Fund [141084]</t>
  </si>
  <si>
    <t>National Natural Science Foundation of China(National Natural Science Foundation of China (NSFC)); Key projects of the National Social Science Fund of China; Funding Project for Academic and Technical Leaders in Major Disciplines of Jiangxi Province; Technology Foundation of Jiangxi Education Department of China; Fok Ying-Tung Fund(Fok Ying Tung Education Foundation)</t>
  </si>
  <si>
    <t>This study was supported by the National Natural Science Foundation of China (No. 41561040), the Key projects of the National Social Science Fund of China (No. 15AZD075), Funding Project for Academic and Technical Leaders in Major Disciplines of Jiangxi Province (20172BCB22011), the Technology Foundation of Jiangxi Education Department of China (No. KJLD14033 &amp; No. GJJ160431) and the Fok Ying-Tung Fund (No. 141084).</t>
  </si>
  <si>
    <t>10.3390/su10061932</t>
  </si>
  <si>
    <t>GK9LE</t>
  </si>
  <si>
    <t>WOS:000436570100244</t>
  </si>
  <si>
    <t>Wang, W; Guo, LP; Li, YC; Su, M; Lin, YB; de Perthuis, C; Ju, XT; Lin, ED; Moran, D</t>
  </si>
  <si>
    <t>Wang, Wen; Guo, Liping; Li, Yingchun; Su, Man; Lin, Yuebin; de Perthuis, Christian; Ju, Xiaotang; Lin, Erda; Moran, Dominic</t>
  </si>
  <si>
    <t>Greenhouse gas intensity of three main crops and implications for low-carbon agriculture in China</t>
  </si>
  <si>
    <t>SOIL ORGANIC-CARBON; NITROUS-OXIDE EMISSIONS; MANAGEMENT; CROPLANDS; FERTILIZER; TILLAGE; SYSTEM; MITIGATION; EFFICIENCY; N2O</t>
  </si>
  <si>
    <t>China faces significant challenges in reconciling food security goals with the objective of becoming a low-carbon economy. Agriculture accounts for approximately 11 % of China's national greenhouse gas (GHG) emissions with cereal production representing a large proportion (about 32 %) of agricultural emissions. Minimizing emissions per unit of product is a policy objective and we estimated the GHG intensities (GHGI) of rice, wheat and maize production in China from 1985 to 2010. Results show significant variations of GHGIs among Chinese provinces and regions. Relative to wheat and maize, GHGI of rice production is much higher owing to CH4 emissions, and is more closely related to yield levels. In general, the south and central has been the most carbon intensive region in rice production while the GHGI of wheat production is highest in north and northwest provinces. The southwest has been characterized by the highest maize GHGI but the lowest rice GHGI. Compared to the baseline scenario, a 2 % annual reduction in N inputs, combined with improved water management in rice paddies, would mitigate 17 % of total GHG emissions from cereal production in 2020 while sustaining the required yield increase to ensure food security. Better management practices will entail additional gains in soil organic carbon further decreasing GHGI. To realize the full mitigation potential while maximizing agriculture development, the design of appropriate policies should accommodate local conditions.</t>
  </si>
  <si>
    <t>[Wang, Wen; Guo, Liping; Li, Yingchun; Lin, Yuebin; Lin, Erda] Chinese Acad Agr Sci, Inst Environm &amp; Sustainable Dev Agr, Key Lab Agr Environm, Minist Agr PRC, Beijing 100081, Peoples R China; [Wang, Wen; de Perthuis, Christian] Univ Paris 09, Climate Econ Chair, F-75002 Paris, France; [Su, Man] Chinese Acad Agr Sci, Grad Sch, Beijing 100081, Peoples R China; [Ju, Xiaotang] China Agr Univ, Coll Resources &amp; Environm Sci, Beijing 100193, Peoples R China; [Moran, Dominic] Scotlands Rural Coll, Land Econ &amp; Environm Res Grp, Edinburgh EH9 3JG, Midlothian, Scotland</t>
  </si>
  <si>
    <t>Chinese Academy of Agricultural Sciences; Institute of Environment &amp; Sustainable Development in Agriculture, CAAS; Universite PSL; Universite Paris-Dauphine; Chinese Academy of Agricultural Sciences; Graduate School, CAAS; China Agricultural University; Scotland's Rural College</t>
  </si>
  <si>
    <t>Lin, ED (corresponding author), Chinese Acad Agr Sci, Inst Environm &amp; Sustainable Dev Agr, Key Lab Agr Environm, Minist Agr PRC, Beijing 100081, Peoples R China.</t>
  </si>
  <si>
    <t>lined@ami.ac.cn</t>
  </si>
  <si>
    <t>LI, Yingchun/AGG-7411-2022</t>
  </si>
  <si>
    <t>Lin, Yuebing/0000-0003-1514-4843; Ju, Xiaotang/0000-0003-2593-9500</t>
  </si>
  <si>
    <t>Chinese Ministry of Science and Technology [2013BAD11B03]; Climate Economics Chair of Paris-Dauphine University; Agricultural Science and Technology Innovation Program of CAAS; SmartSOIL EU FP7 project [289694]; NERC [NE/I002375/1] Funding Source: UKRI; Natural Environment Research Council [NE/I002375/1] Funding Source: researchfish</t>
  </si>
  <si>
    <t>Chinese Ministry of Science and Technology(Ministry of Science and Technology, China); Climate Economics Chair of Paris-Dauphine University; Agricultural Science and Technology Innovation Program of CAAS; SmartSOIL EU FP7 project(European Union (EU)); NERC(UK Research &amp; Innovation (UKRI)Natural Environment Research Council (NERC)); Natural Environment Research Council(UK Research &amp; Innovation (UKRI)Natural Environment Research Council (NERC))</t>
  </si>
  <si>
    <t>This study is funded by the Chinese Ministry of Science and Technology (2013BAD11B03), the Climate Economics Chair of Paris-Dauphine University and the Agricultural Science and Technology Innovation Program of CAAS. D.M. acknowledges support from the SmartSOIL EU FP7 project (grant number 289694).</t>
  </si>
  <si>
    <t>10.1007/s10584-014-1289-7</t>
  </si>
  <si>
    <t>AW4FO</t>
  </si>
  <si>
    <t>WOS:000346236800004</t>
  </si>
  <si>
    <t>Guo, HP; Xie, SD; Pan, CL</t>
  </si>
  <si>
    <t>Guo, Hongpeng; Xie, Sidong; Pan, Chulin</t>
  </si>
  <si>
    <t>The Impact of Planting Industry Structural Changes on Carbon Emissions in the Three Northeast Provinces of China</t>
  </si>
  <si>
    <t>three provinces in Northeast China; low-carbon agriculture; plantation structure; carbon emissions; net carbon sinks</t>
  </si>
  <si>
    <t>CO2 EMISSIONS; ENERGY</t>
  </si>
  <si>
    <t>This paper focuses on the impact of changes in planting industry structure on carbon emissions. Based on the statistical data of the planting industry in three provinces in Northeast China from 1999 to 2018, the study calculated the carbon emissions, carbon absorptions and net carbon sinks of the planting industry by using crop parameter estimation and carbon emissions inventory estimation methods. In addition, the multiple linear regression model and panel data model were used to analyze and test the carbon emissions and net carbon sinks of the planting industry. The results show that: (1). The increase of the planting area of rice, corn, and peanuts in the three northeastern provinces of China will promote carbon emissions, while the increase of the planting area of wheat, sorghum, soybeans, and vegetables will reduce carbon emissions; (2). Fertilizer application, technological progress, and planting structure factors have a significant positive effect on net carbon sinks, among which the changes in the planting industry structure have the greatest impact on net carbon sinks. Based on the comprehensive analysis, it is suggested that, under the guidance of the government, resource endowment and location advantages should be given full play to, and the internal planting structure of crops should be reasonably adjusted so as to promote the development of low-carbon agriculture and accelerate the development process of agricultural modernization.</t>
  </si>
  <si>
    <t>[Guo, Hongpeng; Xie, Sidong; Pan, Chulin] Jilin Univ, Coll Biol &amp; Agr Engn, 5988 Renmin St, Changchun 130022, Peoples R China</t>
  </si>
  <si>
    <t>Jilin University</t>
  </si>
  <si>
    <t>Pan, CL (corresponding author), Jilin Univ, Coll Biol &amp; Agr Engn, 5988 Renmin St, Changchun 130022, Peoples R China.</t>
  </si>
  <si>
    <t>ghp@jlu.edu.cn; xiesd19@mails.jlu.edu.cn; pancl@jlu.edu.cn</t>
  </si>
  <si>
    <t>; Xie, Sidong/AAW-3064-2020</t>
  </si>
  <si>
    <t>Guo, Hongpeng/0000-0003-0625-8929; Pan, Chulin/0000-0003-3976-465X;</t>
  </si>
  <si>
    <t>Social Science Fund Project of Jilin Province, China [2017B032, 2018BS33]; MOE (Ministry of Education in China) Project of Humanities and Social Sciences [18YJC630128]; Social Science Fund Project of the 13th Five-Year of Education Department of Jilin Province, China [JJKH20190736SK]</t>
  </si>
  <si>
    <t>Social Science Fund Project of Jilin Province, China; MOE (Ministry of Education in China) Project of Humanities and Social Sciences; Social Science Fund Project of the 13th Five-Year of Education Department of Jilin Province, China</t>
  </si>
  <si>
    <t>This research was funded by Social Science Fund Project of Jilin Province, China, grant No.2017B032; MOE (Ministry of Education in China) Project of Humanities and Social Sciences, grant No.18YJC630128; Social Science Fund Project of Jilin Province, China, grant No.2018BS33; and Social Science Fund Project of the 13th Five-Year of Education Department of Jilin Province, China, grant No.JJKH20190736SK.</t>
  </si>
  <si>
    <t>10.3390/ijerph18020705</t>
  </si>
  <si>
    <t>PX3QK</t>
  </si>
  <si>
    <t>WOS:000611273200001</t>
  </si>
  <si>
    <t>Chi, YY; Zhou, WB; Wang, ZY; Hu, Y; Han, X</t>
  </si>
  <si>
    <t>Chi, Yuanying; Zhou, Wenbing; Wang, Zhenyu; Hu, Yu; Han, Xiao</t>
  </si>
  <si>
    <t>The Influence Paths of Agricultural Mechanization on Green Agricultural Development</t>
  </si>
  <si>
    <t>agricultural mechanization; large-scale agricultural machinery; green agricultural development; path analysis</t>
  </si>
  <si>
    <t>JIANGSU PROVINCE; LAND-USE; IMPACT; PRODUCTIVITY; POLLUTION; SYSTEMS; SECTOR</t>
  </si>
  <si>
    <t>For sustainable agricultural development, increasing efforts are put on promoting agricultural mechanization and green agricultural development all over the world. Based on the panel data of Chinese provincial agriculture from 2002 to 2018, the System Generalized Method of Moments model and mediation model are constructed to explore the paths of agricultural mechanization affecting green agricultural development. The results show that agricultural mechanization can not only promote the green agricultural development directly but also indirectly by transferring the agricultural labor force and increasing fertilizer input. However, because of the surge of pesticide demand, agricultural mechanization also leads to serious pollution indirectly. With the development of large-scale agricultural machinery, the direct promotion of agricultural machinery on green agricultural development will be more significant. However, it will be less efficient to substitute more agricultural labor force with machinery power. The problem of pesticide abuse will also become more serious. Therefore, it is important for green agricultural development to encourage human capital investment in agricultural mechanization. In addition, more attention should be paid to improving the input efficiency of fertilizers and pesticides so that agriculture will be sustainable in production and the ecological environment.</t>
  </si>
  <si>
    <t>[Chi, Yuanying; Zhou, Wenbing; Wang, Zhenyu; Hu, Yu] Beijing Univ Technol, Sch Econ &amp; Management, Beijing 100124, Peoples R China; [Han, Xiao] State Grid Informat Telecommun Branch, Beijing 100053, Peoples R China</t>
  </si>
  <si>
    <t>Beijing University of Technology</t>
  </si>
  <si>
    <t>Zhou, WB (corresponding author), Beijing Univ Technol, Sch Econ &amp; Management, Beijing 100124, Peoples R China.;Han, X (corresponding author), State Grid Informat Telecommun Branch, Beijing 100053, Peoples R China.</t>
  </si>
  <si>
    <t>goodcyy@bjut.edu.cn; zhouwb0902@163.com; wzy2019@bjut.edu.cn; huyucn@126.com; han_tina@163.com</t>
  </si>
  <si>
    <t>HU, Yu/GYE-3422-2022; Chi, Yuan/JSL-5021-2023</t>
  </si>
  <si>
    <t>Hu, Yu/0000-0002-4184-0909</t>
  </si>
  <si>
    <t>Humanities and Social Science Planning Fund project of Ministry of Education of China [21YJA790009]; Key project of Decision consultation of Beijing Social Science Foundation [21JCB106]</t>
  </si>
  <si>
    <t>Humanities and Social Science Planning Fund project of Ministry of Education of China; Key project of Decision consultation of Beijing Social Science Foundation</t>
  </si>
  <si>
    <t>FundingThe article was supported by the Humanities and Social Science Planning Fund project of Ministry of Education of China (no. 21YJA790009) and Key project of Decision consultation of Beijing Social Science Foundation (no. 21JCB106).</t>
  </si>
  <si>
    <t>10.3390/su132312984</t>
  </si>
  <si>
    <t>XV1GQ</t>
  </si>
  <si>
    <t>WOS:000734699700001</t>
  </si>
  <si>
    <t>Schaffer, S; Pröll, T; Al Afif, R; Pfeifer, C</t>
  </si>
  <si>
    <t>Schaffer, Sebastian; Proell, Tobias; Al Afif, Rafat; Pfeifer, Christoph</t>
  </si>
  <si>
    <t>A mass- and energy balance-based process modelling study for the pyrolysis of cotton stalks with char utilization for sustainable soil enhancement and carbon storage</t>
  </si>
  <si>
    <t>Negative emission; Biochar; Pyrolysis; Cotton stalks; Simulation; Mass and energy balances</t>
  </si>
  <si>
    <t>BLACK CARBON; BIOCHAR; BIOMASS; HYDROCHAR; OXIDATION; CAPTURE; STRAW; TERMS</t>
  </si>
  <si>
    <t>Thermal conversion of ligno-cellulosic agricultural waste inside a pyrolysis reactor and soil-storage of pyrolysis char is discussed as a low-tech negative emission technology. Cotton stalks are a typical agricultural residue with little economic value and there is no direct competition to food or feed provision. Currently, the stalks are often burnt on the fields. The investigated rotary kiln pyrolysis process has already been successfully applied at industrial scale before. In the investigated scenario, the pyrolysis char is returned to the soil for long-term carbon storage while the volatile pyrolysis products are used energetically. The steady-state process simulation environment IPSEpro was used to assess a virtual conversion plant. The mass- and energy flows are determined based on earlier measurements at a 500 kg/h test plant. The results show that 52.8% of the carbon contained in the biomass accumulate in the biochar, whereas 38% of the input energy can be exported as heat energy at temperature levels suitable for electricity generation or industrial heat supply. The pyrolysis char shows a low molecular O/C ratio of 0.07 and an H/C ratio of 0.26. The expected half-lives of biochar in soil are in the order of 1000 years for O/C ratios below 0.2. This makes the presented approach an interesting low-tech negative emission option. The predicted net negative emissions through stored carbon amount to 2.42 t CO2 per hectare and year. The overall CO2 emission avoidance effect can be increased if fossil fuel is substituted by the energy exported from the pyrolysis process.</t>
  </si>
  <si>
    <t>[Schaffer, Sebastian; Proell, Tobias; Al Afif, Rafat; Pfeifer, Christoph] Univ Nat Resources &amp; Life Sci, Dept Mat Sci &amp; Proc Engn, Peter Jordan Str 82-H893, A-1190 Vienna, Austria</t>
  </si>
  <si>
    <t>BOKU University</t>
  </si>
  <si>
    <t>Pröll, T (corresponding author), Univ Nat Resources &amp; Life Sci, Dept Mat Sci &amp; Proc Engn, Peter Jordan Str 82-H893, A-1190 Vienna, Austria.</t>
  </si>
  <si>
    <t>tobias.proell@boku.ac.at</t>
  </si>
  <si>
    <t>Afif, Rafat/T-4594-2019; Pfeifer, Christoph/IZE-4290-2023</t>
  </si>
  <si>
    <t>Pröll, Tobias/0000-0001-6240-1916; Schaffer, Sebastian/0009-0001-2577-3099; Al Afif, Rafat/0000-0002-8818-8292; Pfeifer, Christoph/0000-0002-7747-9297</t>
  </si>
  <si>
    <t>10.1016/j.biombioe.2018.11.019</t>
  </si>
  <si>
    <t>HG3PX</t>
  </si>
  <si>
    <t>WOS:000454887700029</t>
  </si>
  <si>
    <t>Kotu, BH; Manda, J; Mutungi, C; Fischer, G; Gaspar, A</t>
  </si>
  <si>
    <t>Kotu, Bekele Hundie; Manda, Julius; Mutungi, Christopher; Fischer, Gundula; Gaspar, Audifas</t>
  </si>
  <si>
    <t>Farmers' willingness to invest in mechanized maize shelling and potential financial benefits: Evidence from Tanzania</t>
  </si>
  <si>
    <t>AGRIBUSINESS</t>
  </si>
  <si>
    <t>maize shelling; mechanization; profitability; Tanzania; willingness to invest</t>
  </si>
  <si>
    <t>AGRICULTURAL MECHANIZATION; CONSTRAINTS; VALUATION; AFRICA; GHANA; LAND</t>
  </si>
  <si>
    <t>Sub-Saharan Africa has the least mechanized agriculture in the world due to various reasons including low effective demand at farm level, low policy attention, and ineffective mechanization strategies. However, the situation has changed since recently in favor of mechanization while limited empirical evidence is available on how mechanization can be enhanced among smallholder farmers. In this study, we explore farmers' willingness to invest in mechanization services by considering the group business model (GBM) and the individual business model (IBM) of mechanized maize shelling in Tanzania. Moreover, we analyze the potential financial benefit for those farmers who would like to invest in mechanized maize shelling. We use data mainly collected through a household survey and apply econometric and mathematical models for analysis. The results show that about 65% of the sample farmers are willing to invest in mechanized maize shelling within the GBM, while about 10% of them would like to do so within the IBM. Moreover, the results show that investment in mechanized maize shelling is profitable considering both small-scale (4 and 7 HP engine capacity) machines and medium-scale (16 and 20 HP engine capacity) machines. The results show that expanding agricultural mechanization in Tanzania through investments coming from smallholder farmers, as also experienced elsewhere, is possible while they suggest that policy instruments such as targeted loan programs, entrepreneurial and technical trainings, and smart subsidies or tax exemptions are important to encourage and enable smallholder farmers to participate in the mechanization supply chain. [EconLit Citations: Q120, Q130, D250].</t>
  </si>
  <si>
    <t>[Kotu, Bekele Hundie] Int Inst Trop Agr, Tamale, Ghana; [Manda, Julius; Fischer, Gundula] Int Inst Trop Agr, Arusha, Tanzania; [Mutungi, Christopher; Gaspar, Audifas] Int Inst Trop Agr, Dar Es Salaam, Tanzania</t>
  </si>
  <si>
    <t>Kotu, BH (corresponding author), Int Inst Trop Agr, Tamale, Ghana.</t>
  </si>
  <si>
    <t>b.kotu@cgiar.org</t>
  </si>
  <si>
    <t>Mutungi, Christopher/W-2974-2018; Fischer, Gundula/IWV-1819-2023</t>
  </si>
  <si>
    <t>Mutungi, Christopher/0000-0002-7876-1569; Fischer, Gundula/0000-0002-7658-786X; Manda, Julius/0000-0002-9599-5906; Kotu, Bekele Hundie/0000-0002-5488-8426</t>
  </si>
  <si>
    <t>United States Agency for International Development [AID-BFS-G-11-00002]</t>
  </si>
  <si>
    <t>United States Agency for International Development(United States Agency for International Development (USAID))</t>
  </si>
  <si>
    <t>The study was funded by United States Agency for International Development (grant number: AID-BFS-G-11-00002) within the frame of the program Africa, Research In Sustainable Intensification for the Next Generation (Africa RISING). The authors are grateful for the financial support.</t>
  </si>
  <si>
    <t>0742-4477</t>
  </si>
  <si>
    <t>1520-6297</t>
  </si>
  <si>
    <t>Agribusiness</t>
  </si>
  <si>
    <t>10.1002/agr.21801</t>
  </si>
  <si>
    <t>Agricultural Economics &amp; Policy; Economics; Food Science &amp; Technology</t>
  </si>
  <si>
    <t>Agriculture; Business &amp; Economics; Food Science &amp; Technology</t>
  </si>
  <si>
    <t>L1MG4</t>
  </si>
  <si>
    <t>WOS:000944364800001</t>
  </si>
  <si>
    <t>Nategh, NA; Banaeian, N; Gholamshahi, A; Nosrati, M</t>
  </si>
  <si>
    <t>Nategh, Nahid Aghili; Banaeian, Narges; Gholamshahi, Alireza; Nosrati, Mohammad</t>
  </si>
  <si>
    <t>Optimization of energy, economic, and environmental indices in sunflower cultivation: A comparative analysis</t>
  </si>
  <si>
    <t>ENVIRONMENTAL PROGRESS &amp; SUSTAINABLE ENERGY</t>
  </si>
  <si>
    <t>DEA; energy; GHG; MOGA; sunflower</t>
  </si>
  <si>
    <t>LIFE-CYCLE ASSESSMENT; GREENHOUSE-GAS EMISSION; USE EFFICIENCY; RICE PRODUCTION; GHG EMISSIONS; MAZANDARAN PROVINCE; PRODUCTION SYSTEM; WEST AZARBAYJAN; WHEAT; CONSUMPTION</t>
  </si>
  <si>
    <t>This study examined the input energy, economic indices, and Greenhouse Gas (GHG) emissions in sunflower farm enterprises of Kermanshah province of Iran. Different mechanization production systems involving traditional, semi-mechanized, and mechanized ones were statistically compared. Results revealed that mechanized farms consumed more total inputs energy, while possessed significantly higher yield and better economic indices. In which, the human labor, diesel fuel, and fertilizer were the most predominant inputs in GHG emissions. In particular, traditional, semi-mechanized and mechanized farms emitted 358, 386, and 438 kg CO2/ha, respectively. Also, technical efficiencies were reported as 0.88, 0.86, and 0.96, for traditional, semi-mechanized, and mechanized farms, respectively. The relationship among different variables including energy inputs, GHG emissions, output energy, and benefit to cost ratio was studied using econometric modeling. Data envelopment analysis (DEA) and multi-objective genetic algorithm (MOGA) were also applied to detect a set of Pareto frontiers in the combination of energy, environmental, and economic indices (energy consumption, GHG emissions, and benefit to cost ratio as three selected output parameters) for sunflower production. It has been observed that the capability of MOGA for energy saving was higher than DEA. Application results of DEA and MOGA combined algorithms showed that diesel fuel and water had the highest and lowest potential for total energy savings, respectively.</t>
  </si>
  <si>
    <t>[Nategh, Nahid Aghili; Gholamshahi, Alireza; Nosrati, Mohammad] Razi Univ, Sonqor Agr Fac, Dept Agr Machinery Engn, Kermanshah, Iran; [Banaeian, Narges] Univ Guilan, Fac Agr Sci, Dept Agr Mechanizat Engn, Guilan, Rasht, Iran</t>
  </si>
  <si>
    <t>Razi University; University of Guilan</t>
  </si>
  <si>
    <t>Nategh, NA (corresponding author), Razi Univ, Sonqor Agr Fac, Dept Agr Machinery Engn, Kermanshah, Iran.;Banaeian, N (corresponding author), Univ Guilan, Fac Agr Sci, Dept Biosyst Engn, Guilan, Rasht, Iran.</t>
  </si>
  <si>
    <t>n.aghili@razi.ac.ir; banaeian@guilan.ac.ir</t>
  </si>
  <si>
    <t>; Aghili Nategh, Nahid/AAS-1747-2021; Banaeian, Narges/AAY-5247-2020</t>
  </si>
  <si>
    <t>Aghili Nategh, Nahid/0000-0003-4321-620X;</t>
  </si>
  <si>
    <t>1944-7442</t>
  </si>
  <si>
    <t>1944-7450</t>
  </si>
  <si>
    <t>ENVIRON PROG SUSTAIN</t>
  </si>
  <si>
    <t>Environ. Prog. Sustain. Energy</t>
  </si>
  <si>
    <t>e13505</t>
  </si>
  <si>
    <t>10.1002/ep.13505</t>
  </si>
  <si>
    <t>AUG 2020</t>
  </si>
  <si>
    <t>Green &amp; Sustainable Science &amp; Technology; Engineering, Environmental; Engineering, Chemical; Environmental Sciences</t>
  </si>
  <si>
    <t>QV3NH</t>
  </si>
  <si>
    <t>WOS:000559472400001</t>
  </si>
  <si>
    <t>Mariappan, K; Sivaji, SP; Chen, SM; Chen, CL; Lin, PH; Sakthinathan, S; Nehru, S; Muthusamy, P; Palanisamy, N; Mariappan, C</t>
  </si>
  <si>
    <t>Mariappan, Kiruthika; Sivaji, Saravana Pandi; Chen, Shen Ming; Chen, Ching-Lung; Lin, Po-Hsun; Sakthinathan, Subramanian; Nehru, Selvan; Muthusamy, Prabakaran; Palanisamy, Narayanasami; Mariappan, Chinnasamy</t>
  </si>
  <si>
    <t>Electrochemical determination of diuron in agricultural products using copper ferrite incorporated with multiwalled carbon nanotubes composite modified glassy carbon electrode</t>
  </si>
  <si>
    <t>COLLOIDS AND SURFACES A-PHYSICOCHEMICAL AND ENGINEERING ASPECTS</t>
  </si>
  <si>
    <t>Copper Ferrite; Multiwalled Carbon Nanotubes; Diuron; Electrochemical sensor; Real sample analysis</t>
  </si>
  <si>
    <t>MAGNETIC NANOPARTICLES; CUFE2O4 NANOPARTICLES; SENSOR; REDUCTION; CATALYST; OXIDE</t>
  </si>
  <si>
    <t>This study reports the effective synthesis and utilization of Copper Ferrite (CuFe2O4) decorated Multiwalled Carbon Nanotubes (MWCNT) to prepare CuFe2O4@MWCNT composite as an efficient electrochemical sensor material for the detection of diuron herbicide for potential environmental and health risks. The CuFe2O4@MWCNT composite was characterized using various characterization techniques, including Field Emission Scanning Electron Microscopy, High-Resolution Transmission Electron Microscopy, Electrochemical impedance spectroscopy, X-ray diffraction studies, X-ray photoelectron spectroscopy, Fourier transform infrared spectroscopy, and Raman spectroscopy to verify its structure, composition, and functional properties. Moreover, the CuFe2O4@MWCNT composite is decorated on the glassy carbon electrode (GCE) to form the GCE/ CuFe2O4@MWCNT electrode. The GCE/CuFe2O4@MWCNT sensor demonstrated excellent electrochemical performance, confirmed through electrochemical impedance spectroscopy, cyclic voltammetry, and differential pulse voltammetry. The GCE/CuFe2O4@MWCNT sensor exhibited a linear response to diuron over concentration ranges of 0.01-180 mu M, with a detection limit of 0.06 mu M and a sensitivity of 1.47 mu A mu M-1 cm-2. Furthermore, the GCE/CuFe2O4@MWCNT sensor exhibited acceptable real sample recovery percentages. Besides, the GCE/ CuFe2O4@MWCNT electrode confirmed the sensor's accuracy, selectivity, sensitivity, repeatability, and reproducibility with acceptable confidence intervals. Therefore, the GCE/CuFe2O4@MWCNT electrode highlights its potential for the detection of diuron in agricultural products and environmental sample detection applications.</t>
  </si>
  <si>
    <t>[Mariappan, Kiruthika; Chen, Ching-Lung] Ming Chi Univ Technol, Dept Safety Hlth &amp; Environm Engn, New Taipei City 243303, Taiwan; [Sivaji, Saravana Pandi; Chen, Shen Ming] Natl Taipei Univ Technol, Coll Engn, Electroanal &amp; Bioelectrochem Lab, Dept Chem Engn &amp; Biotechnol, 1,Sect 3,Chung Hsiao East Rd, Taipei 106, Taiwan; [Chen, Ching-Lung] Ming Chi Univ Technol, Ctr Environm Sustainabil &amp; Human Hlth, New Taipei City 243303, Taiwan; [Chen, Ching-Lung] Chang Gung Univ, Ctr Sustainabil &amp; Energy Technol, Taoyuan 33302, Taiwan; [Lin, Po-Hsun] Natl Cent Univ, Grad Inst Environm Engn, Taoyuan 32001, Taiwan; [Sakthinathan, Subramanian] Natl Taipei Univ Technol, Dept Mat &amp; Mineral Resources Engn, 1,Sect 3,Chung Hsiao East Rd, Taipei 106, Taiwan; [Nehru, Selvan] Univ Madras, Dept Phys Chem, Guindy Campus, Chennai 600025, Tamil Nadu, India; [Muthusamy, Prabakaran] Karpaga Vinayaga Coll Engn &amp; Technol, Dept Chem, Chengalpattu 603308, Tamil Nadu, India; [Palanisamy, Narayanasami] PSG Sarvajana Higher Secondary Sch, Avinashi Rd, Coimbatore 641004, Tamil Nadu, India; [Mariappan, Chinnasamy] Bharathidasan Univ, Dept Chem, Tiruchirappalli 620024, Tamil Nadu, India</t>
  </si>
  <si>
    <t>Ming Chi University of Technology; National Taipei University of Technology; Ming Chi University of Technology; Chang Gung University; National Central University; National Taipei University of Technology; University of Madras; Bharathidasan University</t>
  </si>
  <si>
    <t>Chen, CL (corresponding author), Ming Chi Univ Technol, Dept Safety Hlth &amp; Environm Engn, New Taipei City 243303, Taiwan.;Chen, SM (corresponding author), Natl Taipei Univ Technol, Coll Engn, Electroanal &amp; Bioelectrochem Lab, Dept Chem Engn &amp; Biotechnol, 1,Sect 3,Chung Hsiao East Rd, Taipei 106, Taiwan.</t>
  </si>
  <si>
    <t>smchen78@ms15.hinet.net; tommy@mail.mcut.edu.tw</t>
  </si>
  <si>
    <t>NEHRU, SELVAN/AAJ-3443-2020; chen, shen-ming/F-1633-2014</t>
  </si>
  <si>
    <t>Chen, Ching-Lung/0000-0002-5420-0724; Lin, Po-Hsun/0000-0001-8838-4712</t>
  </si>
  <si>
    <t>National Science and Technology Council (NSTC) , Taiwan [NSTC 112-2113-M-027-001]; MCUT Formosa Centre, National Science and Technology Council (NSTC) , Taiwan [NSTC 113-2221-E-131-013-MY3]</t>
  </si>
  <si>
    <t>National Science and Technology Council (NSTC) , Taiwan(National Science and Technology Council (NSTC) Zambia); MCUT Formosa Centre, National Science and Technology Council (NSTC) , Taiwan</t>
  </si>
  <si>
    <t>The authors are grateful for the financial support from the National Science and Technology Council (NSTC) , Taiwan, Project No. NSTC 112-2113-M-027-001, The authors extend their support from MCUT Formosa Centre, National Science and Technology Council (NSTC) , Taiwan Project no. NSTC 113-2221-E-131-013-MY3.</t>
  </si>
  <si>
    <t>0927-7757</t>
  </si>
  <si>
    <t>1873-4359</t>
  </si>
  <si>
    <t>COLLOID SURFACE A</t>
  </si>
  <si>
    <t>Colloid Surf. A-Physicochem. Eng. Asp.</t>
  </si>
  <si>
    <t>10.1016/j.colsurfa.2025.136997</t>
  </si>
  <si>
    <t>Chemistry, Physical</t>
  </si>
  <si>
    <t>2GV3A</t>
  </si>
  <si>
    <t>WOS:001482323100001</t>
  </si>
  <si>
    <t>Jacobsen, R; Vandermeulen, V; Van Huylenbroeck, G; Gellynck, X</t>
  </si>
  <si>
    <t>Jacobsen, R.; Vandermeulen, V.; Van Huylenbroeck, G.; Gellynck, X.</t>
  </si>
  <si>
    <t>Carbon footprint of pigmeat in Flanders</t>
  </si>
  <si>
    <t>carbon footprint; hotspots; life cycle assessment; pigmeat; sustainability</t>
  </si>
  <si>
    <t>GREENHOUSE-GAS EMISSIONS; SLURRY; IMPACT</t>
  </si>
  <si>
    <t>Although several international carbon footprint (CF) calculation initiatives have been developed, studies that focus specifically on estimating the CF of pigmeat are rather limited. This paper describes the application of a CF methodology, based on lifecycle assessment of greenhouse gas (GHG) emissions, for Flemish pigmeat production using the Publicly Available Specification methodology (PAS2050, BSI 2011), which is at present the most developed method and relevant within the agricultural and horticultural sector. Both primary and secondary data have been used to model the meat system through a chain approach. The results are reported using the functional unit of 1kg of deboned pigmeat; and range from 4.8 to 6.4kg CO2 eq./kg of deboned pig meat. A sensitivity analysis has been executed on changes in herd and feed characteristics. The results have been compared with other studies on the CF of pigmeat in the European Union and with CF studies on milk and beef production in Flanders. Furthermore, two major hotspots in the CF have been defined: the composition and production of feed, and manure production and usage. It is important to mention that the CF is a good indicator for GHG emissions, but it is not an indicator for environmental impact in general. This paper helps to fill the void in the CF literature which existed around pigmeat products and to define a benchmark for CF of pigmeat.</t>
  </si>
  <si>
    <t>[Jacobsen, R.; Vandermeulen, V.; Van Huylenbroeck, G.; Gellynck, X.] Univ Ghent, Dept Agr Econ, Fac Biosci Engn, B-9000 Ghent, Belgium</t>
  </si>
  <si>
    <t>Ghent University</t>
  </si>
  <si>
    <t>Jacobsen, R (corresponding author), Univ Ghent, Dept Agr Econ, Fac Biosci Engn, B-9000 Ghent, Belgium.</t>
  </si>
  <si>
    <t>ray.jacobsen@ugent.be</t>
  </si>
  <si>
    <t>Van Huylenbroeck, Guido/L-9251-2017</t>
  </si>
  <si>
    <t>Flemish Administration - Department of Agriculture and Fisheries</t>
  </si>
  <si>
    <t>This study was funded by the Flemish Administration - Department of Agriculture and Fisheries. The authors gratefully acknowledge this funding.</t>
  </si>
  <si>
    <t>4 PARK SQUARE, MILTON PARK, ABINGDON OX14 4RN, OXON, ENGLAND</t>
  </si>
  <si>
    <t>10.1080/14735903.2013.798896</t>
  </si>
  <si>
    <t>AB8SN</t>
  </si>
  <si>
    <t>WOS:000332060400004</t>
  </si>
  <si>
    <t>Chu, YM; Xie, LY; Yuan, ZJ</t>
  </si>
  <si>
    <t>Chu, Yingmin; Xie, Luyue; Yuan, Zaijian</t>
  </si>
  <si>
    <t>Composition and spatiotemporal distribution of the agro-ecosystem carbon footprint: A case study in Hebei Province, north China</t>
  </si>
  <si>
    <t>Economic input-output and life cycle assessment method; Agro-ecosystem; Carbon footprint; Spatio-temporal distribution; Carbon-emission intensity</t>
  </si>
  <si>
    <t>LIFE-CYCLE INVENTORY; GREENHOUSE-GAS EMISSIONS; INPUT-OUTPUT; FARMLAND ECOSYSTEM; SYSTEMS; ISSUES; PLAIN</t>
  </si>
  <si>
    <t>Agriculture is one of the largest source of greenhouse gas (GHG), in order to explore the structure and change of the agro-ecosystem carbon footprint (CF), based on a hybrid economic input-output and life cycle assessment (EIO-LCA) method, this study analyzed the composition and spatiotemporal distribution of the agro-ecosystem CF and discussed its main affecting factors taking Hebei Province in China as a case study. The results indicated that the total agro-ecosystem CF was 174.97 million tons in four years (1997, 2002, 2007 and 2012), and it firstly increased from 2639 million tons in 1997 to 65.57 million tons in 2007 and then decreased to 51.31 million tons in 2012. The CF caused from energy consumption accounted for approximately 72.49% of the total agro-ecosystem CF, while the chemical consumption shared relatively less CF (17.18%). Among the 11 prefecture-level cities in Hebei, Shijiazhuang had a highest average agro-ecosystem CF with a value of 6.52 million tons p.a., Tangshan had the highest average net CF and net CF density with the corresponding values were 5.55 million tons p.a. and 6.87 t/ha, respectively, and Cangzhou had the highest carbon-emission intensity with a value of 5.04t/10,000 RMB, however, Zhangjiakou had the lowest values of the above four factors with the corresponding values of 1.00 million tons p.a., 0.69 million tons p.a. and 0.97 t/ha, and 3.00 00,000 RMB, respectively. The economic growth had a great influence on the carbon-emission intensity of agro-ecosystem, the intensity of energy consumption had a positive correlation with the carbon-emission intensity, while the level of agricultural investment and farmer per-capita income were negatively correlated with the carbon-emission intensity. Therefore, reducing energy consumption, developing clean energy and improving agricultural investment to develop rural economy are imperative to slow the agro-ecosystem carbon emission. (C) 2018 Elsevier Ltd. All rights reserved.</t>
  </si>
  <si>
    <t>[Chu, Yingmin] China Univ Min &amp; Technol, Sch Management, Xuzhou 221116, Jiangsu, Peoples R China; [Chu, Yingmin] Guangdong Inst Sci &amp; Tech Informat &amp; Dev Strateg, Guangdong Sci &amp; Technol Lib, Guangzhou 510070, Guangdong, Peoples R China; [Xie, Luyue] Chinese Acad Sci, Acad Math &amp; Syst Sci, Beijing 100190, Peoples R China; [Yuan, Zaijian] Guangdong Inst Ecoenvironm Sci &amp; Technol, Guangdong Key Lab Integrated Agroenvironm Pollut, Guangzhou 510650, Guangdong, Peoples R China</t>
  </si>
  <si>
    <t>China University of Mining &amp; Technology; Guangdong Academy of Sciences; Institute of Information, Guangdong Academy of Sciences; Chinese Academy of Sciences; Academy of Mathematics &amp; System Sciences, CAS; Guangdong Academy of Sciences; Institute of Eco-environmental &amp; Soil Sciences, Guangdong Academy of Sciences</t>
  </si>
  <si>
    <t>Xie, LY (corresponding author), Chinese Acad Sci, Acad Math &amp; Syst Sci, Beijing 100190, Peoples R China.;Yuan, ZJ (corresponding author), Guangdong Inst Ecoenvironm Sci &amp; Technol, Guangdong Key Lab Integrated Agroenvironm Pollut, Guangzhou 510650, Guangdong, Peoples R China.</t>
  </si>
  <si>
    <t>lyxie@amss.ac.cn; zjyuan@soil.gd.cn</t>
  </si>
  <si>
    <t>Social Science Foundation of Hebei Province [HB15GL083]; Science and Technology Project of Hebei Province [16454203D]; high-level leading talent introduction program of GDAS [2016GDASRC-0103]; Innovation-Driven Development Capacity Construction Program [2017GDASCX-0861]; Innovation-driven Development Capability Construction Program of GDAS [2017GDASCX-0106]; Top-notch Talent Project of Hebei Province Ordinary Higher School [BJ2014078]</t>
  </si>
  <si>
    <t>Social Science Foundation of Hebei Province; Science and Technology Project of Hebei Province; high-level leading talent introduction program of GDAS; Innovation-Driven Development Capacity Construction Program; Innovation-driven Development Capability Construction Program of GDAS; Top-notch Talent Project of Hebei Province Ordinary Higher School</t>
  </si>
  <si>
    <t>This paper was supported by the Social Science Foundation of Hebei Province (HB15GL083) and the Science and Technology Project of Hebei Province (16454203D), the high-level leading talent introduction program of GDAS (2016GDASRC-0103), the Innovation-Driven Development Capacity Construction Program (2017GDASCX-0861), the Innovation-driven Development Capability Construction Program of GDAS (2017GDASCX-0106), the Top-notch Talent Project of Hebei Province Ordinary Higher School (BJ2014078). We are also grateful to the reviewers and editors.</t>
  </si>
  <si>
    <t>10.1016/j.jclepro.2018.04.111</t>
  </si>
  <si>
    <t>GH7RH</t>
  </si>
  <si>
    <t>WOS:000433650600072</t>
  </si>
  <si>
    <t>Li, SX; Hu, LS; Ma, C; Li, MY; Peng, YY; Peng, Y; Dabu, X; Huang, JL</t>
  </si>
  <si>
    <t>Li, Shixiong; Hu, Linsong; Ma, Chun; Li, Manying; Peng, Yuanyang; Peng, Yin; Dabu, Xilatu; Huang, Jiangling</t>
  </si>
  <si>
    <t>Mechanistic Insights into the Differential Effects of Biochar and Organic Fertilizer on Nitrogen Loss Pathways in Vegetable Soils: Linking Soil Carbon, Aggregate Stability, and Denitrifying Microbes</t>
  </si>
  <si>
    <t>biochar; organic fertilizer; runoff; N2O; NH3; microbial community</t>
  </si>
  <si>
    <t>Biochar and organic fertilizer applications are widely recognized as effective strategies for mitigating greenhouse gas emissions and controlling agricultural non-point source pollution in agroecosystems. However, the combined effects of these two approaches on greenhouse gas emissions and agricultural non-point source pollution remain insufficiently understood. Through consecutive field-based positioning plot trials, this study systematically examined the individual and combined effects of biochar and organic fertilizer amendments on N runoff loss (WTN) and gaseous emissions (N2O and NH3), N-cycling functional microbial communities, and soil physicochemical properties. Results demonstrated that conventional chemical fertilization resulted in 20.70% total N loss (4.48% gaseous emissions, 15.22% runoff losses). Biochar and organic fertilizer applications significantly reduced WTN losses by 8.06% and 7.43%, respectively, and decreased gaseous losses by 2.01% and 1.88%, while concurrently enhancing plant N uptake and soil residual N. Random forest analysis combined with partial least squares structural equation modeling revealed that soil organic carbon directly modulated nitrogen runoff losses and indirectly influenced aggregate stability and macroaggregate formation. Dissolved organic carbon (DOC) and recalcitrant organic carbon (ROC) exhibited dual regulatory effects on NH3 volatilization through both direct pathways and indirect mediation via aggregate stability. Notably, biochar and organic fertilizer amendments induced significant compositional shifts in nirS- and nirK-type denitrifying microbial communities. pH, cation exchange capacity (CEC), and iron oxide-carbon complexes (IOCS) were identified as key factors suppressing N2O emissions through inhibitory effects on Azoarcus and Bosea genera. Our findings demonstrate that biochar and organic fertilizers differentially modulate soil physicochemical properties and denitrifier community structure, with emission reduction disparities attributable to distinct mechanisms' enhanced aggregate stability and modified denitrification potential through genus-level microbial community restructuring, particularly affecting Azoarcus and Bosea populations. This study offers valuable insights into the regulation of carbon sources for nitrogen management strategies within sustainable acidic soil vegetable production systems.</t>
  </si>
  <si>
    <t>[Li, Shixiong; Hu, Linsong; Ma, Chun; Li, Manying; Peng, Yuanyang; Peng, Yin; Dabu, Xilatu] Yunnan Agr Univ, Coll Resources &amp; Environm, Key Lab Improving Qual &amp; Prod Arable Land Yunnan P, Kunming 650201, Peoples R China; [Huang, Jiangling] Yuxi Sanhu Ecol Environm Protect Res &amp; Engn Manage, Yuxi 653100, Peoples R China</t>
  </si>
  <si>
    <t>Yunnan Agricultural University</t>
  </si>
  <si>
    <t>Dabu, X (corresponding author), Yunnan Agr Univ, Coll Resources &amp; Environm, Key Lab Improving Qual &amp; Prod Arable Land Yunnan P, Kunming 650201, Peoples R China.</t>
  </si>
  <si>
    <t>2023210264@stu.ynau.edu.cn; 2021210261@stu.ynau.edu.cn; 2024210373@stu.ynau.edu.cn; 2023240379@stu.ynau.edu.cn; 2024210267@stu.ynau.edu.cn; 15125562565@163.com; 2005035@ynau.edu.cn; 19908845365@163.com</t>
  </si>
  <si>
    <t>Fuxian Lake Ecological Environment Protection Special Project [ZC530400201800057]; National Natural Science Foundation of China [41967015]</t>
  </si>
  <si>
    <t>Fuxian Lake Ecological Environment Protection Special Project; National Natural Science Foundation of China(National Natural Science Foundation of China (NSFC))</t>
  </si>
  <si>
    <t>This research was funded by National Natural Science Foundation of China funded project (41967015) and Fuxian Lake Ecological Environment Protection Special Project (ZC530400201800057) and The APC was funded by Fuxian Lake Ecological Environment Protection Special Project.</t>
  </si>
  <si>
    <t>NOV 8</t>
  </si>
  <si>
    <t>10.3390/agriculture15222326</t>
  </si>
  <si>
    <t>H3766</t>
  </si>
  <si>
    <t>WOS:001625483600001</t>
  </si>
  <si>
    <t>Daripa, A; Bhatia, A; Tomer, R; Singh, SD; Jain, N; Pathak, H</t>
  </si>
  <si>
    <t>Daripa, A.; Bhatia, A.; Tomer, R.; Singh, S. D.; Jain, N.; Pathak, H.</t>
  </si>
  <si>
    <t>NITROUS OXIDE AND CARBON DIOXIDE EMISSION FROM MAIZE (Zea mays L.) UNDER FERTILISER APPLICATION AND ELEVATED CARBON DIOXIDE IN NORTHWEST INDIA</t>
  </si>
  <si>
    <t>DISSOLVED ORGANIC-CARBON; ATMOSPHERIC CO2; SOIL CARBON; LOLIUM-PERENNE; N2O EMISSIONS; PLANT; ENRICHMENT; PHOTOSYNTHESIS; FOREST; GROWTH</t>
  </si>
  <si>
    <t>A field experiment was carried out at the farm of Indian Agricultural Research Institute, New Delhi to quantify the effect of elevated carbon dioxide (CO2) and different levels of N fertiliser application on nitrous oxide (N2O) and carbon dioxide (CO2) emissions from soil under maize. The experiment included five treatments: 60 kg N ha(-1) under ambient CO2 (385 ppm) in open plots, 120 kg N ha(-1) under ambient CO2 (385 ppm) in open plots, 160 kg N ha(-1) under ambient CO2 (385 ppm) in open plots, 120 kg N ha(-1) under ambient CO2 (385 ppm) in open top chambers (OTC) and 120 kg N ha(-1) under elevated CO2 (500 +/- 50 ppm) in the OTC. Peaks of N2O flux were observed after every dose of N application. Cumulative N2O emission was 13% lower under ambient CO2 as compared to the elevated CO2 concentrations. There was an increase in CO2 emissions with application of N from 60 kg ha(-1) to 160 kg ha(-1). Higher yield and root biomass was observed under higher N treatment (160 kg N ha(-1)). There was no significant increase in maize yield under elevated CO2 as compared to ambient CO2. The carbon emitted was more than the carbon fixed under elevated CO2 as compared to ambient CO2 levels. The carbon efficiency ratio (C fixed/C emitted) was highest in ambient CO2 treatment in the OTC.</t>
  </si>
  <si>
    <t>[Daripa, A.; Bhatia, A.; Tomer, R.; Singh, S. D.; Jain, N.; Pathak, H.] Indian Agr Res Inst, Div Environm Sci, New Delhi 110012, India</t>
  </si>
  <si>
    <t>Indian Council of Agricultural Research (ICAR); ICAR - Indian Agricultural Research Institute</t>
  </si>
  <si>
    <t>Bhatia, A (corresponding author), Indian Agr Res Inst, Div Environm Sci, New Delhi 110012, India.</t>
  </si>
  <si>
    <t>artibhatia.iari@gmail.com</t>
  </si>
  <si>
    <t>Indian Council of Agricultural Research (ICAR), New Delhi, India</t>
  </si>
  <si>
    <t>Indian Council of Agricultural Research (ICAR), New Delhi, India(Indian Council of Agricultural Research (ICAR))</t>
  </si>
  <si>
    <t>The authors are grateful to the Indian Council of Agricultural Research (ICAR), New Delhi, India for providing funding and the Post Graduate School, Indian Agricultural Research Institute, New Delhi, India for providing facilities during the course of the study. The authors also thank Dr. Vinay Kumar Singh for the help rendered.</t>
  </si>
  <si>
    <t>10.1017/S0014479714000118</t>
  </si>
  <si>
    <t>AU6DG</t>
  </si>
  <si>
    <t>WOS:000345692400010</t>
  </si>
  <si>
    <t>Sun, L; Zhu, CM; Yuan, SF; Yang, LX; He, S; Li, WY</t>
  </si>
  <si>
    <t>Sun, Le; Zhu, Congmou; Yuan, Shaofeng; Yang, Lixia; He, Shan; Li, Wuyan</t>
  </si>
  <si>
    <t>Exploring the Impact of Digital Inclusive Finance on Agricultural Carbon Emission Performance in China</t>
  </si>
  <si>
    <t>agricultural carbon emission performance; digital inclusive finance; super SBM model; panel regression model; spatial regression model; China</t>
  </si>
  <si>
    <t>SLACKS-BASED MEASURE; ECONOMIC-GROWTH; EFFICIENCY; CREDIT</t>
  </si>
  <si>
    <t>This paper attempts to reveal the impact and mechanisms of digital inclusive finance (DIF) on agricultural carbon emission performance (ACEP). Specifically, based on the provincial panel data in China from 2011 to 2020, a super slacks-based measure (Super SBM) model is applied to measure ACEP. The panel regression model and spatial regression model are used to empirically analyze the impact of DIF on ACEP and its mechanism. The results show that: (1) during the study period, China's ACEP exhibited a continuous growth trend, and began to accelerate after 2017. The high-value agglomeration areas of ACEP shifted from the Huang-Huai-Hai plain and the Pearl River Delta to the coastal regions and the Yellow River basin, the provincial differences displayed an increasing trend from 2011 to 2020. (2) DIF was found to have a significant positive impact on ACEP. The main manifestation is that the development of the coverage breadth and depth of use of DIF helps to improve the ACEP. (3) The positive impact of DIF on ACEP had a significant spatial spillover effect, that is, it had a positive effect on the improvement of ACEP in the surrounding provinces. These empirical results can help policymakers better understand the contribution of DIF to low-carbon agriculture, and provide them with valuable information for the formulation of supportive policies.</t>
  </si>
  <si>
    <t>[Sun, Le] Zhejiang Gongshang Univ, Sch Finance, Hangzhou 310018, Peoples R China; [Sun, Le] Zhejiang Gongshang Univ Hangzhou Coll Commerce, Sch Humanities &amp; Art Design, Hangzhou 310018, Peoples R China; [Zhu, Congmou; Yuan, Shaofeng] Zhejiang Gongshang Univ, Dept Land Resources Management, Hangzhou 310018, Peoples R China; [Yang, Lixia] Zhejiang Univ Finance &amp; Econ, Sch Publ Adm, Hangzhou 310018, Peoples R China; [He, Shan] China Jiliang Univ, Coll Econ &amp; Management, Hangzhou 310018, Peoples R China; [Li, Wuyan] Zhejiang Univ Finance &amp; Econ, Inst Land &amp; Urban Rural Dev, Hangzhou 310018, Peoples R China</t>
  </si>
  <si>
    <t>Zhejiang Gongshang University; Zhejiang Gongshang University; Zhejiang University of Finance &amp; Economics; China Jiliang University; Zhejiang University of Finance &amp; Economics</t>
  </si>
  <si>
    <t>Zhu, CM (corresponding author), Zhejiang Gongshang Univ, Dept Land Resources Management, Hangzhou 310018, Peoples R China.</t>
  </si>
  <si>
    <t>congmouzhu@zjgsu.edu.cn</t>
  </si>
  <si>
    <t>he, shan/JUV-4092-2023</t>
  </si>
  <si>
    <t>, He/0000-0001-7554-9995; Yuan, shaofeng/0000-0002-5283-8900; Le, Sun/0000-0001-7313-5422</t>
  </si>
  <si>
    <t>Zhejiang Provincial Social Science Federation Research Project [2022N111]; National Natural Science Foundation of China [42001201]; Zhejiang Province Philosophy and Social Science Planning Project [22NDQN287YB, 21NDJC097YB]</t>
  </si>
  <si>
    <t>Zhejiang Provincial Social Science Federation Research Project; National Natural Science Foundation of China(National Natural Science Foundation of China (NSFC)); Zhejiang Province Philosophy and Social Science Planning Project</t>
  </si>
  <si>
    <t>This research was funded by Zhejiang Provincial Social Science Federation Research Project, grant number 2022N111; National Natural Science Foundation of China, grant number 42001201; Zhejiang Province Philosophy and Social Science Planning Project, grant number 22NDQN287YB and 21NDJC097YB.</t>
  </si>
  <si>
    <t>10.3390/ijerph191710922</t>
  </si>
  <si>
    <t>4J3LT</t>
  </si>
  <si>
    <t>WOS:000851168600001</t>
  </si>
  <si>
    <t>Ortiz-Laurel, H; Rosas-Calleja, D; de la Vequia, HD</t>
  </si>
  <si>
    <t>Ortiz-Laurel, H.; Rosas-Calleja, D.; Debernardi de la Vequia, H.</t>
  </si>
  <si>
    <t>Present Status and Future Prospects of Agricultural Mechanization in Mexico</t>
  </si>
  <si>
    <t>Agriculture; farm mechanization; mechanical power; agricultural development smallholdings</t>
  </si>
  <si>
    <t>Agricultural mechanization in Mexico still ranges from hand tools, tools for draught animals and motorized equipment. Agricultural production by using adequate technology has concentrated on cereals for domestic consumption, where the use of tillage tools, planters, fertilising and spraying equipment and self-propelled machines for harvesting, have reached a high level of development. At present the mechanization index is 0.674 kW/ha of energy applied on farming activities. However, there are still areas where state of the art technology needs to be applied to improve efficiency and performance. The purpose of this study is to outline a general status of agricultural mechanization in Mexico and to draw basic guidelines for improving research &amp; development on emerging areas. Emphasis is made on technological requirements for the main crops and small scale farming. In addition an overall view of current educational and research related to agricultural mechanization and its main fields and insertion of the participation of farm machinery manufacturing industry.</t>
  </si>
  <si>
    <t>[Ortiz-Laurel, H.; Rosas-Calleja, D.; Debernardi de la Vequia, H.] Colegio Postgrad, Campus Cordoba Km 348 Carr Fed Cordoba Veracruz, Amatlan De Los Reyes 94946, Veracruz, Mexico</t>
  </si>
  <si>
    <t>Colegio de Postgraduados - Mexico</t>
  </si>
  <si>
    <t>Ortiz-Laurel, H (corresponding author), Colegio Postgrad, Campus Cordoba Km 348 Carr Fed Cordoba Veracruz, Amatlan De Los Reyes 94946, Veracruz, Mexico.</t>
  </si>
  <si>
    <t>hlaurel@colpos.mx</t>
  </si>
  <si>
    <t>IR6PK</t>
  </si>
  <si>
    <t>WOS:000481561000006</t>
  </si>
  <si>
    <t>Pan, CX; Hu, JG; Cai, HH; Jiang, JJ; Gu, KC; Zhu, C; Mao, GD</t>
  </si>
  <si>
    <t>Pan, Chenxin; Hu, Junguo; Cai, Hanghang; Jiang, Junjie; Gu, Kechen; Zhu, Chao; Mao, Guodong</t>
  </si>
  <si>
    <t>Development and Optimization of a Chamber System Applied to Maize Net Ecosystem Carbon Exchange Measurements</t>
  </si>
  <si>
    <t>carbon flux; net ecosystem carbon exchange; flow-through chamber; computational fluid dynamics; simulation modeling</t>
  </si>
  <si>
    <t>EDDY COVARIANCE; SURFACE EXCHANGE; CANOPY-CHAMBER; CO2 EXCHANGE; NO EMISSIONS; TRACE GASES; FIELD; SOIL; FLUXES; RESPIRATION</t>
  </si>
  <si>
    <t>Net ecosystem carbon exchange (NEE) in agricultural land represents a significant source of global greenhouse gas (GHG) emissions. While there are various tools for measuring NEE in agricultural fields, the chamber method remains the sole tool at the plot scale. In this research, we evaluated the NEE of maize plants at the nodulation stage using the flow-through chamber method. Many existing flow-through chamber systems directly introduce gases, leading to collisions with plants and subsequent turbulence inside the chamber. Turbulence can extend the time required to achieve a steady state. We modified the traditional flow-through chamber design to minimize turbulence in the measurement zone. Our modifications were validated by modeling the chamber and maize plants and by conducting fluid simulation experiments. In the analysis of our comparative field measurements between the two chamber designs, the use of the improved system notably shortened the time required to reach the steady state, increased the measurement frequency, and reduced the influence of changing environmental factors on the readings. Enhancing the measurement frequency is crucial for ensuring long-term accuracy. By reducing turbulence in the chamber, we anticipate improvements in the precision of NEE measurements in agricultural research, which could significantly contribute to an accurate assessment of the global carbon cycle.</t>
  </si>
  <si>
    <t>[Pan, Chenxin; Hu, Junguo; Cai, Hanghang; Jiang, Junjie; Gu, Kechen; Zhu, Chao] Zhejiang A&amp;F Univ, Sch Math &amp; Comp Sci, Hangzhou 311300, Peoples R China; [Hu, Junguo] Zhejiang A&amp;F Univ, Zhejiang Prov Key Lab Forestry Intelligent Monitor, Hangzhou 311300, Peoples R China; [Mao, Guodong] Tonglu First Peoples Hosp, Dept Ophthalmol, Hangzhou 311500, Peoples R China</t>
  </si>
  <si>
    <t>Zhejiang A&amp;F University; Zhejiang A&amp;F University</t>
  </si>
  <si>
    <t>Hu, JG (corresponding author), Zhejiang A&amp;F Univ, Sch Math &amp; Comp Sci, Hangzhou 311300, Peoples R China.;Hu, JG (corresponding author), Zhejiang A&amp;F Univ, Zhejiang Prov Key Lab Forestry Intelligent Monitor, Hangzhou 311300, Peoples R China.</t>
  </si>
  <si>
    <t>hujunguo@zafu.edu.cn</t>
  </si>
  <si>
    <t>Jiang, Junjie/0000-0001-9518-919X</t>
  </si>
  <si>
    <t>Thanks to all participating authors for their contributions to this article.</t>
  </si>
  <si>
    <t>10.3390/agronomy14010068</t>
  </si>
  <si>
    <t>FX8S3</t>
  </si>
  <si>
    <t>WOS:001149249000001</t>
  </si>
  <si>
    <t>Han, HM; Zeeshan, Z; Talpur, BA; Sadiq, T; Bhatti, UA; Awwad, EM; Al-Razgan, M; Ghadi, YY</t>
  </si>
  <si>
    <t>Han, Huimin; Zeeshan, Zeeshan; Talpur, Bandeh Ali; Sadiq, Touseef; Bhatti, Uzair Aslam; Awwad, Emad Mahrous; Al-Razgan, Muna; Ghadi, Yazeed Yasid</t>
  </si>
  <si>
    <t>Studying long term relationship between carbon Emissions, Soil, and climate Change: Insights from a global Earth modeling Framework</t>
  </si>
  <si>
    <t>INTERNATIONAL JOURNAL OF APPLIED EARTH OBSERVATION AND GEOINFORMATION</t>
  </si>
  <si>
    <t>GHG; Climate Forecasting; Soil change</t>
  </si>
  <si>
    <t>BIODIVERSITY; ADAPTATION</t>
  </si>
  <si>
    <t>The persistent increase in greenhouse gas (GHG) emissions, notably carbon dioxide (CO2), methane (CH4), and nitrous oxide (N2O), since the mid-20th century has been a key driver of significant climate alterations. This study investigates the complex feedback mechanisms that both influence and are influenced by global climate dynamics, soil processes, and GHG emissions. Our statistical approach incorporates correlation measures, highlighting the limitations of such analyses, namely their inability to confirm causality, sensitivity to outliers, and the exclusive capture of linear relationships. Geographically Weighted Regression (GWR) models reveal spatial variations in the relationship between environmental factors and GHGs, while Path Analysis aids in delineating direct and indirect influences among variables. The research pinpoints significant spatial heterogeneity in the impacts of economic and environmental factors on GHGs, underscoring the necessity of localized strategies for climate change mitigation and sustainable land management. This study also identifies potential threats to agricultural productivity due to soil degradation, which hinder climate adaptation efforts. Our findings advocate for a concerted global response to reduce GHG emissions and address the challenges posed by the interplay of climate change, soil dynamics, and GHG emissions.</t>
  </si>
  <si>
    <t>[Han, Huimin] Hainan Vocat Univ Sci &amp; Technol, Mech &amp; Elect Engn Coll, Haikou 571126, Peoples R China; [Zeeshan, Zeeshan] IMPINJ INC, Seattle, WA USA; [Sadiq, Touseef] Univ Agder, Ctr Artificial Intelligence Res CAIR, Dept Informat &amp; Commun Technol, Jon Lilletuns vei 9, Grimstad, Norway; [Talpur, Bandeh Ali] Trinity Coll Dublin, Sch Comp Sci &amp; Stat, Dublin, Ireland; [Bhatti, Uzair Aslam] Hainan Univ, Sch Informat &amp; Commun Engn, Haikou, Peoples R China; [Awwad, Emad Mahrous] King Saud Univ, Coll Engn, Dept Elect Engn, POB 800, Riyadh 11421, Saudi Arabia; [Ghadi, Yazeed Yasid] UAE Univ, Dept Comp Sci, Al Ain, U Arab Emirates; [Al-Razgan, Muna] King Saud Univ, Coll Comp &amp; Informat Sci, Dept Software Engn, Riyadh 11345, Saudi Arabia</t>
  </si>
  <si>
    <t>Hainan Vocational University of Science &amp; Technology; University of Agder; Trinity College Dublin; Hainan University; King Saud University; United Arab Emirates University; King Saud University</t>
  </si>
  <si>
    <t>Bhatti, UA (corresponding author), Hainan Univ, Sch Informat &amp; Commun Engn, Haikou, Peoples R China.;Al-Razgan, M (corresponding author), King Saud Univ, Coll Comp &amp; Informat Sci, Dept Software Engn, Riyadh 11345, Saudi Arabia.</t>
  </si>
  <si>
    <t>uzair@hainanu.edu.cn; malrazgan@ksu.edu.sa</t>
  </si>
  <si>
    <t>Awwad, Emad/HNB-5494-2023; AlRazgan, Muna/M-7736-2014; Talpur, Bandeh/AAM-6344-2021; Sadiq, Touseef/JZQ-3774-2024; Ghadi, Yazeed/AAW-6774-2021; Al-Razgan, Muna/M-7736-2014</t>
  </si>
  <si>
    <t>AlRazgan, Muna/0000-0002-9705-3867; Ghadi, Yazeed Yasin/0000-0002-7121-495X; Mohammed, Emad Mahrous/0000-0002-8115-4882;</t>
  </si>
  <si>
    <t>National Science Foundation of China-Foreign Scholars Research Fund [62350410483]; King Saud University; King Saud University, Riyadh, Saudi Arabia [RSP2024R206]</t>
  </si>
  <si>
    <t>National Science Foundation of China-Foreign Scholars Research Fund; King Saud University(King Saud University); King Saud University, Riyadh, Saudi Arabia(King Saud University)</t>
  </si>
  <si>
    <t>This study is supported by National Science Foundation of China-Foreign Scholars Research Fund Project: 62350410483. The authors present their appreciation to King Saud University for funding this research through Researchers Supporting Program number (RSP2024R206) , King Saud University, Riyadh, Saudi Arabia.</t>
  </si>
  <si>
    <t>1569-8432</t>
  </si>
  <si>
    <t>1872-826X</t>
  </si>
  <si>
    <t>INT J APPL EARTH OBS</t>
  </si>
  <si>
    <t>Int. J. Appl. Earth Obs. Geoinf.</t>
  </si>
  <si>
    <t>10.1016/j.jag.2024.103902</t>
  </si>
  <si>
    <t>Remote Sensing</t>
  </si>
  <si>
    <t>TI1X4</t>
  </si>
  <si>
    <t>WOS:001240555800001</t>
  </si>
  <si>
    <t>Dalmagro, HJ; Lathuilliere, MJ; de Arruda, PHZ; Junior, AAD; Sallo, FD; Couto, EG; Johnson, MS</t>
  </si>
  <si>
    <t>Dalmagro, Higo J.; Lathuilliere, Michael J.; de Arruda, Paulo H. Z.; Da Silva Junior, Anisio A.; Sallo, Fernando da S.; Couto, Eduardo G.; Johnson, Mark S.</t>
  </si>
  <si>
    <t>Carbon exchange in rainfed and irrigated cropland in the Brazilian Cerrado</t>
  </si>
  <si>
    <t>Agricultural crops; Eddy covariance; Carbon balance; Mato Grosso</t>
  </si>
  <si>
    <t>NET ECOSYSTEM EXCHANGE; LAND-USE CHANGE; DIOXIDE EXCHANGE; TROPICAL FOREST; WATER; RESPIRATION; BALANCE; SEASON; BUDGET; MAIZE</t>
  </si>
  <si>
    <t>The Cerrado is one of the most important agricultural production areas in Brazil where soybean and maize have expanded in recent decades through deforestation. The effects of cropland on the carbon (C) balance still needs to be understood at the ecosystem scale to better situate the role of land management in the tropical C cycle. In this study, we measured the C exchange of two fields (irrigated and rainfed) with rotations from different cultures. Results showed that both fields were C sinks over the course of the crops' development cycles, but this C was mostly removed via harvest when considering the C stored in the grain (as soybean, maize, rice, and bean crops). Maize, intercropped with Brachiaria, had the most positive C balance (as a loss of C from the field), in part due to its longer stay in the field. The rainfed and irrigated fields acted as a net C source due to emissions to the atmosphere from periods of stubble and the Brachiaria intercrop, soil preparation and soybean planting. The irrigated field was a more important C sink than the rainfed field, suggesting that irrigation can reduce C losses resulting from possible drought, while at the same time allowing for a third harvest in the same calendar year. Our results confirm that practices such as no-till farming, crop rotation, intercropping, the reduction of fallow periods and the use of irrigation are key to mitigating C losses from agriculture in the Cerrado, while also helping reduce pressure on remaining natural forests in the region through agricultural intensification.</t>
  </si>
  <si>
    <t>[Dalmagro, Higo J.; Sallo, Fernando da S.] Univ Cuiaba UNIC, Programa Posgrad Ciencias Ambientais, BR-78065900 Cuiaba, MT, Brazil; [Lathuilliere, Michael J.] Stockholm Environm Inst, S-10451 Stockholm, Sweden; [de Arruda, Paulo H. Z.; Da Silva Junior, Anisio A.] Univ Fed Mato Grosso UFMT, Programa Posgrad Fis Ambiental, BR-78060900 Cuiaba, MT, Brazil; [Couto, Eduardo G.] Univ Fed Mato Grosso UFMT, Dept Solos &amp; Engn Rural, BR-78060900 Cuiaba, MT, Brazil; [Johnson, Mark S.] Univ British Columbia UBC, Dept Earth Ocean &amp; Atmospher Sci, 2204 Main Mall, Vancouver, BC V6T 1Z4, Canada; [Johnson, Mark S.] Univ British Columbia, Inst Resources, Environm &amp; Sustainabil, 2202 Main Mall, Vancouver, BC V6T 1Z4, Canada</t>
  </si>
  <si>
    <t>Universidade de Cuiaba; Stockholm Environment Institute; Universidade Federal de Mato Grosso do Sul; Universidade Federal de Mato Grosso do Sul; University of British Columbia; University of British Columbia</t>
  </si>
  <si>
    <t>Lathuilliere, MJ (corresponding author), Stockholm Environm Inst, S-10451 Stockholm, Sweden.</t>
  </si>
  <si>
    <t>michael.lathuilliere@sei.org</t>
  </si>
  <si>
    <t>Dalmagro, Higo/P-7945-2017; Lathuilliere, Michael/J-2480-2015; Couto, Eduardo/AAF-5790-2019; Johnson, Mark/B-4445-2008; Lathuillière, Michael/J-2480-2015</t>
  </si>
  <si>
    <t>Lathuilliere, Michael/0000-0001-6315-454X; Couto, Eduardo/0000-0002-5271-9709; Johnson, Mark/0000-0001-5070-7539; Dalmagro, Higo Jose/0000-0002-2953-2575;</t>
  </si>
  <si>
    <t>Belmont Forum; G8 Research Councils Freshwater Security Grant through the Natural Sciences and Engineering Research Council (NSERC) [G8PJ-437376-2012]; NSERC Vanier Canada Graduate Scholarship [201411DVC-347484-257696]; NSERC Michael Smith Foreign Study Supplement [488016-2015]; Mitacs Globalink Research Award [IT05435]</t>
  </si>
  <si>
    <t>Belmont Forum; G8 Research Councils Freshwater Security Grant through the Natural Sciences and Engineering Research Council (NSERC)(Natural Sciences and Engineering Research Council of Canada (NSERC)); NSERC Vanier Canada Graduate Scholarship(European Research Council (ERC)); NSERC Michael Smith Foreign Study Supplement(Natural Sciences and Engineering Research Council of Canada (NSERC)); Mitacs Globalink Research Award</t>
  </si>
  <si>
    <t>We sincerely thank Capuaba farm owner Jose Eduardo de Macedo Soares Jr and the farm staff for their support in this research. Funding was provided by the Belmont Forum and the G8 Research Councils Freshwater Security Grant [G8PJ-437376-2012] through the Natural Sciences and Engineering Research Council (NSERC) to MSJ. Additional support to MJL was provided by the NSERC Vanier Canada Graduate Scholarship [201411DVC-347484-257696], the NSERC Michael Smith Foreign Study Supplement [488016-2015], and the Mitacs Globalink Research Award [IT05435]. We thank Universidade Federal de Mato Grosso (UFMT) and Universidade de Cuiab ' a (UNIC) for logistical and technical support. We also thank Brenda D'Acunha for her help in determining the concentration of carbon in the grains. The authors declare no conflict of interest.</t>
  </si>
  <si>
    <t>10.1016/j.agrformet.2022.108881</t>
  </si>
  <si>
    <t>FEB 2022</t>
  </si>
  <si>
    <t>1G5RU</t>
  </si>
  <si>
    <t>WOS:000795906000001</t>
  </si>
  <si>
    <t>Chen, PY</t>
  </si>
  <si>
    <t>Chen, Pengyu</t>
  </si>
  <si>
    <t>The impact of low-carbon city pilots on carbon emission - new evidence from high-resolution carbon emission data</t>
  </si>
  <si>
    <t>KYBERNETES</t>
  </si>
  <si>
    <t>The low-carbon city pilot (LCCP) policy; Carbon intensity; Government intervention; Market-driven; Spillover effect; Mediation effect model</t>
  </si>
  <si>
    <t>CHINA; GOVERNMENT; CITIES; SCALE</t>
  </si>
  <si>
    <t>Purpose The aim of this study was to investigate the impact of low-carbon city pilots (LCCPs) policy using Chinese city-level data from 2009 to 2018 and examine the mechanisms of LCCP policy using a mediation effect model. Design/methodology/approach The authors measured carbon emissions by high-resolution carbon emission data and used difference-in-difference (DID) and propensity matching score-difference-in-difference (PSM-DID) model to investigate the relationship between LCCP policy and urban carbon intensity. The complex relationship between policy and carbon intensity was evaluated through a mediation model. Findings The results show that LCCP policy can reduce urban carbon intensity (-0.287), but its effects are different in different sectors. The impact of LCCP policy is greater in the industrial enterprise sector than in the transport sector than in the agricultural sector. Second, the authors find that LCCP policy under market-driven is more effective than government intervention. Third, there is a spillover effect of LCCP policy, which is decreasing with distance. Finally, the authors explore the mechanisms of LCCP policy from multiple perspectives, such as optimizing industrial structure, green areas, promoting public transport travel, population migration and innovation. In addition, the flow of these factors can also explain the spillover effects of LCCP policy. Practical implications This study confirms that LCCP policy is an effective tool for achieving urban sustainable development. Government policy-makers should consider the differences in the impacts of LCCP policy in different sectors and the spillover effects of LCCP policy. And, it shows that the effects of LCCP policy are larger by market-driven. These findings imply that the government should take full account of city characteristics and marketisation processes when formulating carbon reduction policies. Originality/value This study analyzed the relationship between LCCP policy and urban carbon intensity based on high-resolution carbon emission data. Urban panel data are used to discuss the impacts of LCCP policy under government intervention and market-driven and the mechanisms at play. The study reveals that LCCP policy mainly acts on the industrial enterprise sector, the spillover effects and the market-driven effects.</t>
  </si>
  <si>
    <t>[Chen, Pengyu] Dankook Univ, Coll Business &amp; Econ, Dept Econ, Yongin, South Korea</t>
  </si>
  <si>
    <t>Dankook University</t>
  </si>
  <si>
    <t>Chen, PY (corresponding author), Dankook Univ, Coll Business &amp; Econ, Dept Econ, Yongin, South Korea.</t>
  </si>
  <si>
    <t>cpy702018@163.com</t>
  </si>
  <si>
    <t>Chen, Pengyu/AFD-1843-2022</t>
  </si>
  <si>
    <t>Chen, Pengyu/0000-0003-4584-2036</t>
  </si>
  <si>
    <t>0368-492X</t>
  </si>
  <si>
    <t>1758-7883</t>
  </si>
  <si>
    <t>Kybernetes</t>
  </si>
  <si>
    <t>10.1108/K-03-2022-0341</t>
  </si>
  <si>
    <t>Computer Science, Cybernetics</t>
  </si>
  <si>
    <t>Computer Science</t>
  </si>
  <si>
    <t>Z1CJ5</t>
  </si>
  <si>
    <t>WOS:000838636900001</t>
  </si>
  <si>
    <t>Mohanty, A; Sahu, C; Nayak, HN; Sahu, SK</t>
  </si>
  <si>
    <t>Mohanty, Anita; Sahu, Chandan; Nayak, Hemendra Nath; Sahu, Sanjat Kumar</t>
  </si>
  <si>
    <t>SOIL CARBON SEQUESTRATION POTENTIAL OF DIFFERENT LAND USE AND LAND COVER SYSTEMS IN EASTERN PLATEAU AND HILLS AGROCLIMATIC ZONE OF INDIA</t>
  </si>
  <si>
    <t>Soil; Carbon Sequestration; SOC; Forest; Pasture; Garden; Agricultural Land; Land Use</t>
  </si>
  <si>
    <t>CULTIVATION</t>
  </si>
  <si>
    <t>With the advent of industrialization and the rapid progress in developmental activities, the emission of carbon dioxide in to the atmosphere has amplified and with it has increased the demand of carbon sequestration. Soil is considered as a major carbon pool and hence is considered very strongly as a potent system for carbon sequestration. The purpose of this study was to examine the potential for carbon sequestration in the soil as a means of reducing carbon dioxide (CO2) in the atmosphere. The study was taken up inside the Sambalpur University campus in four land use systems viz. pasture land, forest land, agricultural land and garden soil at three soil depths (0 - 10, 10 - 20 and 20 - 30 cm) to analyze for the organic carbon content, bulk density and Soil Organic Carbon (SOC) stock of the respective land uses. The result indicated that the OC varied with different depths in various land use system and was found to be in following sequence: forest land &gt; garden soil &gt; pasture land &gt; agricultural land. Bulk density was also found to be negatively correlated with the OC and hence had a following sequence: agricultural land &gt; pasture land &gt; forest land &gt; garden soil. The calculated SOC stock was found to be highest in forest land (38.97 t/ha) followed by pasture land (32.15 t/ha), garden soil (28.17 t/ha) and agricultural land (27.91 t/ha). From the above result it can be inferred that natural forest land plays an important role in sequestering atmospheric carbon and helps in mitigating climate change than the other man engineered land use systems.</t>
  </si>
  <si>
    <t>[Mohanty, Anita; Sahu, Chandan; Sahu, Sanjat Kumar] Sambalpur Univ, PG Dept Environm Sci, Odisha, India; [Nayak, Hemendra Nath] State Pollut Control Board, Reg Off, Sambalpur, India</t>
  </si>
  <si>
    <t>Sambalpur University</t>
  </si>
  <si>
    <t>Sahu, SK (corresponding author), Sambalpur Univ, PG Dept Environm Sci, Burla, Odisha, India.</t>
  </si>
  <si>
    <t>sahusanjat@rediffmail.com</t>
  </si>
  <si>
    <t>Mohanty, Anita/JQI-3676-2023; Sahu, Chandan/ACX-8791-2022</t>
  </si>
  <si>
    <t>Sahu, Chandan/0000-0003-1566-4910</t>
  </si>
  <si>
    <t>12A</t>
  </si>
  <si>
    <t>FS1MK</t>
  </si>
  <si>
    <t>WOS:000419539900078</t>
  </si>
  <si>
    <t>Liu, Z; Qian, QS; Hu, B; Li, M</t>
  </si>
  <si>
    <t>Liu, Zheng; Qian, Qingshan; Hu, Bin; Li, Meng</t>
  </si>
  <si>
    <t>COLD CHAIN INVENTORY OPTIMIZATION MODEL OF THREELEVEL FRESH PRODUCTS BASED ON CARBON LABELING SYSTEM</t>
  </si>
  <si>
    <t>ENVIRONMENTAL ENGINEERING AND MANAGEMENT JOURNAL</t>
  </si>
  <si>
    <t>carbon emission reduction; carbon label; fresh cold chain; inventory optimization</t>
  </si>
  <si>
    <t>AGRICULTURAL PRODUCTS; EMISSION; TRANSPORTATION; CHALLENGES; MANAGEMENT; LOGISTICS; POLICY</t>
  </si>
  <si>
    <t>Carbon labeling is a reasonable quantitative tool, which is an important thrust for enterprises to tap the potential of emission reduction. It can cultivate consumers' low-carbon consumption awareness and consumption habits, and also an important means to promote the green and low-carbon transformation of traditional high-carbon industrial chain. Based on the cold chain composed of upstream suppliers, distribution centers with logistics and product value-added services and downstream retailers, this paper considers the carbon emission reduction investment of distribution centers and implements carbon labeling system. The carbon footprint and sales price of fresh products are introduced to describe the demand of low-carbon preference consumer market, and the deterioration rate of fresh products is described by Weibull distribution function. The inventory optimization models of each participant in the cold chain of fresh products are constructed and simulated. Combined with the survey data, the genetic algorithm is used to search the optimal decision variables, and the sensitivity of the deterioration rate of fresh products and the carbon footprint sensitivity coefficient is analyzed. The research results show that the carbon label attached to the distribution center for carbon emission reduction can effectively reduce the carbon emission in the cold chain inventory link and optimize the inventory of each node in the supply chain. The established mathematical model and the research conclusions can provide a useful reference for the practice of energy conservation and emission reduction of the cold chain inventory optimization of fresh products.</t>
  </si>
  <si>
    <t>[Liu, Zheng; Qian, Qingshan; Hu, Bin] Shanghai Univ Engn Sci, Sch Management, Shanghai 201620, Peoples R China; [Li, Meng] Beijing Res Inst Automat Machinery Ind Co Ltd, Met Automat &amp; Ind Big Data Technol Engn Dept, Beijing 100120, Peoples R China</t>
  </si>
  <si>
    <t>Shanghai University of Engineering Science</t>
  </si>
  <si>
    <t>Qian, QS (corresponding author), Shanghai Univ Engn Sci, Sch Management, Shanghai 201620, Peoples R China.</t>
  </si>
  <si>
    <t>M030120263@sues.edu.cn</t>
  </si>
  <si>
    <t>Liu, Zhenhai/ABB-2329-2021</t>
  </si>
  <si>
    <t>National Social Science Fund of China [22GLB03983]</t>
  </si>
  <si>
    <t>National Social Science Fund of China</t>
  </si>
  <si>
    <t>The finding is sponsored by the National Social Science Fund of China (Grant No. 22GLB03983).</t>
  </si>
  <si>
    <t>GH ASACHI TECHNICAL UNIV IASI</t>
  </si>
  <si>
    <t>IASI</t>
  </si>
  <si>
    <t>71 MANGERON BLVD, IASI, 700050, ROMANIA</t>
  </si>
  <si>
    <t>1582-9596</t>
  </si>
  <si>
    <t>1843-3707</t>
  </si>
  <si>
    <t>ENVIRON ENG MANAG J</t>
  </si>
  <si>
    <t>Environ. Eng. Manag. J.</t>
  </si>
  <si>
    <t>10.30638/eemj.2023.064</t>
  </si>
  <si>
    <t>T7JI2</t>
  </si>
  <si>
    <t>WOS:001079703400001</t>
  </si>
  <si>
    <t>Bento, JH; Oliveira, M; Borges, ADD</t>
  </si>
  <si>
    <t>Bento, Joao H.; Oliveira, Miguel; Borges, Amadeu Duarte da Silva</t>
  </si>
  <si>
    <t>Harnessing the Energy Potential of Nut Residues: A Comprehensive Environmental and Carbon Footprint Assessment</t>
  </si>
  <si>
    <t>biomass; dried fruit residues; renewable energy; waste management</t>
  </si>
  <si>
    <t>HIGHER HEATING VALUES; BIOMASS; PYROLYSIS; MOISTURE; BIOCHAR; KINETICS</t>
  </si>
  <si>
    <t>This study provides a comprehensive thermochemical characterization of common nut residues-almonds, walnuts, hazelnuts, peanuts, and pistachios shells-as potential biomass fuels, examining their chemical composition, calorific values, and emissions profiles. Their suitability as renewable energy sources was systematically assessed by verifying compliance with ISO 17225-2 standards for pellet production. The nut residues demonstrated promising energy characteristics, with higher heating values ranging from 17.75 to 19.12 MJ/kg and most samples fulfilling ISO 17225-2 classifications A1 or A2. Specifically, the walnut residues met the highest quality classification (A1), whereas the almond, hazelnut, and pistachio residues met the A2 classification, and the peanut residues were classified as B due to higher nitrogen content. A Life Cycle Assessment (LCA) was also performed to quantify the environmental impacts, focusing on CO2 emissions from energy recovery and transportation. The results showed significantly lower CO2 emissions from all the nut residues compared to fossil fuels such as coal, natural gas, fuel oil (HFO), and LPG. The almond residues exhibited the lowest total CO2 emissions at 1669.27 kg CO2 per ton, while the peanuts had the highest at 1945.93 kg CO2 per ton. Even the highest-emitting nut residues produced substantially lower emissions compared to coal, which emitted approximately 4581.12 kg CO2 per ton. These findings highlight the potential of nut residues as low-carbon, renewable energy sources, providing both environmental advantages and opportunities to support local agricultural economies.</t>
  </si>
  <si>
    <t>[Bento, Joao H.; Oliveira, Miguel; Borges, Amadeu Duarte da Silva] Univ Tras os Montes &amp; Alto Douro, Lab Thermal Sci &amp; Sustainabil, P-5001801 Vila Real, Portugal; [Oliveira, Miguel; Borges, Amadeu Duarte da Silva] Univ Tras os Montes &amp; Alto Douro, Chem Res Ctr Vila Real, CQ VR, P-5001801 Vila Real, Portugal; [Borges, Amadeu Duarte da Silva] Univ Tras os Montes &amp; Alto Douro, Engn Dept, P-5001801 Vila Real, Portugal</t>
  </si>
  <si>
    <t>University of Tras-os-Montes &amp; Alto Douro; University of Tras-os-Montes &amp; Alto Douro; University of Tras-os-Montes &amp; Alto Douro</t>
  </si>
  <si>
    <t>Borges, ADD (corresponding author), Univ Tras os Montes &amp; Alto Douro, Lab Thermal Sci &amp; Sustainabil, P-5001801 Vila Real, Portugal.;Borges, ADD (corresponding author), Univ Tras os Montes &amp; Alto Douro, Chem Res Ctr Vila Real, CQ VR, P-5001801 Vila Real, Portugal.;Borges, ADD (corresponding author), Univ Tras os Montes &amp; Alto Douro, Engn Dept, P-5001801 Vila Real, Portugal.</t>
  </si>
  <si>
    <t>amadeub@utad.pt</t>
  </si>
  <si>
    <t>; Oliveira, Miguel/NQF-4195-2025</t>
  </si>
  <si>
    <t>Borges, Amadeu/0000-0002-8361-5208; Oliveira, Miguel/0000-0003-1298-5428; Bento, João/0009-0007-7223-4067</t>
  </si>
  <si>
    <t>JUN 17</t>
  </si>
  <si>
    <t>10.3390/su17125573</t>
  </si>
  <si>
    <t>4EP0Z</t>
  </si>
  <si>
    <t>WOS:001516167500001</t>
  </si>
  <si>
    <t>Keel, SG; Bretscher, D; Leifeld, J; von Ow, A; Wüst-Galley, C</t>
  </si>
  <si>
    <t>Keel, Sonja G. G.; Bretscher, Daniel; Leifeld, Jens; von Ow, Albert; Wust-Galley, Chloe</t>
  </si>
  <si>
    <t>Soil carbon sequestration potential bounded by population growth, land availability, food production, and climate change</t>
  </si>
  <si>
    <t>Net zero; carbon dioxide removal; dietary change; biochar; nature-based solutions; agriculture; modelling; greenhouse gas mitigation</t>
  </si>
  <si>
    <t>SHORT-ROTATION COPPICE; ORGANIC-CARBON; AGRICULTURAL SOILS; BIOCHAR; DECOMPOSITION; BIOMASS; SUSTAINABILITY; EVAPORATION; SATURATION; MANAGEMENT</t>
  </si>
  <si>
    <t>Improving soil management to enhance soil carbon sequestration (SCS)-a cost-efficient carbon dioxide (CO2) removal approach-can result in co-benefits or trade-offs. Here we address this issue by setting up a modeling framework for Switzerland that combines soil carbon (C) storage, food production and agricultural greenhouse gas (GHG) emissions. The link to food production is crucial because crop types and livestock numbers influence soil organic C (SOC) stocks, through soil C inputs from plants and manure. We estimated SCS rates for the years 2020-2050 for three scenarios, each with two variants for biochar: cover cropping (0.30 t CO2 equivalents [CO2-eq] ha(-1) yr(-1)), biochar addition (0.36-1.8 t CO2-eq ha(-1) yr(-1)) and agroforestry-biochar addition (2.2-2.3 t CO2-eq ha(-1) yr(-1)). Different limiting factors (land and biomass availability, population growth) affected SCS rates and indicated that they cannot be sustained until 2100 under all scenarios (cover cropping: 0.10 t CO2-eq ha(-1) yr(-1) [2051-2100]; biochar addition: 0.35-1.8 t CO2-eq ha(-1) yr(-1); agroforestry-biochar addition: 1.0-1.7 t CO2-eq ha(-1) yr(-1)). This information together with the associated GHG emissions is critical for planning net zero strategies and highlights the importance of integrated assessments that capture links between SCS and the food system.</t>
  </si>
  <si>
    <t>[Keel, Sonja G. G.; Bretscher, Daniel; Leifeld, Jens; Wust-Galley, Chloe] Climate &amp; Agr Grp, Agroscope, Zurich, Switzerland; [von Ow, Albert] Agroscope, Econ Modelling &amp; Policy Anal Grp, Ettenhausen, Switzerland</t>
  </si>
  <si>
    <t>Swiss Federal Research Station Agroscope; Swiss Federal Research Station Agroscope</t>
  </si>
  <si>
    <t>Keel, SG (corresponding author), Climate &amp; Agr Grp, Agroscope, Zurich, Switzerland.</t>
  </si>
  <si>
    <t>sonja.keel@agroscope.admin.ch</t>
  </si>
  <si>
    <t>; Leifeld, Jens/A-3298-2014; Keel, Sonja/AAE-4495-2019</t>
  </si>
  <si>
    <t>Keel, Sonja G/0000-0002-2645-273X; Leifeld, Jens/0000-0002-7245-9852; Wüst-Galley, Chloé/0000-0002-8517-782X</t>
  </si>
  <si>
    <t>10.1080/17583004.2023.2244456</t>
  </si>
  <si>
    <t>O8VD5</t>
  </si>
  <si>
    <t>WOS:001046532300001</t>
  </si>
  <si>
    <t>Sánchez-Rodríguez, AR; del Campillo, MC; Torrent, J; Cooledge, EC; Chadwick, DR; Jones, DL</t>
  </si>
  <si>
    <t>Sanchez-Rodriguez, Antonio Rafael; del Campillo, Maria Carmen; Torrent, Jose; Cooledge, Emily C.; Chadwick, David R.; Jones, Davey L.</t>
  </si>
  <si>
    <t>Phosphorus fertilization promotes carbon cycling and negatively affects microbial carbon use efficiency in agricultural soils: Laboratory incubation experiments</t>
  </si>
  <si>
    <t>Carbon turnover; Microbial activity; Microbial biomass; CUE; Phosphorus; Prillosphere</t>
  </si>
  <si>
    <t>ORGANIC-MATTER; NITROGEN MINERALIZATION; COMMUNITY; AVAILABILITY; SEQUESTRATION; DECOMPOSITION; RESPIRATION; SALINITY; FEEDBACK; IMPACT</t>
  </si>
  <si>
    <t>Soil organic carbon (SOC) loss from intensive agriculture represents a major global concern. Consequently, strategies to improve soil management to mitigate or abate SOC losses and enhance carbon (C) sequestration are urgently needed. Nutrient availability, especially nitrogen (N) and phosphorus (P), regulates soil C cycling and storage. While N effects are well studied, less is known about how soil P status and different fertilizer types affects SOC dynamics. This laboratory incubation assessed how two common P fertilizers, diammonium phosphate (DAP) and single superphosphate (SSP), affected microbial activity and C immobilization in the zone of soil directly around the fertilizer granule (prillosphere) across three contrasting agricultural soils (Inceptisol, Vertisol, Alfisol). Soils were amended with DAP or SSP granules and C turnover assessed with C-14-labeled glycine, malic acid or glucose, alongside unfertilized controls. After three weeks, soil pH, electrical conductivity (EC), Olsen-P and microbial C use efficiency (CUE) were measured. DAP increased pH in the Inceptisol (acidic soil), while SSP decreased pH in all soils. Both fertilizers increased EC and Olsen-P, but SSP enhanced Olsen-P more than DAP. Cumulative (CO2)-C-14 emissions were 19-20 % higher with P fertilizers compared to the control, with DAP stimulating faster initial C mineralization rates than SSP, except in the Alfisol. P addition reduced microbial CUE by 23-34 % across all soils and substrates versus the unfertilized control. We ascribe this reduction in CUE to an alleviation of nutrient limitation or a fertilizer-induced osmotic stress. The co-addition of N either in DAP or glycine did not alter the P-induced CUE response suggesting that P was more important than N in regulating microbial CUE in these soils. We conclude that P fertilization increased short-term C turnover and may lead to reduced C storage in soil, however, further long-term (&gt;1 year) research is needed to identify optimum P management strategies to minimize C losses in agricultural soils.</t>
  </si>
  <si>
    <t>[Sanchez-Rodriguez, Antonio Rafael; del Campillo, Maria Carmen; Torrent, Jose] Univ Cordoba, Agron Dept, ETSIAM, Campus Rabanales, Cordoba 14071, Spain; [Cooledge, Emily C.; Chadwick, David R.; Jones, Davey L.] Bangor Univ, Sch Environm &amp; Nat Sci, Bangor LL57 2UW, Gwynedd, Wales</t>
  </si>
  <si>
    <t>Universidad de Cordoba; Bangor University</t>
  </si>
  <si>
    <t>Sánchez-Rodríguez, AR (corresponding author), Univ Cordoba, Agron Dept, ETSIAM, Campus Rabanales, Cordoba 14071, Spain.</t>
  </si>
  <si>
    <t>antonio.sanchez@uco.es</t>
  </si>
  <si>
    <t>Sánchez-Rodríguez, Antonio Rafael/K-9824-2014; Cooledge, Emily/AAZ-1715-2020; Torrent, José/AAA-6674-2020; jones, davey/C-7411-2011; Campillo, Maria/C-3606-2015; Chadwick, David/KBQ-6266-2024</t>
  </si>
  <si>
    <t>Sánchez-Rodríguez, Antonio Rafael/0000-0001-8734-2035; Cooledge, Emily/0000-0003-3974-0404;</t>
  </si>
  <si>
    <t>Spanish Ministry Science, Innovation and Universities [IJCI-2016-27388]; [BB/N013468/1]</t>
  </si>
  <si>
    <t>Spanish Ministry Science, Innovation and Universities;</t>
  </si>
  <si>
    <t>This work was funded by Spain's Ministry of Economy and Competitiveness (Project AGL 2017-87074-C2-2-R), the Spanish State Research Agency of the Spanish Ministry of Science and Innovation and the European Regional Development Fund (Project PID2020-118503RB-C22), and the Severo Ochoa and Maria de Maeztu Programs for Centers and Units of Excellence in R&amp;D &amp;D [Ref. CEX2019-000968-M]. Sanchez-Rodriguez acknowledges funding support by the contract Juan de Cierva-Incorporacion (IJCI-2016-27388) of the Spanish Ministry Science, Innovation and Universities. We thank the Servicio Central Apoyo a la Investigacion (SCAI) of the University of Cordoba for technical support. Financial support in the UK was provided by UK Research and Innovation (UKRI) under project BB/N013468/1.</t>
  </si>
  <si>
    <t>10.1016/j.geoderma.2024.117038</t>
  </si>
  <si>
    <t>H2D6W</t>
  </si>
  <si>
    <t>WOS:001321600900001</t>
  </si>
  <si>
    <t>Tziolas, E; Papadopoulos, A; Lappa, V; Bakogiorgos, G; Galanopoulou, S; Mosquera-Losada, MR; Pantera, A</t>
  </si>
  <si>
    <t>Tziolas, Emmanouil; Papadopoulos, Andreas; Lappa, Vasiliki; Bakogiorgos, Georgios; Galanopoulou, Stavroula; Mosquera-Losada, Maria Rosa; Pantera, Anastasia</t>
  </si>
  <si>
    <t>Carbon Footprint and Economic Trade-Offs in Traditional Greek Silvopastoral Systems: An Integrated Life Cycle Assessment Approach</t>
  </si>
  <si>
    <t>life cycle assessment; carbon footprint; economic performance; agroforestry; sustainable livestock; rural development</t>
  </si>
  <si>
    <t>AGROFORESTRY SYSTEMS; MULTI-FUNCTIONALITY; LIVESTOCK; SOIL</t>
  </si>
  <si>
    <t>Silvopastoral systems, though ecologically beneficial, remain underrepresented in the European Union's Common Agricultural Policy and are seldom studied in Mediterranean contexts. The current study assesses both the environmental and economic aspects of five typical silvopastoral systems in central Greece, encompassing cattle, sheep, and goat farming. A Life Cycle Assessment approach was implemented to quantify greenhouse gas emissions using economic allocation, distributing impacts between milk and meat outputs. Enteric fermentation was the major emission source, accounting for up to 65.14% of total emissions in beef-based systems, while feeding and soil emissions were more prominent in mixed and small ruminant systems. Total farm-level emissions ranged from 60,609 to 273,579 kg CO2eq per year. Economically, only beef-integrated systems achieved an average annual profitability above EUR 20,000 per farm, based on financial data averaged over the last five years (2020-2024) from selected case studies in central Greece, while the remaining systems fell below the national poverty threshold for an average household, underscoring concerns about their economic viability. The findings underline the dual challenges of economic viability and policy neglect, stressing the need for targeted support if these multifunctional systems are to add value to EU climate goals and rural sustainability.</t>
  </si>
  <si>
    <t>[Tziolas, Emmanouil; Papadopoulos, Andreas; Lappa, Vasiliki; Bakogiorgos, Georgios; Galanopoulou, Stavroula; Pantera, Anastasia] Agr Univ Athens, Dept Forestry &amp; Nat Environm Management, Karpenissi 36100, Greece; [Mosquera-Losada, Maria Rosa] Univ Santiago De Compostela, Escuela Politecn Super Lugo, Dept Crop Prod &amp; Engn Projects, Lugo 27002, Spain</t>
  </si>
  <si>
    <t>Universidade de Santiago de Compostela</t>
  </si>
  <si>
    <t>Tziolas, E (corresponding author), Agr Univ Athens, Dept Forestry &amp; Nat Environm Management, Karpenissi 36100, Greece.</t>
  </si>
  <si>
    <t>etziolas@vo.duth.gr; ampapadopoulos@aua.gr; vaslappa@aua.gr; gback@aua.gr; sgalanop@aua.gr; mrosa.mosquera.losada@usc.es; pantera@aua.gr</t>
  </si>
  <si>
    <t>; Mosquera-Losada, M/K-8357-2014; BAKOGIORGOS, GIORGOS/KVC-1498-2024</t>
  </si>
  <si>
    <t>Tziolas, Emmanouil/0000-0002-7229-8577; lappa, Vasiliki/0000-0001-6003-8500; Pantera, Anastasia/0000-0002-4339-9141; BAKOGIORGOS, GEORGIOS/0009-0004-3205-1037; Galanopoulou, Stavroula/0009-0005-6405-5953;</t>
  </si>
  <si>
    <t>European Union's Horizon Europe research and innovation programme; Agroforestry Business Model Innovation Network [AF4EU]; [101086563]</t>
  </si>
  <si>
    <t>European Union's Horizon Europe research and innovation programme; Agroforestry Business Model Innovation Network;</t>
  </si>
  <si>
    <t>This work was conducted as part of the Agroforestry Business Model Innovation Network (AF4EU) project, which has received funding from the European Union's Horizon Europe research and innovation programme under Grant Agreement No. 101086563.</t>
  </si>
  <si>
    <t>10.3390/f16081262</t>
  </si>
  <si>
    <t>6PC8S</t>
  </si>
  <si>
    <t>WOS:001558665000001</t>
  </si>
  <si>
    <t>Plastina, A; Jo, H; Wongpiyabovorn, O</t>
  </si>
  <si>
    <t>Plastina, Alejandro; Jo, Haeun; Wongpiyabovorn, Oranuch</t>
  </si>
  <si>
    <t>The business case for carbon farming in the USA</t>
  </si>
  <si>
    <t>Cover crops; No-till; Carbon sequestration; Conservation practices; Net returns; Payments per output; Payments per practice; Agricultural carbon credits</t>
  </si>
  <si>
    <t>U.S. agricultural producers are increasingly able to participate in private voluntary carbon initiatives that compensate their efforts to sequester CO2, reduce GHG emissions, and provide ecosystem services through eligible conservation practices. This study examines the potential effects of alternative private payment regimes (per practice vs. per output), prices paid to farmers relative to out-of-pocket costs (low vs. high), and the availability of information on CO2 sequestration (limited vs. full), on the adoption of cover crops and no-till in the United States, the resulting CO2 sequestration, and changes in farmers' net returns. The analysis relies on a highly stylized model of heterogeneous farms calibrated with county-level agronomic data, and simulated for current estimates of GHG impacts of cover crop planting and no-till under different scenarios. Our results indicate that agricultural carbon markets can be profitable for U.S. farmers, although with substantial geographic variability, and that annual carbon sequestration could range between 17 and 75 million mtCO2e. Payments per output would incentivize higher carbon sequestration than payments per practice, but the former regime would be less favored by farmers as a unified group than the latter (due to lower aggregate net returns). However, if operators of farms with high carbon sequestration potential could decide the payment regime to be implemented, they would choose the payment per output regime (due to higher net returns per enrolled hectare). Total projected net changes in GHGs under payments per practice, based solely on county-average net GHG effects of cover crops and no-till, over-estimate actual total GHG sequestration (based on the entire distribution of net effects by county) by 2.1 and 14.2 million mtCO2e, or 18% and 21%, respectively.</t>
  </si>
  <si>
    <t>[Plastina, Alejandro] Iowa State Univ, Dept Econ, 478E Heady Hall,518 Farm House Ln, Ames, IA 50011 USA; [Plastina, Alejandro] Iowa State Univ, Affiliated Fac, Ctr Agr &amp; Rural Dev, 478E Heady Hall,518 Farm House Ln, Ames, IA 50011 USA; [Jo, Haeun] Iowa State Univ, Dept Econ, 280A Heady Hall,518 Farm House Ln, Ames, IA 50011 USA; [Wongpiyabovorn, Oranuch] South Dakota State Univ, Ness Sch Management &amp; Econ, Harding Hall 205, Brookings, SD 57007 USA</t>
  </si>
  <si>
    <t>Iowa State University; Iowa State University; Iowa State University; South Dakota State University</t>
  </si>
  <si>
    <t>Plastina, A (corresponding author), Iowa State Univ, Dept Econ, 478E Heady Hall,518 Farm House Ln, Ames, IA 50011 USA.;Plastina, A (corresponding author), Iowa State Univ, Affiliated Fac, Ctr Agr &amp; Rural Dev, 478E Heady Hall,518 Farm House Ln, Ames, IA 50011 USA.</t>
  </si>
  <si>
    <t>plastina@iastate.edu</t>
  </si>
  <si>
    <t>; Wongpiyabovorn, Oranuch/JUF-2410-2023; Plastina, Alejandro/AFU-1119-2022</t>
  </si>
  <si>
    <t>Plastina, Alejano/0000-0001-7333-5459;</t>
  </si>
  <si>
    <t>National Institute of Food and Agriculture</t>
  </si>
  <si>
    <t>National Institute of Food and Agriculture(United States Department of Agriculture (USDA)National Institute of Food &amp; Agriculture)</t>
  </si>
  <si>
    <t>The authors are grateful to Wendiam Sawadgo (Auburn University) for sharing data on conservation practice adoption by county; Andrew Rosenberg and Benjamin Gramig (USDA Economic Research Service) for sharing information on EQIP payments; John Crespi (Center for Agricultural and Rural Development) for his support and encouragement; and Brent Sohngen (Ohio State University) for the invitation to submit our research to this Collection.</t>
  </si>
  <si>
    <t>10.1186/s13021-024-00253-5</t>
  </si>
  <si>
    <t>HY7G1</t>
  </si>
  <si>
    <t>WOS:001163130500001</t>
  </si>
  <si>
    <t>Wróbel-Jedrzejewska, M; Polak, E</t>
  </si>
  <si>
    <t>Wrobel-Jedrzejewska, Magdalena; Polak, Elzbieta</t>
  </si>
  <si>
    <t>Carbon Footprint Analysis of Ice Cream Production</t>
  </si>
  <si>
    <t>carbon footprint; ice cream production; sustainable production; greenhouse gas emissions; food labeling</t>
  </si>
  <si>
    <t>AGRICULTURAL PRODUCTS; EXERGY ANALYSIS; FOOD; ENERGY; CHALLENGES; INDUSTRY; DESIGN; WATER</t>
  </si>
  <si>
    <t>Nowadays, a noticeable trend in society is the search for more and more healthy food products. This is also reflected in the interest in plant-based ingredients replacing animal ones, which are more caloric, difficult to digest, and have more negative environmental impact. The purpose of this study was to determine the carbon footprint (CF) of technological process of ice cream, made with traditional ingredients as well as with fat and sugar substitute ingredients, under laboratory and handcraft conditions. Process-line portable metering was designed and implemented. Emission and production data were recorded for different ice blends; at a laboratory-scale, the determined technological process, CFtech, of traditional ice cream was 0.360 and for ice cream with substitutes 0.385 kg CO2/kg product. The pasteurization process accounted for the largest share in CFtech of ice cream with different contents of substitutes. Under handicraft conditions, the CFtech of traditional ice cream as well as ice cream with fat and sugar substitutes were 0.253 and 0.248 kg CO2/kg product, respectively. In contrast, for standard a handcraft, CF was the lowest at 0.234 kg CO2/kg product. CFtech of laboratory-scale ice cream production is larger than for handcraft production. Pasteurization along with homogenization and ripening accounted for the largest share of CO2 emissions.</t>
  </si>
  <si>
    <t>[Wrobel-Jedrzejewska, Magdalena; Polak, Elzbieta] Prof Waclaw Dabrowski Inst Agr &amp; Food Biotechnol N, Dept Refrigerat Technol &amp; Tech Lodz, PL-02532 Warsaw, Poland</t>
  </si>
  <si>
    <t>Wróbel-Jedrzejewska, M (corresponding author), Prof Waclaw Dabrowski Inst Agr &amp; Food Biotechnol N, Dept Refrigerat Technol &amp; Tech Lodz, PL-02532 Warsaw, Poland.</t>
  </si>
  <si>
    <t>magdalena.jedrzejewska@ibprs.pl</t>
  </si>
  <si>
    <t>; WrobelJedrzejewska, Magdalena/KHE-0895-2024</t>
  </si>
  <si>
    <t>Wróbel-Jęzejewska, Magdalena/0000-0002-7633-5398;</t>
  </si>
  <si>
    <t>10.3390/su15086887</t>
  </si>
  <si>
    <t>E9CE3</t>
  </si>
  <si>
    <t>WOS:000978428700001</t>
  </si>
  <si>
    <t>Ren, TJ; Ukalska-Jaruga, A; Smreczak, BZ; Cai, AD</t>
  </si>
  <si>
    <t>Ren, Tianjing; Ukalska-Jaruga, Aleksandra; Smreczak, Bo zena; Cai, Andong</t>
  </si>
  <si>
    <t>Dissolved organic carbon in cropland soils: A global meta-analysis of management effects</t>
  </si>
  <si>
    <t>Soil dissolved organic carbon; Management practices; Driving factors; Soil carbon dioxide emissions; Crop yields</t>
  </si>
  <si>
    <t>MICROBIAL BIOMASS; BIOCHAR; MATTER; STABILIZATION; AVAILABILITY; FRACTIONS; FLUXES</t>
  </si>
  <si>
    <t>Dissolved organic carbon (DOC) in agricultural soils is a pivotal indicator of soil carbon response to management practices, facilitating substance transport, energy transfer, and information exchange. Despite its importance, there is limited understanding of the global impact of these practices on the magnitude, drivers, and functionality of soil DOC. Here, we conducted a meta-analysis of 3539 paired DOC, 196 paired soil carbon dioxide (CO2) emissions, and 1424 paired crop yields from cropland soils to fill this knowledge gap. Management practices included conservation tillage (CT), nitrogen fertilizer, straw, manure, nitrogen combined with straw (NS), nitrogen combined with manure (NM), and biochar. DOC under NM, manure, NS, straw, nitrogen fertilizer, biochar, and CT increased significantly by 78.21%, 49.91%, 41.02%, 25.68%, 18.4%, 14.89%, and 9.74%, respectively. Except for biochar and CT, the other management practices also led to an increase in the DOC/SOC ratio, ranging from 7.66% to 15.79%. Biochar application decreases the DOC/SOC ratio by 25.02%, indicating its soil carbon stability and the potential for carbon sequestration. The intensity and duration of management practices emerged as driving factors influencing the DOC. Each unit increase of DOC under nitrogen fertilizer, straw, and NM not only effectively decreased the effect size of CO2 emissions, but also increased the effect size of crop yields in contrast to CT, manure, NS, and biochar. Overall, this study highlighted the importance of the intensity and duration of management practices on DOC. The regulation of DOC through management practices is also required to account for both environmental aspects and crop yields for sustainable agricultural development.</t>
  </si>
  <si>
    <t>[Ren, Tianjing; Ukalska-Jaruga, Aleksandra; Smreczak, Bo zena] Inst Soil Sci &amp; Plant Cultivat, State Res Inst, Dept Soil Sci Eros &amp; Land Conservat, Czartoryskich St 8, PL-24100 Pulawy, Poland; [Cai, Andong] Chinese Acad Agr Sci, Inst Environm &amp; Sustainable Dev Agr, Beijing 100081, Peoples R China</t>
  </si>
  <si>
    <t>Institute of Soil Science &amp; Plant Cultivation; Chinese Academy of Agricultural Sciences; Institute of Environment &amp; Sustainable Development in Agriculture, CAAS</t>
  </si>
  <si>
    <t>Ren, TJ (corresponding author), Inst Soil Sci &amp; Plant Cultivat, State Res Inst, Dept Soil Sci Eros &amp; Land Conservat, Czartoryskich St 8, PL-24100 Pulawy, Poland.;Cai, AD (corresponding author), Chinese Acad Agr Sci, Inst Environm &amp; Sustainable Dev Agr, Beijing 100081, Peoples R China.</t>
  </si>
  <si>
    <t>rentianjing@outlook.com; caiandong@caas.cn</t>
  </si>
  <si>
    <t>Cai, Andong/J-8441-2019</t>
  </si>
  <si>
    <t>Ren, Tianjing/0000-0002-1821-2621</t>
  </si>
  <si>
    <t>The European Joint Project COFUND (EJP SOIL) [862695]; National Science &amp; Technology Fundamental Resources Investigation Project of China [2022FY100500]</t>
  </si>
  <si>
    <t>The European Joint Project COFUND (EJP SOIL); National Science &amp; Technology Fundamental Resources Investigation Project of China</t>
  </si>
  <si>
    <t>The European Joint Project COFUND (EJP SOIL) -Towards climate-smart sustainable management of agricultural soils (862695) and the National Science &amp; Technology Fundamental Resources Investigation Project of China (2022FY100500) financially supported this work.</t>
  </si>
  <si>
    <t>10.1016/j.agee.2024.109080</t>
  </si>
  <si>
    <t>XV1B0</t>
  </si>
  <si>
    <t>WOS:001264348500001</t>
  </si>
  <si>
    <t>Ul-Haq, Z; Tariq, S; Ali, M</t>
  </si>
  <si>
    <t>Ul-Haq, Zia; Tariq, Salman; Ali, Muhammad</t>
  </si>
  <si>
    <t>Anthropogenic emissions and space-borne observations of carbon monoxide over South Asia</t>
  </si>
  <si>
    <t>ADVANCES IN SPACE RESEARCH</t>
  </si>
  <si>
    <t>Tropospheric Co; AIRS; SCIAMACHY; MACCity; REAS; Climate change</t>
  </si>
  <si>
    <t>METHANE EMISSION; AIR-POLLUTANTS; CO EMISSIONS; RICE FIELDS; SCIAMACHY; VARIABILITY; RETRIEVAL; IMPACT; DISTRIBUTIONS; INVENTORY</t>
  </si>
  <si>
    <t>The focus of this study is to understand anthropogenic emissions, spatiotemporal variability and trends of carbon monoxide (CO) over South Asia by using datasets from MACCity (Monitoring Atmospheric Composition and Climate, MACC and megaCITY - Zoom for the Environment, CityZEN), REAS (Regional Emission inventory in Asia), AIRS (Atmospheric Infrared Sounder) and SCIAMACHY (SCanning Imaging Absorption spectroMeter for Atmospheric CartograpHY). MACCity anthropogenic emissions show an overall increase of 16.5% during 2000-2010. Elevated levels of MACCity CO are found in Indo-Gangetic Basin (IGB), eastern mining region of India, Bangladesh and large urban areas. Some of the major contributors of these emissions have been identified as agricultural waste burning, land transport, industrial production, and energy generation and distribution. An area averaged mean value of AIRS CO at 600 hPa is found to be 114 +/- 2 ppbv (slope -0.48 +/- 0.2 ppbv yr(-1), y-intercept 117 +/- 1 ppbv and r = 0.68) with a minor declining trend at -0.41 +/- 0.18% yr(-1) over the region during 2003-2015. A strong seasonality in AIRS CO concentration is observed with spring season peak in March 129 +/- 1.9 ppbv, whereas low values have been observed in summer monsoon with sturdy dip in July 99.6 +/- 1.94 ppbv. AIRS CO and SCIAMACHY CO Total Column (CO TC) over the study region show spatial patterns similar to MACCity and REAS emissions. An analysis of SCIAMACHY CO TC tendencies has been performed which indicates minor rising trends over some parts of the region. Background CO, Recent Emissions (RE), and spatial anomalies in RE over high anthropogenic activity zones of Indus Basin, Ganges Basin and Eastern Region were analyzed using AIRS and SCIAMACHY CO data. (C) 2016 COSPAR. Published by Elsevier Ltd. All rights reserved.</t>
  </si>
  <si>
    <t>[Ul-Haq, Zia; Tariq, Salman; Ali, Muhammad] Univ Punjab, Dept Space Sci, Remote Sensing &amp; GIS Grp, Lahore, Pakistan</t>
  </si>
  <si>
    <t>University of Punjab</t>
  </si>
  <si>
    <t>Ul-Haq, Z (corresponding author), Univ Punjab, Dept Space Sci, Remote Sensing &amp; GIS Grp, Lahore, Pakistan.</t>
  </si>
  <si>
    <t>zia.spsc@yahoo.com; salmantariq_pu@yahoo.com; ali60e@yahoo.com</t>
  </si>
  <si>
    <t>Tariq, Salman/G-4311-2012; Ul Haq, Zia/A-1068-2015; Shahid, Ahmad/AAE-8961-2019; Ul Haq, Zia/A-1068-2015</t>
  </si>
  <si>
    <t>Tariq, Salman/0000-0002-9935-4516; Ul Haq, Zia/0000-0002-6787-9158; Ul Haq, Zia/0000-0002-6787-9158</t>
  </si>
  <si>
    <t>0273-1177</t>
  </si>
  <si>
    <t>1879-1948</t>
  </si>
  <si>
    <t>ADV SPACE RES</t>
  </si>
  <si>
    <t>Adv. Space Res.</t>
  </si>
  <si>
    <t>10.1016/j.asr.2016.06.033</t>
  </si>
  <si>
    <t>Engineering, Aerospace; Astronomy &amp; Astrophysics; Geosciences, Multidisciplinary; Meteorology &amp; Atmospheric Sciences</t>
  </si>
  <si>
    <t>Engineering; Astronomy &amp; Astrophysics; Geology; Meteorology &amp; Atmospheric Sciences</t>
  </si>
  <si>
    <t>DY9RW</t>
  </si>
  <si>
    <t>WOS:000385473800002</t>
  </si>
  <si>
    <t>Eshel, G; Flamholz, AI; Shepon, AA; Milo, R</t>
  </si>
  <si>
    <t>Eshel, Gidon; Flamholz, Avi I.; Shepon, Alon Alon; Milo, Ron</t>
  </si>
  <si>
    <t>US grass- fed beef is as carbon intensive as industrial beef and N10-fold more intensive than common protein- dense alternatives</t>
  </si>
  <si>
    <t>agricultural efficiency; beef; grazing; rangeland; carbon balance</t>
  </si>
  <si>
    <t>GREENHOUSE-GAS EMISSIONS; SOIL ORGANIC-CARBON; ENVIRONMENTAL IMPACTS; CLIMATE-CHANGE; SEQUESTRATION; LAND; MANAGEMENT; HEALTH; CONSTRAINTS; RANGELANDS</t>
  </si>
  <si>
    <t>The high resource intensity of industrial beef in high- income economies has prompted growing interest in alternative, potentially lower environmental impact beef production pathways. Of those, grass feeding is promoted by some as one such alternative, but rigorous quantification of this claim is required. Motivated to bridge this knowledge gap, we integrate empirical evidence with a model based on authoritative equations governing beef cattle performance to quantify the greenhouse gas emissions of producing grass- fed beef. Because geographical specificity and dependence on agricultural intensity are key, we model widely varied herds, from extensive operations on semiarid, marginal rangelands to partially industrial, intensive ones in lusher, more accommodating settings. We find that emissions per kg protein of even the most efficient grass- fed beef are 10 to 25% higher than those of industrial US beef and 3- to over 40- fold higher than a wide range of plant and animal alternatives. Soil sequestration enhancement by rangeland grazing reduces these emissions from 280-390 to 180-290 kg CO2eq (kg protein)-1, still somewhat above industrial beef's 180 to 220 kg CO2eq (kg protein)-1, and well above nonbeef alternatives' 10 to 70 kg CO2eq (kg protein)-1. These differences prove robust across a broad set of combinations of grass- fed beef operation types, management practices, and ration qualities. Consequently, even with maximal credit for putative sequestration enhancement, grass- fed beef is still no less carbon intensive than industrial beef, and severalfold more intensive than nonbeef alternatives.</t>
  </si>
  <si>
    <t>[Eshel, Gidon] Bard Coll, Dept Environm Sci, Annandale On Hudson, NY 12504 USA; [Flamholz, Avi I.] Rockefeller Univ, Lab Environm Microbiol, New York, NY 10065 USA; [Shepon, Alon Alon] Tel Aviv Univ, Steinhardt Museum Nat Hist, IL-61390 Tel Aviv, Israel; [Milo, Ron] Weizmann Inst Sci, Dept Plant &amp; Environm Sci, IL-7610001 Rehovot, Israel</t>
  </si>
  <si>
    <t>Rockefeller University; Tel Aviv University; Weizmann Institute of Science</t>
  </si>
  <si>
    <t>Eshel, G (corresponding author), Bard Coll, Dept Environm Sci, Annandale On Hudson, NY 12504 USA.;Milo, R (corresponding author), Weizmann Inst Sci, Dept Plant &amp; Environm Sci, IL-7610001 Rehovot, Israel.</t>
  </si>
  <si>
    <t>geshel@gmail.com; ron.milo@weizmann.ac.il</t>
  </si>
  <si>
    <t>; Shepon, Alon/AAD-5316-2019</t>
  </si>
  <si>
    <t>Milo, Ron/0000-0003-1641-2299; Flamholz, Avi/0000-0002-9278-5479; Shepon, Alon/0000-0002-4345-8957;</t>
  </si>
  <si>
    <t>MAR 25</t>
  </si>
  <si>
    <t>e2404329122</t>
  </si>
  <si>
    <t>10.1073/pnas.2404329122</t>
  </si>
  <si>
    <t>0ZD1D</t>
  </si>
  <si>
    <t>WOS:001459467100001</t>
  </si>
  <si>
    <t>Dlamini, JC; Tesfamariam, EH; Dunn, R; Evans, J; Hawkins, J; Blackwell, M; Collins, A; Cardenas, L</t>
  </si>
  <si>
    <t>Dlamini, Jerry Celumusa; Tesfamariam, Eyob Habte; Dunn, Robert; Evans, J.; Hawkins, Jane; Blackwell, Martin; Collins, Adrian; Cardenas, Laura</t>
  </si>
  <si>
    <t>Soil carbon dioxide (CO2) fluxes in permanent upslope pasture and downslope riparian buffers with varying vegetation</t>
  </si>
  <si>
    <t>novel grass; permanent pasture; riparian buffers; willow; woodland</t>
  </si>
  <si>
    <t>NITROUS-OXIDE EMISSIONS; FARMING SYSTEMS; WATER CONTENT; NO-TILL; TEMPERATURE; INCREASES; DRAINAGE</t>
  </si>
  <si>
    <t>BackgroundRiparian buffers are primarily implemented for their water quality functions in agroecosystems. Their location in the agricultural landscape allows them to intercept and process pollutants from immediately adjacent agricultural land. Vegetated riparian buffers recycle soil organic matter, which elevates soil carbon (C), which upon processing, processes and releases carbon dioxide (CO2). The elevated soil C and seasonally anoxic environments associated with riparian buffers promote denitrification and fermentation, further increasing soil CO2 production. AimAgainst this context, a replicated plot-scale experiment was established at North Wyke, UK, to measure the extent of soil CO2 emissions in permanent pasture served by grass, willow, and woodland riparian buffers, as well as a no-buffer control. MethodsSoil CO2 was measured using the static chamber technique in conjunction with soil and environmental variables between June 2018 and February 2019. ResultsCumulative soil CO2 fluxes were in the descending order: woodland riparian buffer; 11,927.8 +/- 1987.9 kg CO2 ha(-1) &gt; no-buffer control; 11,101.3 +/- 3700.4 kg CO2 ha(-1) &gt; grass riparian buffer; 10,826.4 +/- 2551.8 kg CO2 ha(-1) &gt; upslope pasture; 10,554.6 +/- 879.5 kg CO2 ha(-1) &gt; willow riparian buffer; 9294.9 +/- 1549.2 5 kg CO2 ha(-1). There was, however, no evidence of significant differences among all treatments of the current study. ConclusionsDespite the lack of significant differences, the results from our short-term study show that the woodland riparian buffer had relatively larger soil CO2 emissions than the remainder of the other riparian buffers and the upslope pasture it serves. Our short-term findings may be useful in developing soil CO2 mitigation strategies through careful selection of riparian buffer vegetation and may be useful in calibrating mechanistic models for simulating such emissions from similar agro systems.</t>
  </si>
  <si>
    <t>[Dlamini, Jerry Celumusa] Univ Free State, Dept Soil Crop &amp; Climate Sci, Bloemfontein, South Africa; [Dlamini, Jerry Celumusa; Dunn, Robert; Hawkins, Jane; Blackwell, Martin; Collins, Adrian; Cardenas, Laura] Rothamsted Res, Sustainable Agr Sci, Okehampton, Devon, England; [Dlamini, Jerry Celumusa; Tesfamariam, Eyob Habte] Univ Pretoria, Dept Plant &amp; Soil Sci, Hatfield, South Africa; [Evans, J.] Rothamsted Res, Computat &amp; Analyt Sci, Harpenden, Herts, England; [Dlamini, Jerry Celumusa] Univ Free State, Dept Soil Crop &amp; Climate Sci, ZA-9300 Bloemfontein, South Africa</t>
  </si>
  <si>
    <t>University of the Free State; UK Research &amp; Innovation (UKRI); Biotechnology and Biological Sciences Research Council (BBSRC); Rothamsted Research; University of Pretoria; UK Research &amp; Innovation (UKRI); Biotechnology and Biological Sciences Research Council (BBSRC); Rothamsted Research; University of the Free State</t>
  </si>
  <si>
    <t>Dlamini, JC (corresponding author), Univ Free State, Dept Soil Crop &amp; Climate Sci, Bloemfontein, South Africa.;Dlamini, JC (corresponding author), Univ Free State, Dept Soil Crop &amp; Climate Sci, ZA-9300 Bloemfontein, South Africa.</t>
  </si>
  <si>
    <t>DlaminiJC@ufs.ac.za</t>
  </si>
  <si>
    <t>Collins, Aian/V-5938-2018; Collins, Al/JCE-1766-2023; Pretoria, University/H-3118-2019; Cardenas, Laura/HHC-2953-2022; Blackwell, Martin/D-4081-2013; Dunn, Robert/LIH-5110-2024; Dlamini, Jerry/GSD-5939-2022</t>
  </si>
  <si>
    <t>Collins, Aian/0000-0001-8790-8473; Dunn, Robert/0000-0003-4296-3289; Blackwell, Martin/0000-0001-5540-6233; Hood, Jessica/0000-0003-0182-4792; Hawkins, Jane/0000-0002-7072-4018; Dlamini, Jerry/0000-0003-2968-9553</t>
  </si>
  <si>
    <t>Department of Higher Education and Training (New Generation Gap of Academics Program); National Research Foundation-Thuthuka [117964]; UKRI (UK Research and Innovation) Biotechnology and Biological Sciences Research Council (BBSRC) [BB/N004248/1]; British Council [2017-RLTG91069]; UKRI-BBSRC via its Institute Strategic Programmes [BBS/E/C/000I0320, BBS/E/C/000I0330]; Biotechnology and Biological Sciences Research Council [BBS/E/C/000I0320, BBS/E/C/000I0330, BB/N004248/1] Funding Source: researchfish; BBSRC [BB/N004248/1, BBS/E/C/000I0320, BBS/E/C/000I0330] Funding Source: UKRI</t>
  </si>
  <si>
    <t>Department of Higher Education and Training (New Generation Gap of Academics Program); National Research Foundation-Thuthuka; UKRI (UK Research and Innovation) Biotechnology and Biological Sciences Research Council (BBSRC)(UK Research &amp; Innovation (UKRI)Biotechnology and Biological Sciences Research Council (BBSRC)); British Council(The British Council in India); UKRI-BBSRC via its Institute Strategic Programmes; Biotechnology and Biological Sciences Research Council(UK Research &amp; Innovation (UKRI)Biotechnology and Biological Sciences Research Council (BBSRC)); BBSRC(UK Research &amp; Innovation (UKRI)Biotechnology and Biological Sciences Research Council (BBSRC))</t>
  </si>
  <si>
    <t>The Department of Higher Education and Training (New Generation Gap of Academics Program) and National Research Foundation-Thuthuka (Grant Number: 117964), both under the South African government, are acknowledged for financially supporting this study. The work was also facilitated by the UKRI (UK Research and Innovation) Biotechnology and Biological Sciences Research Council (BBSRC) via grant (awarded to ALC) BB/N004248/1-Impacts of different vegetation in riparian buffer strips on hydrology and water quality. The British Council is acknowledged for a Researcher Links Travel Grant (2017-RLTG9-1069) that initiated the collaboration between J. Dlamini and Rothamsted Research. Rothamsted Research is supported by strategic funding from UKRI-BBSRC via its Institute Strategic Programmes, including BBS/E/C/000I0320 and BBS/E/C/000I0330.</t>
  </si>
  <si>
    <t>10.1002/jpln.202100292</t>
  </si>
  <si>
    <t>N8NS2</t>
  </si>
  <si>
    <t>WOS:000986213500001</t>
  </si>
  <si>
    <t>Liu, Y; Shao, L; Wang, WZ; Chen, JF; Zhang, H; Yang, Y; Hu, BC</t>
  </si>
  <si>
    <t>Liu, Yuan; Shao, Long; Wang, Wanzhang; Chen, Jinfan; Zhang, Heng; Yang, Yue; Hu, Baichen</t>
  </si>
  <si>
    <t>Study on Fugitive Dust Control Technologies of Agricultural Harvesting Machinery</t>
  </si>
  <si>
    <t>agricultural harvesting machinery; fugitive dust control; dust particle measurement</t>
  </si>
  <si>
    <t>AIR PARTICULATE MATTER; SOURCE APPORTIONMENT; MASS CONCENTRATION; PARTICLE-SIZE; JIAOZHOU BAY; AMBIENT PM10; PM2.5; AEROSOL; DEPOSITION; POLLUTION</t>
  </si>
  <si>
    <t>The fugitive dust generated by agricultural harvesting machinery not only causes harm to production safety, but also affects the living environment of people in agricultural areas. This is also one of the hot issues that have emerged in the green development of rural areas in recent years, which is related to agricultural safety and hygiene culture. Due to the lack of relevant research, many researchers still have considerable controversy on the issue of agricultural dust. Therefore, in combination with the actual production of agricultural mechanization, according to the cause of dust generation and particle characteristics, the selection of appropriate dust reduction technology and detection methods is of great significance for the research on the control of dust from agricultural harvesting machinery. Aiming at the dust problem in agricultural mechanization production, this research first introduces the relationship between fugitive dust and atmospheric particulate matter and the main components of fugitive dust, and then focuses on the causes of dust generated by wheat harvesters and peanut harvesters in field operations, and explains the main hazards of dust to human health, ecological environment, and climate. This study introduces four fugitive dust emission reduction technologies and five particle measurement methods, and compares and analyzes their feasibility in the application of agricultural harvesting machinery dust control. Finally, we put forward conclusions and suggestions on the dust control technology of agricultural harvesting machinery in order to provide reference for the control of agricultural harvesting machinery dust, improve the field operation environment, and promote the green development of modern agriculture.</t>
  </si>
  <si>
    <t>[Liu, Yuan; Shao, Long; Wang, Wanzhang; Chen, Jinfan; Zhang, Heng; Yang, Yue; Hu, Baichen] Henan Agr Univ, Coll Mech &amp; Elect Engn, Zhengzhou 450002, Peoples R China</t>
  </si>
  <si>
    <t>Henan Agricultural University</t>
  </si>
  <si>
    <t>Wang, WZ (corresponding author), Henan Agr Univ, Coll Mech &amp; Elect Engn, Zhengzhou 450002, Peoples R China.</t>
  </si>
  <si>
    <t>liuyuancmee@stu.henau.edu.cn; shaolong@henau.edu.cn; wangwz@henau.edu.cn; chenjinfancmee@stu.henau.edu.cn; zhanghcmee@stu.henau.edu.cn; yyangyue@stu.henau.edu.cn; hubaichencmee@stu.henau.edu.cn</t>
  </si>
  <si>
    <t>Liu, Yuan/HHC-5958-2022</t>
  </si>
  <si>
    <t>Liu, Yuan/0000-0002-5318-5964</t>
  </si>
  <si>
    <t>China Agriculture Research System [CARS-03]; Major Public Research Projects in Henan Province [201300110400]</t>
  </si>
  <si>
    <t>China Agriculture Research System; Major Public Research Projects in Henan Province</t>
  </si>
  <si>
    <t>This research was funded by China Agriculture Research System (CARS-03) and Major Public Research Projects in Henan Province (201300110400).</t>
  </si>
  <si>
    <t>10.3390/agriculture12071038</t>
  </si>
  <si>
    <t>3H6ZK</t>
  </si>
  <si>
    <t>WOS:000832181900001</t>
  </si>
  <si>
    <t>Dang, Q; Wright, MM; Brown, RC</t>
  </si>
  <si>
    <t>Dang, Qi; Wright, Mark Mba; Brown, Robert C.</t>
  </si>
  <si>
    <t>Ultra-Low Carbon Emissions from Coal-Fired Power Plants through Bio-Oil Co-Firing and Biochar Sequestration</t>
  </si>
  <si>
    <t>LIFE-CYCLE ASSESSMENT; FAST PYROLYSIS; ENERGY</t>
  </si>
  <si>
    <t>This study investigates a novel strategy of reducing carbon emissions from coal-fired power plants through co-firing bio-oil and sequestering biochar in agricultural lands. The heavy end fraction of bio-oil recovered from corn stover fast pyrolysis is blended and co-fired with bituminous coal to form a bio-oil co-firing fuel (BCF). Life-cycle greenhouse gas (GHG) emissions per kWh electricity produced vary from 1.02 to 0.26 kg CO2-eq among different cases, with BCF heavy end fractions ranging from 10% to 60%, which corresponds to a GHG emissions reduction of 2.9% to 74.9% compared with that from traditional bituminous coal power plants. We found a heavy end fraction between 34.8% and 37.3% is required to meet the Clean Power Plan's emission regulation for new coal-fired power plants. The minimum electricity selling prices are predicted to increase from 8.8 to 14.9 cents/kWh, with heavy end fractions ranging from 30% to 60%. A minimum carbon price of $67.4 +/- 13 per metric ton of CO2-eq was estimated to make BCF power commercially viable for the base case. These results suggest that BCF co-firing is an attractive pathway for clean power generation in existing power plants with a potential for significant reductions in carbon emissions.</t>
  </si>
  <si>
    <t>[Dang, Qi; Wright, Mark Mba; Brown, Robert C.] Iowa State Univ, Bioecon Inst, Ames, IA 50011 USA; [Dang, Qi; Wright, Mark Mba; Brown, Robert C.] Iowa State Univ, Dept Mech Engn, Ames, IA 50011 USA</t>
  </si>
  <si>
    <t>Iowa State University; Iowa State University</t>
  </si>
  <si>
    <t>Wright, MM (corresponding author), Iowa State Univ, Bioecon Inst, Ames, IA 50011 USA.</t>
  </si>
  <si>
    <t>markmw@iastate.edu</t>
  </si>
  <si>
    <t>; Dang, Qi/J-1251-2017; Wright, Mark/GSJ-0983-2022</t>
  </si>
  <si>
    <t>Mba Wright, Mark/0000-0003-1468-2391;</t>
  </si>
  <si>
    <t>National Science Foundation [420-17-12-60-0000]; Iowa Energy Center [14-001-OG]; Office Of The Director; EPSCoR [1101284] Funding Source: National Science Foundation</t>
  </si>
  <si>
    <t>National Science Foundation(National Science Foundation (NSF)); Iowa Energy Center; Office Of The Director; EPSCoR(National Science Foundation (NSF)NSF - Office of the Director (OD)NSF - Office of Integrative Activities (OIA))</t>
  </si>
  <si>
    <t>The authors acknowledge the support of EPSCoR funding from the National Science Foundation (grant no. 420-17-12-60-0000) to this project. We also thank Iowa Energy Center for providing the planning grant to develop carbon negative energy at Iowa State University (grant no. 14-001-OG).</t>
  </si>
  <si>
    <t>10.1021/acs.est.5b03548</t>
  </si>
  <si>
    <t>CZ1NK</t>
  </si>
  <si>
    <t>WOS:000366872300094</t>
  </si>
  <si>
    <t>He, QS; Liu, DL; Wang, B; Wang, ZK; Cowie, A; Simmons, A; Xu, ZC; Li, LC; Shi, Y; Liu, K; Harrison, MT; Waters, C; Huete, A; Yu, Q</t>
  </si>
  <si>
    <t>He, Qinsi; Liu, De Li; Wang, Bin; Wang, Zikui; Cowie, Annette; Simmons, Aaron; Xu, Zhenci; Li, Linchao; Shi, Yu; Liu, Ke; Harrison, Matthew Tom; Waters, Cathy; Huete, Alfredo; Yu, Qiang</t>
  </si>
  <si>
    <t>A food-energy-water-carbon nexus framework informs region-specific optimal strategies for agricultural sustainability</t>
  </si>
  <si>
    <t>China; Food -energy -water -carbon nexus; Greenhouse gas emissions; Resource consumption; Soil carbon; Profitability</t>
  </si>
  <si>
    <t>NITROUS-OXIDE EMISSIONS; SOIL ORGANIC-CARBON; COVER CROPS; MANAGEMENT; BENEFITS; OPPORTUNITIES; EFFICIENCY; FOOTPRINT; TILLAGE; STUBBLE</t>
  </si>
  <si>
    <t>Agricultural sustainability is threatened by pressures from water scarcity, energy crises, escalating greenhouse gas (GHG) emissions, and diminishing farm profitability. Practices that diversify crop rotations, retain crop residues, and incorporate cover crops have been widely studied for their impacts on soil organic carbon and crop production. However, their associated usage of natural resources and economic returns have been overlooked. Here, we employed a food-energy-water-carbon (FEWC) nexus framework to assess the sustainability of crop rotations plus various management strategies across three sub-regions of New South Wales (NSW) in Australia. We found that compared with residue burning and fallowing, residue retention and cover cropping contributed to GHG abatement, but the latter consumed more energy and water per hectare. The composite sustainability scores, calculated with the FEWC framework, suggested that legume-inclusive rotations were generally more sustainable. Furthermore, in northern NSW (with existing sorghum/wheat/chickpea/wheat rotation), residue retention with cover cropping was most suitable combination, while the use of residue retention with fallow yielded greater benefits in southern NSW (with existing wheat/field pea/wheat/canola rotation). Regional disparities in climate, soil, cropping systems, and on-farm costs prompted region-specific strategies to address the unbalanced distribution among FEWC domains. Our study provides assessments for identifying feasible management practices to advance agricultural sustainability.</t>
  </si>
  <si>
    <t>[He, Qinsi; Huete, Alfredo] Univ Technol Sydney, Fac Sci, Sch Life Sci, POB 123 Broadway, Sydney, NSW 2007, Australia; [He, Qinsi; Liu, De Li; Wang, Bin; Li, Linchao] Wagga Agr Inst, NSW Dept Primary Ind, Wagga, NSW 2650, Australia; [Liu, De Li] Univ New South Wales, Climate Change Res Ctr, Sydney, NSW 2052, Australia; [Liu, De Li; Wang, Bin] Charles Sturt Univ, Gulbali Res Inst, Wagga, NSW 2678, Australia; [Wang, Zikui] Lanzhou Univ, Coll Pastoral Agr Sci &amp; Technol, State Key Lab Herbage Improvement &amp; Grassland Agro, Lanzhou 730020, Peoples R China; [Cowie, Annette] Univ New England, NSW Dept Primary Ind, Trevenna Rd, Armidale, NSW 2351, Australia; [Simmons, Aaron] NSW Dept Primary Ind, 98 Victoria St, Taree, NSW 2430, Australia; [Xu, Zhenci] Univ Hong Kong, Dept Geog, Hong Kong 999077, Peoples R China; [Li, Linchao; Shi, Yu; Yu, Qiang] Northwest A&amp;F Univ, Inst Soil &amp; Water Conservat, State Key Lab Soil Eros &amp; Dryland Farming Loess Pl, Yangling 712100, Peoples R China; [Li, Linchao] Iowa State Univ, Dept Ecol Evolut &amp; Organismal Biol, Ames, IA 50010 USA; [Liu, Ke; Harrison, Matthew Tom] Univ Tasmania, Tasmanian Inst Agr, Newnham Dr, Launceston, Tas 7248, Australia; [Waters, Cathy] NSW Dept Primary Ind, 34 Hampden St, Dubbo, NSW 2830, Australia</t>
  </si>
  <si>
    <t>University of Technology Sydney; Department of Primary Industries &amp; Regional Development NSW; University of New South Wales Sydney; Charles Sturt University; Lanzhou University; University of New England; Department of Primary Industries &amp; Regional Development NSW; Department of Primary Industries &amp; Regional Development NSW; University of Hong Kong; Chinese Academy of Sciences; Institute of Soil &amp; Water Conservation (ISWC), CAS; Northwest A&amp;F University - China; Iowa State University; University of Tasmania; Department of Primary Industries &amp; Regional Development NSW</t>
  </si>
  <si>
    <t>Liu, DL; Wang, B (corresponding author), Wagga Agr Inst, NSW Dept Primary Ind, Wagga, NSW 2650, Australia.;Liu, DL (corresponding author), Univ New South Wales, Climate Change Res Ctr, Sydney, NSW 2052, Australia.;Liu, DL; Wang, B (corresponding author), Charles Sturt Univ, Gulbali Res Inst, Wagga, NSW 2678, Australia.;Yu, Q (corresponding author), Northwest A&amp;F Univ, Inst Soil &amp; Water Conservat, State Key Lab Soil Eros &amp; Dryland Farming Loess Pl, Yangling 712100, Peoples R China.</t>
  </si>
  <si>
    <t>de.li.liu@dpi.nsw.gov.au; bin.a.wang@dpi.nsw.gov.au; yuq@nwafu.edu.cn</t>
  </si>
  <si>
    <t>Yu, Qiangyi/AFR-0194-2022; Harrison, Matthew/C-2434-2014; Wang, Bin/AFI-6568-2022; Huete, Alfredo/C-1294-2008; , De Li Liu/Y-4656-2019; Liu, Ke/ABC-5398-2021; Wang, Zikui/AAE-9752-2021; Cowie, Annette/E-1485-2016</t>
  </si>
  <si>
    <t>Huete, Alfredo/0000-0003-2809-2376; Wang, Bin/0000-0002-6422-5802; Liu, Ke/0000-0002-8343-0449; Shi, Yu/0000-0003-3153-1587; Liu, De Li/0000-0003-2574-1908;</t>
  </si>
  <si>
    <t>China Scholarship Council (CSC); NSW Climate Change Fund; Natural Science Foundation of China [41961124006]</t>
  </si>
  <si>
    <t>China Scholarship Council (CSC)(China Scholarship Council); NSW Climate Change Fund; Natural Science Foundation of China(National Natural Science Foundation of China (NSFC))</t>
  </si>
  <si>
    <t>The first author acknowledges the China Scholarship Council (CSC) for the financial support for her PhD study. This work was produced through the NSW Primary Industries Climate Change Research Strategy funded by the NSW Climate Change Fund, and funded by the Natural Science Foundation of China (41961124006).</t>
  </si>
  <si>
    <t>10.1016/j.resconrec.2024.107428</t>
  </si>
  <si>
    <t>HW1C2</t>
  </si>
  <si>
    <t>WOS:001162443300001</t>
  </si>
  <si>
    <t>Jaiarree, S; Chidthaisong, A; Tangtham, N; Polprasert, C; Sarobol, E; Tyler, SC</t>
  </si>
  <si>
    <t>Jaiarree, S.; Chidthaisong, A.; Tangtham, N.; Polprasert, C.; Sarobol, E.; Tyler, S. C.</t>
  </si>
  <si>
    <t>CARBON BUDGET AND SEQUESTRATION POTENTIAL IN A SANDY SOIL TREATED WITH COMPOST</t>
  </si>
  <si>
    <t>LAND DEGRADATION &amp; DEVELOPMENT</t>
  </si>
  <si>
    <t>Thailand; sandy soil; soil carbon sequestration; greenhouse gas emissions; compost; carbon isotope; net carbon budget</t>
  </si>
  <si>
    <t>ORGANIC-CARBON; POULTRY MANURE; TURNOVER; FIELD; FLUX; ROTATIONS; EMISSIONS; DYNAMICS; VALUES; RATES</t>
  </si>
  <si>
    <t>The effects of compost application on soil carbon sequestration potential and carbon budget of a tropical sandy soil was studied. Greenhouse gas emissions from soil surface and agricultural inputs (fertiliser and fossil fuel uses) were evaluated. The origin of soil organic carbon was identified by using stable carbon isotope. The CO2, CH4 and N2O emissions from soil were estimated in hill evergreen forest (NF) plot as reference, and in the corn cultivation plots with compost application rate at 30 Mg ha(-1) y(-1) (LC), and at 50 Mg ha(-1) y(-1) (HC). The total C emissions from soil surface were 8 center dot 54, 10 center dot 14 and 9 center dot 86 Mg C ha(-1) y(-1) for NF, HC and LC soils, respectively. Total N2O emissions from HC and LC plots (2 center dot 56 and 3 center dot 47 kg N2O ha(-1) y(-1)) were significantly higher than from the NF plot (1 center dot 47 kg N2O ha(-1) y(-1)). Total CO2 emissions from fuel uses of fertiliser, irrigation and machinery were about 10 per cent of total CO2 emissions. For soil carbon storage, since 1983, it has been increased significantly (12 Mg ha(-1)) under the application of 50 Mg ha(-1) y(-1) of compost but not with 30 Mg ha(-1) y(-1). The net C budget when balancing out carbon inputs and outputs from soil for NF, HC and LC soils were +3 center dot 24, -2 center dot 50 and +2 center dot 07 Mg C ha(-1) y(-1), respectively. Stable isotope of carbon (delta C-13 value) indicates that most of the increased soil carbon is derived from the compost inputs and/or corn biomass. Copyright (c) 2011 John Wiley &amp; Sons, Ltd.</t>
  </si>
  <si>
    <t>[Jaiarree, S.; Chidthaisong, A.] King Mongkuts Univ Technol Thonburi KMUTT, Joint Grad Sch Energy &amp; Environm, Bangkok 10140, Thailand; [Tangtham, N.] Kasetsart Univ, Fac Forestry, Bangkok 10900, Thailand; [Polprasert, C.] Thammasat Univ, Sirindhorn Int Inst Technol, Pathum Thani 12121, Thailand; [Sarobol, E.] Kasetsart Univ, Fac Agr, Bangkok 10900, Thailand; [Tyler, S. C.] Univ Calif Irvine, Earth Syst Sci Dept, Irvine, CA 92690 USA; [Tyler, S. C.] Dept Chem, Norco, CA USA</t>
  </si>
  <si>
    <t>King Mongkuts University of Technology Thonburi; Kasetsart University; Thammasat University; Kasetsart University; University of California System; University of California Irvine</t>
  </si>
  <si>
    <t>Chidthaisong, A (corresponding author), King Mongkuts Univ Technol Thonburi KMUTT, Joint Grad Sch Energy &amp; Environm, 126 Pracha Uthit Rd, Bangkok 10140, Thailand.</t>
  </si>
  <si>
    <t>amnat_c@jgsee.kmutt.ac.th</t>
  </si>
  <si>
    <t>National Research University Project of Thailand's Office of the Higher Education Commission (CHE); Khao Hin Sorn Experiment Centre, Panom Sarakam District, Chachoengsao Province, eastern Thailand</t>
  </si>
  <si>
    <t>The authors would like to express their sincere appreciation to Khao Hin Sorn Experiment Centre, Panom Sarakam District, Chachoengsao Province, eastern Thailand for field site use permission and supports. This project is supported by the National Research University Project of Thailand's Office of the Higher Education Commission (CHE).</t>
  </si>
  <si>
    <t>1085-3278</t>
  </si>
  <si>
    <t>1099-145X</t>
  </si>
  <si>
    <t>LAND DEGRAD DEV</t>
  </si>
  <si>
    <t>Land Degrad. Dev.</t>
  </si>
  <si>
    <t>10.1002/ldr.1152</t>
  </si>
  <si>
    <t>AE3ZM</t>
  </si>
  <si>
    <t>WOS:000333917000002</t>
  </si>
  <si>
    <t>Nicoloso, RS; Rice, CW</t>
  </si>
  <si>
    <t>Nicoloso, Rodrigo S.; Rice, Charles W.</t>
  </si>
  <si>
    <t>Intensification of no-till agricultural systems: An opportunity for carbon sequestration</t>
  </si>
  <si>
    <t>SOIL ORGANIC-CARBON; CROP-ROTATION; CONSERVATION AGRICULTURE; MANAGEMENT IMPACTS; DYNAMICS; NITROGEN; MATTER; YIELD; FERTILIZATION; SATURATION</t>
  </si>
  <si>
    <t>The 4 per 1,000 initiative was launched at the 21st Conference of the Parties (COP21) stimulating a long-standing debate on the potential of no-till (NT) to promote soil C sequestration. Previous reviews found little or no soil organic C (SOC) accrual in NT soils as compared with full inversion tillage when soils are sampled deeper than 30 cm. Here, we present the results of a global meta-analysis of studies assessing SOC and total N (TN) storage and dynamics in NT and tilled soils from the most important agricultural regions of the world. Overall, our results show that NT soils stored 6.7 +/- 1.9 Mg C ha(-1) and 1.1 +/- 0.4 Mg N ha(-1) more than tilled soils (0-to-100-cm depth) with an average of 16 yr of NT, in contrast with previous findings. However, C sequestration (+4.7 +/- 1.9 Mg C ha(-1) in the 0-to-60-cm depth with an average of 11 yr of NT) depended on the association of NT with increased crop frequency and the inclusion of legumes cover crops. Single-cropping systems lack the necessary C inputs to offset SOC losses in the soil profile (below 30-cm depth). However, double-cropping systems decreased soil TN that may constrain future C sequestration. The use of legumes alleviated TN loss and supported soil C sequestration. Briefly, our findings indicate that NT can avoid SOC losses from tilled soils, partially offsetting CO2 emissions from agriculture. Moreover, NT with agricultural intensification can promote soil C sequestration, thus contributing to soil quality, food security, and adaptation to climate change.</t>
  </si>
  <si>
    <t>[Nicoloso, Rodrigo S.] Embrapa Swine &amp; Poultry, C Postal 321,BR 153 Km 110, BR-89715899 Concordia, SC, Brazil; [Rice, Charles W.] Kansas State Univ, Dept Agron, 2701 Throckmorton Ctr, Manhattan, KS 66506 USA</t>
  </si>
  <si>
    <t>Empresa Brasileira de Pesquisa Agropecuaria (EMBRAPA); Kansas State University</t>
  </si>
  <si>
    <t>Nicoloso, RS (corresponding author), Embrapa Swine &amp; Poultry, C Postal 321,BR 153 Km 110, BR-89715899 Concordia, SC, Brazil.</t>
  </si>
  <si>
    <t>rodrigo.nicoloso@embrapa.br</t>
  </si>
  <si>
    <t>; Nicoloso, Rodrigo/B-5342-2008; Nicoloso, Roigo/B-5342-2008</t>
  </si>
  <si>
    <t>Rice, Charles/0000-0002-1782-0908; Nicoloso, Roigo/0000-0002-6087-3538</t>
  </si>
  <si>
    <t>Bayer Corporation; National Science Foundation [EPS-0903806]; State of Kansas through Kansas Technology Enterprise Corporation</t>
  </si>
  <si>
    <t>Bayer Corporation(Bayer AG); National Science Foundation(National Science Foundation (NSF)); State of Kansas through Kansas Technology Enterprise Corporation</t>
  </si>
  <si>
    <t>Bayer Corporation; National Science Foundation, Grant/AwardNumber: EPS-0903806; State of Kansas through Kansas Technology Enterprise Corporation</t>
  </si>
  <si>
    <t>10.1002/saj2.20260</t>
  </si>
  <si>
    <t>UX0RW</t>
  </si>
  <si>
    <t>WOS:000681372800001</t>
  </si>
  <si>
    <t>Sorley, M; Casey, I; Styles, D; Merino, P; Trindade, H; Mulholland, M; Zafra, CR; Keatinge, R; Le Gallj, A; O'Brien, D; Humphreys, J</t>
  </si>
  <si>
    <t>Sorley, Marion; Casey, Imelda; Styles, David; Merino, Pilar; Trindade, Henrique; Mulholland, Martin; Zafra, Cesar Resch; Keatinge, Ray; Le Gallj, Andre; O'Brien, Donal; Humphreys, James</t>
  </si>
  <si>
    <t>Factors influencing the carbon footprint of milk production on dairy farms with different feeding strategies in western Europe</t>
  </si>
  <si>
    <t>Life cycle assessment; Carbon footprint; Milk; Feeding strategy; Intensification</t>
  </si>
  <si>
    <t>GREENHOUSE-GAS EMISSIONS; LIFE-CYCLE ASSESSMENT; ENVIRONMENTAL-IMPACT; PRODUCTION SYSTEMS; ANAEROBIC-DIGESTION; CATTLE PRODUCTION; GHG EMISSIONS; WHITE CLOVER; INTENSIFICATION; MITIGATION</t>
  </si>
  <si>
    <t>Greenhouse gas emissions from dairy production represent a major source of emissions especially in Western Europe where the sector has grown over the past decade. Different feeding strategies have evolved and there is a need to identify effective mitigation measures. Life cycle assessment (LCA) was used to examine carbon footprints (CFs) of milk production across 71 commercial dairy farms in Ireland, Northern Ireland, England, Spain (Galicia and Basque regions), Portugal and France based on monthly data collection over two years. Emissions up to the farm gate were calculated within a global boundary with both higher tier emission factors (HTEF) applicable in respective countries, and default emission factors (DEF). The global warming potential (GWP) used was the GWP(100) metric, however results were also calculated using GWP(20) for comparison. Functional units were: (i) one tonne fat and protein corrected milk (FPCM); (ii) 1 ha of on-farm agricultural area (FAA); (iii) 1 ha of global agricultural area (GAA). Farms were categorised based on the proportion of time that cows spent grazing. Mean CF per tonne FPCM (FPCM-CF) were 1,129, 1237 and 1519 kg CO(2)e for grazing (&gt;220d grazing; n = 16), mixed (up to 219d grazing; n = 17) and housed farms (0d grazing; n = 38), respectively. housed had the widest range, from 884 to 2494 kg CO(2)e/tonne FPCM, and included the farm with the overall lowest FPCM-CF. housed also had the highest mean CF per ha FAA: 44.1 tonne CO(2)e, followed by mixed (15.2 tonne) and grazing (11.6 tonne). CF (tonne CO(2)e) per ha GAA followed the same ranking: housed (15.1), mixed (9.8) and grazing (9.2). There was no difference in ranking of the feeding strategies using DEF in comparison with HTEF. A stepwise regression analysis identified feed efficiency and age at first calving as important factors in determining FPCM-CF for all farms. Furthermore, N surplus was important for grazing &amp; mixed farms. The proportion of uncovered slurry storage, milk yield per cow and the amount of bought in concentrate per cow were important for housed farms. Wide variation in CFs implies considerable potential for lowering emissions per tonne FPCM and per ha FAA and GAA, but it is imperative that mitigation measures are tailored to feeding strategy.</t>
  </si>
  <si>
    <t>[Sorley, Marion; Humphreys, James] Anim &amp; Grassland Res &amp; Innovat Ctr, Teagasc Moorepark, Fermoy, Cork, Ireland; [Sorley, Marion; Casey, Imelda] South East Technol Univ, Dept Land Sci, Waterford, Ireland; [Styles, David] Univ Galway, Ryan Inst, Sch Biol &amp; Chem Sci, Galway, Ireland; [Styles, David] Univ Limerick, Bernal Inst, Sch Engn, Limerick, Ireland; [Merino, Pilar] Basque Res &amp; Technol Alliance BRTA, NEIKER Basque Inst Agr Res &amp; Dev, Dept Conservat Nat Resources, Parque Cientif &amp; Tecnol Bizkaia,P812, Derio 48160, Spain; [Trindade, Henrique] Univ Tras Os Montes &amp; Alto Douro, Dept Plant Sci &amp; Agr Engn CITAB, Dept Agron, Quinta Prados, P-5001801 Vila Real, Portugal; [Mulholland, Martin] Coll Agr Food &amp; Rural Enterprise CAFRE, Greenmount, Antrim, North Ireland; [Zafra, Cesar Resch] CIAM, La Coruna 15080, Spain; [Keatinge, Ray] Agr &amp; Hort Dev Board AHDB, Kenilworth, Warwick, England; [Le Gallj, Andre] Inst Elevage Monvoisin, BP 85225, F-35652 Le Rheu, France; [O'Brien, Donal] Teagasc Johnstown Castle, Crops Environm &amp; Land Use Res Ctr, Wexford, Ireland; [Sorley, Marion] Teagasc, Anim &amp; Grassland Res &amp; Innovat Ctr, Moorepark, Fermoy P61C996, Cork, Ireland</t>
  </si>
  <si>
    <t>Teagasc; Ollscoil na Gaillimhe-University of Galway; University of Limerick; University of Tras-os-Montes &amp; Alto Douro; Teagasc; Teagasc</t>
  </si>
  <si>
    <t>Sorley, M (corresponding author), Anim &amp; Grassland Res &amp; Innovat Ctr, Teagasc Moorepark, Fermoy, Cork, Ireland.;Sorley, M (corresponding author), Teagasc, Anim &amp; Grassland Res &amp; Innovat Ctr, Moorepark, Fermoy P61C996, Cork, Ireland.</t>
  </si>
  <si>
    <t>marion.sorley@postgrad.wit.ie</t>
  </si>
  <si>
    <t>; Casey, Imelda/AAC-2032-2021; Humphreys, James/NXB-9505-2025; Trindade, Henrique/A-5693-2013</t>
  </si>
  <si>
    <t>Sorley, Marion/0009-0007-3242-5002; OBrien, Donal/0000-0002-2729-872X; casey, imelda/0000-0002-6084-4972</t>
  </si>
  <si>
    <t>Interreg Atlantic Area Program via the Dairy-4-Future [EAPA_304/2016]</t>
  </si>
  <si>
    <t>Interreg Atlantic Area Program via the Dairy-4-Future</t>
  </si>
  <si>
    <t>The authors thank the participating farmers who so generously provided their farm resource use data and the advisors and technicians who collected the data. Funding for this work provided by Interreg Atlantic Area Program via the Dairy-4-Future project (EAPA_304/2016) is gratefully acknowledged.</t>
  </si>
  <si>
    <t>JAN 5</t>
  </si>
  <si>
    <t>10.1016/j.jclepro.2023.140104</t>
  </si>
  <si>
    <t>GV4Y2</t>
  </si>
  <si>
    <t>WOS:001155446900001</t>
  </si>
  <si>
    <t>Singh, S</t>
  </si>
  <si>
    <t>Singh, Surendra</t>
  </si>
  <si>
    <t>Strategy, Current Activities and Future Prospect for Advancing Indian Agricultural Machinery into the African Market</t>
  </si>
  <si>
    <t>Africa is the world's second largest continent. It has the wide diversity across its different countries. A few are fairly well developed, but the majority is still developing. Within the continent, there is a noticeable difference in the degree of agricultural development between Africa and North Africa. India-Africa partnership for overall growth of the agriculture sector is moving towards one common goal-food security, and both economies have been flexible in their approach towards achieving the same. Therefore, there exists significant potential for both India and Africa to explore and leverage from various agricultural technologies that have been successful in increasing the productivity of small-scale farming. With Africa's economic growth gaining momentum, now is the time to evolve and collaborate for the agriculture sector to develop as a whole. The major innovations that can help increasing productivity include mechanical innovations such as the development of new seed varieties; fertilizer/pesticides; agronomic innovations, for examples, novel agricultural management practices such as no-till/zero-till agriculture and inter-cropping. To help crop yield and achieve the larger goal of food security, interventions from all value chain stakeholders are required. For instance farm input manufacturer needs to develop appropriate tools and technologies to better respond to diverse soil and changing climate types, whereas investments in processing infrastructure are required to reduce post-harvest losses. The African governments should have Policies and Regulations for better mechanization options that is to create conducive environment for successful agricultural mechanization, remove restrictions to choice, leasing or credit programmes for imported machinery as well as locally produced machines, support information for better decision making by farmers, legislation for safe, durable and reliable machinery and equipment. Increasing land and labour productivity should be adhering too as agricultural productivity is positively correlated with farm power. Conservation agriculture (no-till/reduced-till, permanent organic soil cover, crop rotations), multi-cropping, precision agriculture, controlled traffic farming and permanent raised beds with residue retention are some of the priority area for sustainable agriculture. The Policy priorities should be to enhance mechanization demand, stabilizing mechanization supply, strengthening institutions needed for mechanization development, Private-Public Partnerships for mechanization development, integrate mechanization and good agronomic practices for environmental sustainability and special focus on increasing agricultural mechanization among smallholders.</t>
  </si>
  <si>
    <t>[Singh, Surendra] Agr Machinery Manufacturers Assoc AMMA India, Pune, Maharashtra, India; [Singh, Surendra] AICRP Farm Implements &amp; Machinery ICAR, Bhopal, India</t>
  </si>
  <si>
    <t>Singh, S (corresponding author), Agr Machinery Manufacturers Assoc AMMA India, Pune, Maharashtra, India.;Singh, S (corresponding author), AICRP Farm Implements &amp; Machinery ICAR, Bhopal, India.</t>
  </si>
  <si>
    <t>ammaindia10@gmail.com</t>
  </si>
  <si>
    <t>WOS:000433525500003</t>
  </si>
  <si>
    <t>Hu, AH; Chen, CH; Huang, LH; Chung, MH; Lan, YC; Chen, ZH</t>
  </si>
  <si>
    <t>Hu, Allen H.; Chen, Chia-Hsiang; Huang, Lance Hongwei; Chung, Ming-Hsiu; Lan, Yi-Chen; Chen, Zhonghua</t>
  </si>
  <si>
    <t>Environmental Impact and Carbon Footprint Assessment of Taiwanese Agricultural Products: A Case Study on Taiwanese Dongshan Tea</t>
  </si>
  <si>
    <t>tea; climate change; sustainable agriculture; environmental impact; carbon footprint</t>
  </si>
  <si>
    <t>LIFE-CYCLE ASSESSMENT; GREENHOUSE-GAS EMISSIONS; FOOD SECURITY; ASSESSMENT LCA; SUPPLY CHAINS; LAND-USE; SUSTAINABILITY; FERTILIZER; WASTE; CONSUMPTION</t>
  </si>
  <si>
    <t>Climate change is an important global environmental threat. Agriculture aggravates climate change by increasing greenhouse gas (GHG) emissions, and in response, climate change reduces agricultural productivity. Consequently, the modern agricultural development mode has progressively transformed into a kind of sustainable development mode. This study aimed to determine the environmental impact and carbon footprint of Dongshan tea from Yilan County. Environmental impact was assessed with use of SimaPro version 8.0.2 and IMPACT2002+. Results showed that climate change has the largest impact upon it in general, followed by human health, natural resources, and ecosystem quality. Furthermore, with use of the IPCC 2007 100a method for carbon footprint of products (CFP), conventional tea was found to have a CFP of 7.035 kgCO(2)-e, and its main contributors are the raw material (35.15%) and consumer use (45.58%) phases. From this case study, we found that the hotspots of the life cycle of environmental impact of Taiwanese tea mainly come from fertilizer input during the raw material phase, electricity use during manufacturing, and electricity use during water boiling in the consumer use phase (which contributes the largest impact). We propose the ways for consumers to use of highly efficient boiling water facilities and heating preservation, and the government must market the use of organic fertilizers in the national policy subsidies, and farmers have to prudent use of fertilizers and promote the use of local raw fertilizers, and engagement in direct sales for reducing the environmental impacts and costs of agricultural products and thus advancing sustainable agriculture development.</t>
  </si>
  <si>
    <t>[Hu, Allen H.; Chen, Chia-Hsiang; Huang, Lance Hongwei; Chung, Ming-Hsiu] Natl Taipei Univ Technol, Inst Environm Engn &amp; Management, Taipei 106, Taiwan; [Lan, Yi-Chen] Univ Western Sydney, Sch Business, Penrith, NSW 2750, Australia; [Chen, Zhonghua] Univ Western Sydney, Nat Sci, Penrith, NSW 2750, Australia</t>
  </si>
  <si>
    <t>National Taipei University of Technology; Western Sydney University; Western Sydney University</t>
  </si>
  <si>
    <t>Hu, AH (corresponding author), Natl Taipei Univ Technol, Inst Environm Engn &amp; Management, Taipei 106, Taiwan.</t>
  </si>
  <si>
    <t>allenhu@mail.ntut.edu.tw; jager@pchome.com.tw; t103609001@ntut.org.tw; stevechung@itri.org.tw; Y.Lan@westernsydney.edu.au; Z.Chen@westernsydney.edu.au</t>
  </si>
  <si>
    <t>Lan, Yi-Chen/ACE-6399-2022; Chen, Chia-Chun/F-7939-2012; Chen, Zhong-Hua/B-8927-2008</t>
  </si>
  <si>
    <t>Lan, Yi-Chen/0000-0002-5236-3386; Chen, Zhong-Hua/0000-0002-7531-320X;</t>
  </si>
  <si>
    <t>Youngsun Cultue &amp; Education Foundation under the project of Carbon Footprint Inventory of Agricultural products in Yilan County</t>
  </si>
  <si>
    <t>This research was funded by Youngsun Cultue &amp; Education Foundation under the project of Carbon Footprint Inventory of Agricultural products in Yilan County.</t>
  </si>
  <si>
    <t>10.3390/en12010138</t>
  </si>
  <si>
    <t>HO1KU</t>
  </si>
  <si>
    <t>WOS:000460665000138</t>
  </si>
  <si>
    <t>Cheng, HM; Sun, SY; Jiang, W; Yu, QL; Ma, W; Feng, SY; Wang, FS; Xu, ZP</t>
  </si>
  <si>
    <t>Cheng, Haomiao; Sun, Siyu; Jiang, Wei; Yu, Qilin; Ma, Wei; Feng, Shaoyuan; Wang, Fusheng; Xu, Zuping</t>
  </si>
  <si>
    <t>Identifying Agronomic Strategy for a Low-Carbon Economy Under the Effects of Climate Change by Using a Simulation-Optimization Hybrid Model</t>
  </si>
  <si>
    <t>carbon emissions trading; greenhouse gas emissions; orthogonal optimization algorithm; RZWQM2; best management practices</t>
  </si>
  <si>
    <t>SOIL ORGANIC-CARBON; NITROGEN LOSSES; CHANGE IMPACTS; CROP YIELD; EMISSIONS</t>
  </si>
  <si>
    <t>Agronomic practices and future climate change lead to divergent responses in crop growth and greenhouse gas (GHG) emissions, which challenge a sustainable low-carbon agricultural economy. Therefore, this study developed a simulation-optimization hybrid model to identify long-term best management practices (BMPs) for economic and social benefits under the effects of future climate change. This model, i.e., RZWQM2 coupled with an orthogonal optimization algorithm (RZWQM2-OOA), integrates four core components, including an orthogonal sampling module, climate prediction module, RZWQM2 simulation module, and optimization analysis module. The model enabled a high-fidelity simulation of crop growth and carbon emissions across complex management practice-climate combinations, while efficiently identifying BMPs and circumventing dimensionality challenges through orthogonality and balanced dispersion mechanisms. To validate the applicability of the developed model, it was applied to a real-world, irrigated, continuous corn (Zea mays L.) production system in the USA. Results indicated that the maximum increases in direct and indirect economic benefits (F1 and F2) and potential social benefits (F3) were 35.7%, 42.6%, and 155.5%, respectively, compared to the actual practice. Fertilization amount was the key regulating factor for direct economic and potential social benefits, which exhibited the largest contribution rates (44.3% for direct economic benefit and 53.9% for potential social benefit). Irrigation exerted the most significant influence on indirect economic benefits (Contribution rate = 53.9%). This study provides a replicable and scalable methodology for policy-makers to balance the trade-offs between the economy and carbon emissions in agricultural sustainability.</t>
  </si>
  <si>
    <t>[Cheng, Haomiao; Sun, Siyu; Feng, Shaoyuan; Xu, Zuping] Yangzhou Univ, Sch Hydraul Sci &amp; Engn, Yangzhou 225127, Peoples R China; [Jiang, Wei] Jiangsu Rural Water Conservancy Sci &amp; Technol Dev, Nanjing 210029, Peoples R China; [Yu, Qilin] Ningbo Dianxi Environm Protect Technol Co, Ningbo 315100, Peoples R China; [Ma, Wei] MEE, Huaihe River Basin Ecoenvironm Monitoring &amp; Sci, Bengbu 233000, Peoples R China; [Wang, Fusheng] Huaian Water Conservancy Survey &amp; Design Inst Co L, Huaian 223001, Peoples R China; [Xu, Zuping] Taizhou Univ, Sch Mech &amp; Elect Engn, Taizhou 225300, Peoples R China</t>
  </si>
  <si>
    <t>Yangzhou University; Taizhou University - Jiangsu</t>
  </si>
  <si>
    <t>Xu, ZP (corresponding author), Yangzhou Univ, Sch Hydraul Sci &amp; Engn, Yangzhou 225127, Peoples R China.;Ma, W (corresponding author), MEE, Huaihe River Basin Ecoenvironm Monitoring &amp; Sci, Bengbu 233000, Peoples R China.;Xu, ZP (corresponding author), Taizhou Univ, Sch Mech &amp; Elect Engn, Taizhou 225300, Peoples R China.</t>
  </si>
  <si>
    <t>yzchhm@yzu.edu.cn; mx120240661@stu.yzu.edu.cn; jssl_jiangwei@163.com; mz120211219@stu.yzu.edu.cn; mawei2030@huaihejg.mee.gov.cn; syfeng@yzu.edu.cn; zzc000622@gmail.com; 2025110004@tzu.edu.cn</t>
  </si>
  <si>
    <t>Jiang, Wei/JPK-9797-2023</t>
  </si>
  <si>
    <t>National Natural Science Foundation of China; Jiangsu Provincial Water Conservancy Technology Project [2025030]; Yangzhou city-school cooperation project [YZ2023216]; Qing Lan Project of Jiangsu Province; Qing Lan Project of Yangzhou University, China; High-end Talent Support Program of Yangzhou University; [52479076]; [42177365]</t>
  </si>
  <si>
    <t>National Natural Science Foundation of China(National Natural Science Foundation of China (NSFC)); Jiangsu Provincial Water Conservancy Technology Project; Yangzhou city-school cooperation project; Qing Lan Project of Jiangsu Province; Qing Lan Project of Yangzhou University, China; High-end Talent Support Program of Yangzhou University; ;</t>
  </si>
  <si>
    <t>This work was supported by the National Natural Science Foundation of China (Grant Nos. 52479076 and 42177365), Jiangsu Provincial Water Conservancy Technology Project (Grant No. 2025030), and the Yangzhou city-school cooperation project (Grant No. YZ2023216). This study was also sponsored by the Qing Lan Project of Jiangsu Province, the Qing Lan Project of Yangzhou University, China, and the High-end Talent Support Program of Yangzhou University.</t>
  </si>
  <si>
    <t>AUG 18</t>
  </si>
  <si>
    <t>10.3390/agronomy15081980</t>
  </si>
  <si>
    <t>6MY9O</t>
  </si>
  <si>
    <t>WOS:001557207700001</t>
  </si>
  <si>
    <t>Béghin-Tanneau, R; Guérin, F; Guiresse, M; Kleiber, D; Scheiner, JD</t>
  </si>
  <si>
    <t>Beghin-Tanneau, R.; Guerin, F.; Guiresse, M.; Kleiber, D.; Scheiner, J. D.</t>
  </si>
  <si>
    <t>Carbon sequestration in soil amended with anaerobic digested matter</t>
  </si>
  <si>
    <t>EXOGENOUS ORGANIC-MATTER; ENERGY CROPS; CO2 EFFLUX; CATTLE; GROWTH; MANURE; MINERALIZATION; FRACTIONATION; DECOMPOSITION; AVAILABILITY</t>
  </si>
  <si>
    <t>Organic carbon (C) sequestration in agricultural soils is regarded as a mean to mitigate carbon dioxide (CO2) concentration increase in the atmosphere and to secure food production. Among other practices, exogenous organic matter (EOM) addition in soils is a way to sequestrate organic C. In this study, we compared the organic matter stability, carbon sequestration, soil respiration in soils amended with sucrose, silage EOM and anaerobic digested EOM. We used agricultural soils from a perennial pasture (C3 plants) and EOM from sugar cane and maize (C4 plants). The C-13 natural abundance tracer technique has been used to separate SOM-derived and EOM-derived CO2 productions from soil in order to measure EOM stability and priming effects. Undigested-EOM addition did not lead to C sequestration due to a low stability of its organic matter and a positive priming effect that enhanced native SOM respiration. Digested-EOM addition in soil led to C sequestration due to inherent stability of EOM and to a negative priming effect which decreased native SOM respiration. We finally evaluated carbon balance of both direct incorporation of silage in soil and anaerobic digestion followed to incorporation of digestate. Our broad estimation shows that the use of digestate amendment not only favour carbon sequestration but also reduce CO2 emissions by 27% as compared to the incorporation of maize silage.</t>
  </si>
  <si>
    <t>[Beghin-Tanneau, R.; Kleiber, D.; Scheiner, J. D.] Univ Toulouse, Unite Rech Pathol &amp; Genet Vegetales PPGV, INP, PURPAN, Toulouse, France; [Guerin, F.] Univ Paul Sabatier, Geosci Environm Toulouse, UMR 5563, Ave Edouard Belin 14, F-31400 Toulouse, France; [Guerin, F.] Univ Paul Sabatier, UR 234, IRD, Ave Edouard Belin 14, F-31400 Toulouse, France; [Guiresse, M.; Scheiner, J. D.] Univ Toulouse, CNRS, INPT, EcoLab,UPS, Toulouse, France</t>
  </si>
  <si>
    <t>Universite Federale Toulouse Midi-Pyrenees (ComUE); Universite de Toulouse; Institut National Polytechnique de Toulouse; Centre National de la Recherche Scientifique (CNRS); CNRS - Institute of Physics (INP); Centre National de la Recherche Scientifique (CNRS); CNRS - National Institute for Earth Sciences &amp; Astronomy (INSU); Universite de Toulouse; Universite Toulouse III - Paul Sabatier; Institut de Recherche pour le Developpement (IRD); Institut de Recherche pour le Developpement (IRD); Universite de Toulouse; Universite Toulouse III - Paul Sabatier; Universite de Toulouse; Universite Federale Toulouse Midi-Pyrenees (ComUE); Universite Toulouse III - Paul Sabatier; Institut National Polytechnique de Toulouse; Centre National de la Recherche Scientifique (CNRS)</t>
  </si>
  <si>
    <t>Béghin-Tanneau, R (corresponding author), Univ Toulouse, Unite Rech Pathol &amp; Genet Vegetales PPGV, INP, PURPAN, Toulouse, France.</t>
  </si>
  <si>
    <t>robin.beghin@purpan.fr</t>
  </si>
  <si>
    <t>Guerin, Frederic/C-6044-2008; Guérin, Frédéric/C-6044-2008</t>
  </si>
  <si>
    <t>Guerin, Frederic/0000-0002-9222-6351; Scheiner, Javier D/0000-0002-8425-9655; BÉGHIN-TANNEAU, Robin/0000-0001-9509-3868</t>
  </si>
  <si>
    <t>European Regional Development Fund [EASYNOV - ECOINNOV - ENERGY, 2015]; Purpan foundation; CNRS-INSU [Appel d'offre mi-lourds 2017]</t>
  </si>
  <si>
    <t>We thank S Bouillon at the Department of Earth &amp; Environmental Sciences (KU Leuven) and I Moussa at Ecolab (Toulouse, France) for elemental and delta13C analysis on solids and APESA laboratory for BMP measurements. We thank PlanET Biogastechnik GmbH for providing maize silage and digested maize silage used in this experiment. We thank Djamel ALI-HAIMOUD for the proofreading. This work was supported by the European Regional Development Fund [EASYNOV - ECOINNOV - ENERGY, 2015] and Purpan foundation [Thesis Grant, 2017]. This work benefited from the funding of the Picarro G2201-i by CNRS-INSU [Appel d'offre mi-lourds 2017].</t>
  </si>
  <si>
    <t>10.1016/j.still.2019.04.024</t>
  </si>
  <si>
    <t>IF3MH</t>
  </si>
  <si>
    <t>WOS:000472984400009</t>
  </si>
  <si>
    <t>Ni, SY; Liu, HB; Li, QY; Quan, HZ; Gheibi, M; Fathollahi-Fard, AM; Tian, GD</t>
  </si>
  <si>
    <t>Ni, Songyuan; Liu, Haibao; Li, Qiuyi; Quan, Hongzhu; Gheibi, Mohammad; Fathollahi-Fard, Amir M.; Tian, Guangdong</t>
  </si>
  <si>
    <t>Assessment of the engineering properties, carbon dioxide emission and economic of biomass recycled aggregate concrete: A novel approach for building green concretes</t>
  </si>
  <si>
    <t>Coconut shell; Synthesized biomass recycled aggregate; Sustainability; Carbon-dioxide emission; Economic evaluation</t>
  </si>
  <si>
    <t>COCONUT SHELL; LIGHTWEIGHT AGGREGATE; MECHANICAL-PROPERTIES; COARSE AGGREGATE; PERFORMANCE; WASTE; STRENGTH; BEHAVIOR</t>
  </si>
  <si>
    <t>This paper presents an experimental study on the effects of using agricultural waste coconut shells for producing synthesized biomass recycled aggregate (SBRA) and replacing natural aggregate (NA) with its equivalent amount on the durability, thermal conductivity, carbon dioxide emissions, and economics of concrete. Test results show that the 3-day and 28-day compressive strength of concrete with the addition of SBRA - Class III reached 93% and 88% of natural aggregate concrete (NAC), respectively. In addition, using SBRA can effectively reduce the thermal conductivity of concrete, which shows great potential for building energy conservation. Compared with NA, the use of SBRA can reduce CO2 emissions and the cost of concrete by 2% and 5.9-7%, respectively. And the compressive strength - CO2 emission efficiency and compressive strength - cost efficiency are comparable to NA.</t>
  </si>
  <si>
    <t>[Ni, Songyuan; Li, Qiuyi; Quan, Hongzhu] Qingdao Agr Univ, Sch Architectural Engn, Qingdao 266109, Peoples R China; [Liu, Haibao] Qingdao Univ Technol, Sch Civil Engn, Qingdao 266033, Peoples R China; [Gheibi, Mohammad] Ferdowsi Univ Mashhad, Dept Civil Engn, Mashhad 1193653471, Iran; [Fathollahi-Fard, Amir M.] Univ Quebec, Ecole Technol Super, Dept Elect Engn, Montreal, PQ, Canada; [Tian, Guangdong] Fuzhou Univ, Sch Econ &amp; Management, Fuzhou 350108, Peoples R China</t>
  </si>
  <si>
    <t>Qingdao Agricultural University; Qingdao University of Technology; Ferdowsi University Mashhad; University of Quebec; University of Quebec Montreal; Ecole de Technologie Superieure - Canada; Fuzhou University</t>
  </si>
  <si>
    <t>Liu, HB (corresponding author), Qingdao Univ Technol, Sch Civil Engn, Qingdao 266033, Peoples R China.</t>
  </si>
  <si>
    <t>lhbhxw@163.com</t>
  </si>
  <si>
    <t>海宝, 刘/GQQ-9337-2022; Fathollahi-Fard, Amir M./AAS-7520-2020; Gheibi, Mohammad/R-1679-2019</t>
  </si>
  <si>
    <t>Liu, Haibao/0000-0003-1145-3470; Fathollahi-Fard, Amir Mohammad/0000-0002-5939-9795</t>
  </si>
  <si>
    <t>National Natural Science Foundation of China [52078261]; Talent Research Funds of Qingdao Agricultural University [:20190167]; Swedish Heart-Lung Foundation [20190167] Funding Source: Swedish Heart-Lung Foundation</t>
  </si>
  <si>
    <t>National Natural Science Foundation of China(National Natural Science Foundation of China (NSFC)); Talent Research Funds of Qingdao Agricultural University; Swedish Heart-Lung Foundation(Swedish Heart-Lung Foundation)</t>
  </si>
  <si>
    <t>The authors gratefully acknowledge the financial support of Projects No.52078261 from the National Natural Science Foundation of China , Projects NO:20190167 from the Talent Research Funds of Qingdao Agricultural University under Grant.</t>
  </si>
  <si>
    <t>SEP 10</t>
  </si>
  <si>
    <t>10.1016/j.jclepro.2022.132780</t>
  </si>
  <si>
    <t>2S9HY</t>
  </si>
  <si>
    <t>WOS:000822097700003</t>
  </si>
  <si>
    <t>Wang, QF; Zheng, H; Zhu, XJ; Yu, GR</t>
  </si>
  <si>
    <t>Wang, Qiufeng; Zheng, Han; Zhu, Xianjin; Yu, Guirui</t>
  </si>
  <si>
    <t>Primary estimation of Chinese terrestrial carbon sequestration during 2001-2010</t>
  </si>
  <si>
    <t>SCIENCE BULLETIN</t>
  </si>
  <si>
    <t>Gross primary productivity; Net ecosystem productivity; Ecosystem respiration; Carbon sink; ChinaFLUX</t>
  </si>
  <si>
    <t>NET PRIMARY PRODUCTIVITY; METHANE EMISSIONS; DIOXIDE UPTAKE; RICE PADDIES; CO2 FLUX; ECOSYSTEMS; MODEL; VEGETATION; BALANCE; FIELDS</t>
  </si>
  <si>
    <t>Quantifying the carbon budgets of terrestrial ecosystems is the foundation on which to understand the role of these ecosystems as carbon sinks and to mitigate global climate change. Through a re-examination of the conceptual framework of ecosystem productivity and the integration of multi-source data, we assumed that the entire terrestrial ecosystems in China to be a large-scale regional biome-society system. We approximated the carbon fluxes of key natural and anthropogenic processes at a regional scale, including fluxes of emissions from reactive carbon and creature ingestion, and fluxes of emissions from anthropogenic and natural disturbances. The gross primary productivity, ecosystem respiration and net ecosystem productivity (NEP) in China were 7.78, 5.89 and 1.89 PgC a(-1), respectively, during the period from 2001 to 2010. After accounting for the consumption of reactive carbon and creature ingestion (0.078 PgC a(-1)), fires (0.002 PgC a(-1)), water erosion (0.038 PgC a(-1)) and agricultural and forestry utilization (0.806 PgC a(-1)), the final carbon sink in China was about 0.966 PgC a(-1); this was considered as the climate-based potential terrestrial ecosystem carbon sink for the current climate conditions in China. The carbon emissions caused by anthropogenic disturbances accounted for more than 42 % of the NEP, which indicated that humans can play an important role in increasing terrestrial carbon sequestration and mitigating global climate change. This role can be fulfilled by reducing the carbon emissions caused by human activities and by prolonging the residence time of fixed organic carbon in the large-scale regional biome-society system through the improvement of ecosystem management.</t>
  </si>
  <si>
    <t>[Wang, Qiufeng; Zheng, Han; Zhu, Xianjin; Yu, Guirui] Chinese Acad Sci, Key Lab Ecosyst Network Observat &amp; Modeling, Inst Geog Sci &amp; Nat Resources Res, Synth Res Ctr,Chinese Ecosyst Res Network, Beijing 100101, Peoples R China; [Zheng, Han] Univ Chinese Acad Sci, Beijing 100049, Peoples R China</t>
  </si>
  <si>
    <t>Chinese Academy of Sciences; Institute of Geographic Sciences &amp; Natural Resources Research, CAS; Chinese Academy of Sciences; University of Chinese Academy of Sciences, CAS</t>
  </si>
  <si>
    <t>Yu, GR (corresponding author), Chinese Acad Sci, Key Lab Ecosyst Network Observat &amp; Modeling, Inst Geog Sci &amp; Nat Resources Res, Synth Res Ctr,Chinese Ecosyst Res Network, Beijing 100101, Peoples R China.</t>
  </si>
  <si>
    <t>yugr@igsnrr.ac.cn</t>
  </si>
  <si>
    <t>Yu, Guirui/C-1768-2014; wang, qiufeng/C-1654-2013; Yu, Guirui/C-1768-2014; Zhu, XianJin/B-2779-2009</t>
  </si>
  <si>
    <t>Yu, Guirui/0000-0002-1859-8966; Yu, Guirui/0000-0002-1859-8966; Zhu, XianJin/0000-0002-5662-3472</t>
  </si>
  <si>
    <t>National Basic Research Program of China [2010CB833504]; Strategic Priority Research Program of the Chinese Academy of Sciences [XDA05050601, XDA05050702]</t>
  </si>
  <si>
    <t>National Basic Research Program of China(National Basic Research Program of China); Strategic Priority Research Program of the Chinese Academy of Sciences(Chinese Academy of Sciences)</t>
  </si>
  <si>
    <t>This work was supported by the National Basic Research Program of China (2010CB833504) and the Strategic Priority Research Program of the Chinese Academy of Sciences (XDA05050601, XDA05050702).</t>
  </si>
  <si>
    <t>2095-9273</t>
  </si>
  <si>
    <t>2095-9281</t>
  </si>
  <si>
    <t>SCI BULL</t>
  </si>
  <si>
    <t>Sci. Bull.</t>
  </si>
  <si>
    <t>10.1007/s11434-015-0736-9</t>
  </si>
  <si>
    <t>CD3TC</t>
  </si>
  <si>
    <t>WOS:000351003200001</t>
  </si>
  <si>
    <t>Liu, DY; He, BL; Duan, ZY; Chen, SY; Zhao, WJ; Duan, HY</t>
  </si>
  <si>
    <t>Liu, Daiyun; He, Bailin; Duan, Zhiyuan; Chen, Siyan; Zhao, Wenjin; Duan, Haiyan</t>
  </si>
  <si>
    <t>Explaining carbon footprint in maize production: A driving analysis of climate-soil-farming interactions in China</t>
  </si>
  <si>
    <t>Carbon footprint; Maize; LCA; Explainable models; Resource efficiency; Policy trade-offs</t>
  </si>
  <si>
    <t>GREENHOUSE-GAS EMISSIONS; WATER FOOTPRINTS; WHEAT; CORN</t>
  </si>
  <si>
    <t>Understanding the drivers of carbon footprint (CF) in maize production is critical for achieving sustainable agriculture. However, existing studies neglect multi-factor interactions and spatial dynamics. Here, a climatesoil-CF explaining model is developed by integrating life cycle assessment (LCA) with explainable methods to quantify China's maize CF from 2011 to 2021 across 20 climate zones and 31 soil types. Results reveal an inverted U-shaped temporal trend (672-1778-477 kg CO(2)eq ha(- 1)) and northwest-to-southeast spatial decline. Straw burning (1.29, Random Forest importance scores) and agricultural film (0.73) dominate CF variations, but their impacts are modulated by regional climate-soil synergies. Arid Arenosols regions required 99 % more agricultural film than fertile Phaeozems, while straw return enhanced soil organic carbon by 950 kg CO(2)eq ha(-1) in humid zones. Notably, policy-driven straw burning bans reduced emissions by 74-100 %, yet triggered fertilizer rebound. Sustainable mitigation necessitates transitioning from short-term agronomic measures to</t>
  </si>
  <si>
    <t>[Liu, Daiyun; He, Bailin; Zhao, Wenjin] Jilin Univ, Key Lab Groundwater Resources &amp; Environm, Minist Educ, Changchun 130021, Peoples R China; [Liu, Daiyun; He, Bailin; Zhao, Wenjin] Jilin Univ, Jilin Prov Key Lab Water Resources &amp; Environm, Changchun 130021, Peoples R China; [Liu, Daiyun; He, Bailin; Zhao, Wenjin] Jilin Univ, Coll New Energy &amp; Environm, Changchun 130012, Peoples R China; [Duan, Zhiyuan; Chen, Siyan; Duan, Haiyan] Shandong Univ, Inst Ecoenvironm Forens, Qingdao 266237, Peoples R China</t>
  </si>
  <si>
    <t>Jilin University; Jilin University; Shandong University</t>
  </si>
  <si>
    <t>Zhao, WJ (corresponding author), Jilin Univ, Key Lab Groundwater Resources &amp; Environm, Minist Educ, Changchun 130021, Peoples R China.;Duan, HY (corresponding author), Shandong Univ, Inst Ecoenvironm Forens, Qingdao 266237, Peoples R China.</t>
  </si>
  <si>
    <t>zhaowj@jlu.edu.cn; duanhaiyan@sdu.edu.cn</t>
  </si>
  <si>
    <t>Zhao, Wenjin/AAQ-9365-2020; 陈, 思言/GZM-5402-2022</t>
  </si>
  <si>
    <t>Natural Science Foundation of Shandong Province; Nat-ural Science Foundation of Jilin Province [20210101094JC]</t>
  </si>
  <si>
    <t>Natural Science Foundation of Shandong Province(Natural Science Foundation of Shandong Province); Nat-ural Science Foundation of Jilin Province</t>
  </si>
  <si>
    <t>This study was supported by the Natural Science Foundation of Shandong Province (NO.ZR2024MG027 and NO.ZR2024QD210) , Nat-ural Science Foundation of Jilin Province (NO. 20210101094JC) .</t>
  </si>
  <si>
    <t>10.1016/j.jclepro.2025.146442</t>
  </si>
  <si>
    <t>8QY9I</t>
  </si>
  <si>
    <t>WOS:001595235100017</t>
  </si>
  <si>
    <t>Jing, XD; Tian, GL; Li, MR; Javeed, SA</t>
  </si>
  <si>
    <t>Jing, Xiaodong; Tian, Guiliang; Li, Minrui; Javeed, Sohail Ahmad</t>
  </si>
  <si>
    <t>Research on the Spatial and Temporal Differences of China's Provincial Carbon Emissions and Ecological Compensation Based on Land Carbon Budget Accounting</t>
  </si>
  <si>
    <t>land carbon emissions; carbon budget accounting; carbon ecological compensation; ecological compensation; temporal and spatial differences; carbon balance</t>
  </si>
  <si>
    <t>ECOSYSTEM SERVICES; AGRICULTURE; MECHANISM</t>
  </si>
  <si>
    <t>The establishment of a complete carbon ecological compensation mechanism is of great significance for China to achieve carbon peak and carbon neutrality as soon as possible. From the perspective of land carbon budget accounting, this paper measures the carbon emissions and the value of carbon ecological compensation in 30 provinces in China from 2010 to 2019, by constructing a carbon ecological compensation model, and analyzes it from both time and space perspectives. The study found that: (1) during the period 2010-2019, China's carbon absorption remained basically stable, and woodland and grassland were the main carriers of China's land carbon absorption. The total carbon sequestration of woodland and grassland showed a pattern of being high in the west and low in the east, and the total carbon sequestration of cultivated land showed a pattern of being high in the east and low in the west. (2) Construction land is the main source of carbon emissions in China. Cultivated land carbon emissions mainly come from major agricultural provinces such as Henan and Heilongjiang, while construction land carbon emissions are mainly concentrated in energy-consuming provinces such as Shandong and Shanxi. (3) After revising the carbon compensation benchmark value, it is found that provinces such as Guangdong and Jiangsu should receive carbon ecological compensation, while provinces dominated by heavy industries such as Shanxi and Shandong need to pay corresponding carbon compensation fees. Finally, this article puts forward corresponding policy recommendations, such as that China should give full play to the role of the government and the market, accelerate the optimization and improvement of the ecological resource asset property rights system, and optimize the development and utilization of land.</t>
  </si>
  <si>
    <t>[Jing, Xiaodong; Tian, Guiliang; Li, Minrui] Hohai Univ, Sch Business, Nanjing 211100, Peoples R China; [Tian, Guiliang] Hohai Univ, Sch Econ &amp; Finance, Nanjing 211100, Peoples R China; [Tian, Guiliang] Jiangsu Yangtze River Conservat &amp; High Qual Dev R, Nanjing 210098, Peoples R China; [Javeed, Sohail Ahmad] Zhejiang Gongshang Univ Hangzhou Coll Commerce, Hangzhou 310018, Peoples R China</t>
  </si>
  <si>
    <t>Hohai University; Hohai University</t>
  </si>
  <si>
    <t>Javeed, SA (corresponding author), Zhejiang Gongshang Univ Hangzhou Coll Commerce, Hangzhou 310018, Peoples R China.</t>
  </si>
  <si>
    <t>sohailahmaduaf@yahoo.com</t>
  </si>
  <si>
    <t>; 田, 贵良/JOZ-8303-2023; Javeed, Sohail/AAG-8085-2021</t>
  </si>
  <si>
    <t>Jing, Xiaodong/0000-0001-7606-456X; Tian, Guiliang/0000-0003-3015-0301; Javeed, Sohail Ahmad/0000-0001-9638-2258</t>
  </si>
  <si>
    <t>National Social Science Fund Project [17ZDA064]</t>
  </si>
  <si>
    <t>National Social Science Fund Project</t>
  </si>
  <si>
    <t>This research was funded by National Social Science Fund Project, grant number 17ZDA064 and The APC was funded by 17ZDA064.</t>
  </si>
  <si>
    <t>10.3390/ijerph182412892</t>
  </si>
  <si>
    <t>YA0QQ</t>
  </si>
  <si>
    <t>WOS:000738049200001</t>
  </si>
  <si>
    <t>Yan, ZW; Tang, SR; He, ZL; Cheng, HG; Twagirayezu, G; Zhao, JS; Xiang, RB; Hu, RG; Lin, S</t>
  </si>
  <si>
    <t>Yan, Ziwei; Tang, Shuirong; He, Zhilong; Cheng, Hongguang; Twagirayezu, Gratien; Zhao, Jinsong; Xiang, Rongbiao; Hu, Ronggui; Lin, Shan</t>
  </si>
  <si>
    <t>Biochar addition under straw return reduces carbon dioxide and nitrous oxide emissions in acidic tea field soil</t>
  </si>
  <si>
    <t>Carbon dioxide; Nitrous oxide; Biochar; Straw; Tea field acid soil</t>
  </si>
  <si>
    <t>GREENHOUSE-GAS EMISSIONS; N2O EMISSIONS; ENZYME-ACTIVITIES; USE EFFICIENCY; MINERALIZATION; FLUXES; RICE; CH4; CO2; NITRIFICATION</t>
  </si>
  <si>
    <t>Straw return and biochar application are prevalent agricultural practices that bolster soil health, enhancing crop yields. However, their synergistic effects on carbon dioxide (CO2) and nitrous oxide (N2O) emissions in the acidic tea field soil at different age stages have not been fully elucidated. Herein, tea field soil with 5 and 15 years planting (5a and 15a, respectively) were individually incubated in five distinct indoor experiments: control, soil with urea (N), soil with urea and biochar (N + C), soil with urea and straw (N + S), and soil with urea, biochar, and straw (N + C + S). The results demonstrated that the pH values under 15a (4.1-5.6) were significantly lower than those under 5a (5.8-7.3), and both straw and biochar addition effectively improved soil acidification. Straw or biochar addition alone acted as carbon sources, leading to heightened N2O and CO2 emissions. N + S increased N2O emissions (3.17 and 5.85-fold) and CO2 cumulative emissions (6.43 and 2.33-fold) under 5a and 15a compared with the control. Relative to N treatment, biochar addition alone increased CO2 emission (1.22 and 1.35-fold) under 5a and 15a, and increased N2O emissions by 14.73% under 5a, decreased N2O emissions by 74.65% under 15a. However, the combined application of straw and biochar reduced N2O (49.4%,17.58%) and CO2 emissions (57.83% and 33.60%) due to stimulating biochar adsorption, respectively, compared with N + S treatment under 5a and 15a. Therefore, biochar and straw addition together can effectively increase soil fertilizer and inhibit greenhouse gas emissions, this study provides an insightful way and effective option for improving acid soil and protecting high soil health with a low greenhouse gas emission intensity.</t>
  </si>
  <si>
    <t>[Yan, Ziwei; Tang, Shuirong; He, Zhilong; Zhao, Jinsong; Xiang, Rongbiao; Hu, Ronggui; Lin, Shan] Huazhong Agr Univ, Coll Resources &amp; Environm, Key Lab Arable Land Conservat Middle &amp; Lower Reach, Minist Agr &amp; Rural Affairs, Wuhan 430070, Peoples R China; [Tang, Shuirong] Hainan Univ, Sanya Inst Breeding &amp; Multiplicat, Sch Breeding &amp; Multiplicat, Sanya 572025, Peoples R China; [Cheng, Hongguang; Twagirayezu, Gratien] Chinese Acad Sci, Inst Geochem, State Key Lab Environm Geochem, Guiyang 550081, Peoples R China; [Twagirayezu, Gratien] Univ Chinese Acad Sci, Beijing 100049, Peoples R China</t>
  </si>
  <si>
    <t>Huazhong Agricultural University; Hainan University; Chinese Academy of Sciences; Institute of Geochemistry, CAS; Chinese Academy of Sciences; University of Chinese Academy of Sciences, CAS</t>
  </si>
  <si>
    <t>Lin, S (corresponding author), Huazhong Agr Univ, Coll Resources &amp; Environm, Key Lab Arable Land Conservat Middle &amp; Lower Reach, Minist Agr &amp; Rural Affairs, Wuhan 430070, Peoples R China.</t>
  </si>
  <si>
    <t>linshan@mail.hzau.edu.cn</t>
  </si>
  <si>
    <t>Zhao, Jinsong/D-2181-2009; Cheng, guang/H-1743-2013; He, Zhilong/NFR-8748-2025; Twagirayezu, Gratien/ACZ-4019-2022</t>
  </si>
  <si>
    <t>Twagirayezu, Gratien/0000-0001-6493-461X</t>
  </si>
  <si>
    <t>National Key Research and Development Program of China [2023YFD1900902, 2021YFD1901202]; Scientific and Technological Talents and Platform of Yunnan Province [202205AF150004]; Science and Technology Project of Hubei Provincial Tobacco Company [027Y2022-022]</t>
  </si>
  <si>
    <t>National Key Research and Development Program of China(National Key Research &amp; Development Program of China); Scientific and Technological Talents and Platform of Yunnan Province; Science and Technology Project of Hubei Provincial Tobacco Company</t>
  </si>
  <si>
    <t>This study was funded by the National Key Research and Development Program of China (No. 2023YFD1900902, 2021YFD1901202) , The Scientific and Technological Talents and Platform of Yunnan Province (Grant No. 202205AF150004) , The Science and Technology Project of Hubei Provincial Tobacco Company (No. 027Y2022-022).</t>
  </si>
  <si>
    <t>10.1016/j.jenvman.2024.122498</t>
  </si>
  <si>
    <t>G6L1D</t>
  </si>
  <si>
    <t>WOS:001317720100001</t>
  </si>
  <si>
    <t>Xu, LJ; Yang, ML</t>
  </si>
  <si>
    <t>Xu, Lijun; Yang, Minli</t>
  </si>
  <si>
    <t>Paddy Rice Production Mechanization in China -A Review</t>
  </si>
  <si>
    <t>Paddy rice plays a significant role in food security of China, contributing to 33.25 % of the planting area and 39.44 % of the production of sown grain crops. However the mechanization level of paddy rice production is still low. The paper analyzed the development status of paddy rice production mechanization in different regions, and the influencing factors. Results showed the mechanization level is still low in China, and it has great spatial variation, with the northern paddy region tops the list of all regions, while double cropping paddy region hold the lowest level. Concerning on paddy rice field planting technologies, mechanical transplanting is the most dominant one in use and in the future, contributing to over 80 % of the mechanical planting area. The bottlenecks for paddy rice mechanization development include complicated topography, small farm size, lack of agricultural machinery, farmers' low education level and poor economic condition.</t>
  </si>
  <si>
    <t>[Xu, Lijun; Yang, Minli] China Agr Univ, Beijing 100083, Peoples R China</t>
  </si>
  <si>
    <t>Xu, LJ (corresponding author), China Agr Univ, 17 Qinghua East Rd, Beijing 100083, Peoples R China.</t>
  </si>
  <si>
    <t>zoelijun@gmail.com; qyang@cau.edu.cn</t>
  </si>
  <si>
    <t>Xu, Lijun/AFM-3160-2022</t>
  </si>
  <si>
    <t>AU8AB</t>
  </si>
  <si>
    <t>WOS:000345818100002</t>
  </si>
  <si>
    <t>Li, N</t>
  </si>
  <si>
    <t>Li, Na</t>
  </si>
  <si>
    <t>Study on the Influence of the Development of Agricultural Mechanization on the Transformation of Agricultural Economic Development Mode in Xuchang of Henan</t>
  </si>
  <si>
    <t>AGRO FOOD INDUSTRY HI-TECH</t>
  </si>
  <si>
    <t>Agricultural mechanization; Xuchang Henan; economic development mode; transformation</t>
  </si>
  <si>
    <t>With the development of agricultural economy in our country, the transformation of agricultural economic development mode has become an important part of its development, and the development of agricultural mechanization can make the agricultural economy in our country have a more favorable development. Based on this, the influence of the development of agricultural mechanization on the transformation of agricultural economic development mode in Xuchang, Henan was studied in this paper. On the basis of introducing the characteristics of agricultural mechanization and the present situation of the development of agricultural economy in Xuchang of Henan, in order to give the change index of Xuchang Henan agricultural economic development mode, a theoretical model was proposed. With this model, the change degree of agricultural development mode in Xuchang Henan was judged, and the empirical study was carried out on the change of agricultural mechanization and agricultural development mode of Xuchang Henan by constructing evaluation equation. The results show that the investment of labor force has been reduced and the level of agricultural mechanization has increased significantly during the transformation of agricultural economic development mode in Xuchang, Henan. In addition, the intensive efficiency index and labor productivity are positively correlated with the change of agricultural economic development mode in Xuchang, Henan.</t>
  </si>
  <si>
    <t>[Li, Na] Xuchang Univ, Business Sch, Xuchang 461000, Henan, Peoples R China</t>
  </si>
  <si>
    <t>Xuchang University</t>
  </si>
  <si>
    <t>Li, N (corresponding author), Xuchang Univ, Business Sch, Xuchang 461000, Henan, Peoples R China.</t>
  </si>
  <si>
    <t>LI, NA/G-4083-2015</t>
  </si>
  <si>
    <t>Henan provincial soft science research project: Agricultural Science and Technology Innovation of Henan Province and Coordinated Development of Agricultural Modernization [162400410486]</t>
  </si>
  <si>
    <t>Henan provincial soft science research project: Agricultural Science and Technology Innovation of Henan Province and Coordinated Development of Agricultural Modernization</t>
  </si>
  <si>
    <t>The Henan provincial soft science research project of 2016: Agricultural Science and Technology Innovation of Henan Province and Coordinated Development of Agricultural Modernization (162400410486).</t>
  </si>
  <si>
    <t>TEKNOSCIENZE PUBL</t>
  </si>
  <si>
    <t>MILANO</t>
  </si>
  <si>
    <t>VIALE BRIANZA 22, 20127 MILANO, ITALY</t>
  </si>
  <si>
    <t>1722-6996</t>
  </si>
  <si>
    <t>2035-4606</t>
  </si>
  <si>
    <t>AGRO FOOD IND HI TEC</t>
  </si>
  <si>
    <t>Agro Food Ind. Hi-Tech</t>
  </si>
  <si>
    <t>JAN-FEB</t>
  </si>
  <si>
    <t>FB2RY</t>
  </si>
  <si>
    <t>WOS:000405992100072</t>
  </si>
  <si>
    <t>Mehra, P; Sarkar, B; Bolan, N; Chowdhury, S; Desbiolles, J</t>
  </si>
  <si>
    <t>Mehra, Promil; Sarkar, Binoy; Bolan, Nanthi; Chowdhury, Saikat; Desbiolles, Jack</t>
  </si>
  <si>
    <t>Impact of carbonates on the mineralisation of surface soil organic carbon in response to shift in tillage practice</t>
  </si>
  <si>
    <t>Tillage; Mulching; Kinetic decomposition model; Carbonates; Microbial biomass carbon; Carbon sequestration</t>
  </si>
  <si>
    <t>MICROBIAL ACTIVITY; WATER REPELLENCY; MATTER; SEQUESTRATION; CO2; NITROGEN; RESIDUE; LIME; HYDROPHOBICITY; RESPIRATION</t>
  </si>
  <si>
    <t>The inorganic soil C pool is a major source of CO2 emission into the atmosphere along with the soil respiratory CO2 fluxes but is comparatively less studied than the organic C mineralisation processes. This study aims to understand how soil available carbonates influence the soil C dynamics under different tillage, mulching and temperature regimes. A 90-day incubation experiment was conducted by adding calcite nodules to soils (10% w/w) collected from an agricultural field maintained with or without 5 t ha(-1) mulching under no-till (NT) or conventional tillage (CT) systems. Environmental Scanning Electron Microscope (ESEM) examination indicated greater morphological changes in the calcite nodules incubated with CT than NT soils. Soil samples incubated with calcite and mulching recorded 6.3% greater CO2 evolution than the un-mulched condition. Under the CT system, the overall CO2 emission rate was higher in the control treatment (43%), followed by a combined treatment of 5 t ha(-1) mulch + CaCO3 (10% w/w) (29.2%), 5 t ha(-1) mulch only treatment (27.9%), and 10% CaCO3 (w/w) (16.5%) treatment, with a rise in incubation temperature from 22 degrees C to 37 degrees C. Kinetic model calculations for CO2 emission indicated a greater half-life of easily mineralisable C pools in the NT system at 22 degrees C. Microbial biomass carbon (MBC) results further verified that the high temperature and disturbed soil conditions limit the availability of soil MBC under the CT systems, indicating a higher decomposition rate. Eventually, these results indicated that agricultural management practices, including tillage shift, explicitly influence the different functional components of soil organic matter (SOM).</t>
  </si>
  <si>
    <t>[Mehra, Promil] Elizabeth Macarthur Agr Inst, Dept Primary Ind, Menangle, NSW, Australia; [Mehra, Promil; Sarkar, Binoy] Univ South Australia, Future Ind Inst, Mawson Lakes, SA 5095, Australia; [Sarkar, Binoy] Univ Sheffield, Dept Anim &amp; Plant Sci, Western Bank, Sheffield S10 2TN, S Yorkshire, England; [Bolan, Nanthi] Univ Newcastle, Global Ctr Environm Remediat, Callaghan, NSW 2308, Australia; [Bolan, Nanthi] Univ Newcastle, Int Ctr Balanced Land Use, Callaghan, NSW 2308, Australia; [Chowdhury, Saikat] Sher e Bangla Agr Univ, Dept Soil Sci, Dhaka 1207, Bangladesh; [Desbiolles, Jack] Univ South Australia, Agr Machinery Res &amp; Design Ctr, Mawson Lakes, SA 5095, Australia</t>
  </si>
  <si>
    <t>Department of Primary Industries &amp; Regional Development NSW; Adelaide University; University of South Australia; University of Sheffield; University of Newcastle; University of Newcastle; Sher-e-Bangla Agricultural University (SAU); Adelaide University; University of South Australia</t>
  </si>
  <si>
    <t>Mehra, P (corresponding author), Elizabeth Macarthur Agr Inst, Dept Primary Ind, Menangle, NSW, Australia.</t>
  </si>
  <si>
    <t>Promil.Mehra@mymail.unisa.edu.au</t>
  </si>
  <si>
    <t>Bolan, Nanthi/E-8535-2011; Mehra, Promil/AAH-2951-2021; Sarkar, Binoy/A-5187-2019; Sarkar, Binoy/D-1573-2011</t>
  </si>
  <si>
    <t>Bolan, Nanthi/0000-0003-2056-1692; Sarkar, Binoy/0000-0002-4196-1225; Desbiolles, Jacky/0000-0002-5921-261X</t>
  </si>
  <si>
    <t>University of South Australia, Future Industry Institute; Commonwealth Government of Australia under the Research Training Program (RTP) of the Department of Education and Training</t>
  </si>
  <si>
    <t>The first author is thankful to the University of South Australia, Future Industry Institute for providing a scholarship to carry out the PhD (2013-2017) research work. The authors also thank the Commonwealth Government of Australia for providing funding under the Research Training Program (RTP) of the Department of Education and Training in support of PhD research.</t>
  </si>
  <si>
    <t>10.1016/j.geoderma.2018.12.039</t>
  </si>
  <si>
    <t>HK1KY</t>
  </si>
  <si>
    <t>WOS:000457665000009</t>
  </si>
  <si>
    <t>Soares, P; Spolador, HFS</t>
  </si>
  <si>
    <t>Soares, Pedro; Spolador, Humberto Francisco Silva</t>
  </si>
  <si>
    <t>The Role of Technical Efficiency Gains on Greenhouse Gas Emissions: An Analysis of Brazilian Sugarcane Production</t>
  </si>
  <si>
    <t>bad output; Brazil; CO2 shadow price; greenhouse emissions; sugarcane; technical efficiency</t>
  </si>
  <si>
    <t>RESPIRATORY HEALTH; SHADOW PRICES; POLLUTION; IMPACT</t>
  </si>
  <si>
    <t>This article aimed to investigate the contribution of technical efficiency gains to reducing the emission of greenhouse gases in Brazilian sugarcane production and to estimate the monetary compensation that producers should receive to reduce pollution. Using an output distance function and its duality with the revenue function, we estimated the technical efficiency of sugarcane production in Brazilian municipalities and the shadow price of reducing carbon dioxide (CO2) emissions from the production of this crop. The main result was an overall technical efficiency average of 81%, which indicates that if producers adopt better management practices, the sugarcane production could be expanded by 19% with a contraction by the same magnitude in CO2 emissions. We also estimated a mean shadow price of R$9.18 per ton of carbon dioxide, with the highest estimated values in the states of Mato Grosso do Sul, Paran &amp; aacute;, Mato Grosso, and Bahia. However, in the state of S &amp; atilde;o Paulo, the most representative national producer, the estimated shadow price is R$6.34 per ton of carbon dioxide. In this sense, public policies, especially through public financing and public technical assistance, could potentially mitigate the producers' losses in the short run since pollution decline usually requires more mechanization.</t>
  </si>
  <si>
    <t>[Soares, Pedro; Spolador, Humberto Francisco Silva] Univ Sao Paulo, ESALQ USP, Luiz de Queiroz Coll Agr, Piracicaba, Brazil</t>
  </si>
  <si>
    <t>Universidade de Sao Paulo</t>
  </si>
  <si>
    <t>Spolador, HFS (corresponding author), Univ Sao Paulo, ESALQ USP, Luiz de Queiroz Coll Agr, Piracicaba, Brazil.</t>
  </si>
  <si>
    <t>hspolador@usp.br</t>
  </si>
  <si>
    <t>Spolador, Humberto/P-9185-2015</t>
  </si>
  <si>
    <t>Spolador, Humberto/0000-0002-1192-5311</t>
  </si>
  <si>
    <t>Coordenacao de Aperfeicoamento de Pessoal de Nivel Superior-Brasil (CAPES) [001]; National Council for Scientific and Technological Development (CNPq)</t>
  </si>
  <si>
    <t>Coordenacao de Aperfeicoamento de Pessoal de Nivel Superior-Brasil (CAPES)(Coordenacao de Aperfeicoamento de Pessoal de Nivel Superior (CAPES)); National Council for Scientific and Technological Development (CNPq)(Conselho Nacional de Desenvolvimento Cientifico e Tecnologico (CNPQ))</t>
  </si>
  <si>
    <t>This study was financed in part by theCoordenacao de Aperfeicoamento de Pessoal de Nivel Superior-Brasil (CAPES)-Finance Code 001and by the National Council for Scientific and Technological Development (CNPq).</t>
  </si>
  <si>
    <t>10.1002/agr.22018</t>
  </si>
  <si>
    <t>9HD8F</t>
  </si>
  <si>
    <t>WOS:001394814400001</t>
  </si>
  <si>
    <t>Hu, M; Qu, ZY; Li, Y; Xiong, YW; Huang, GH</t>
  </si>
  <si>
    <t>Hu, Min; Qu, Zhongyi; Li, Yue; Xiong, Yunwu; Huang, Guanhua</t>
  </si>
  <si>
    <t>Contrasting effects of different straw return modes on net ecosystem carbon budget and carbon footprint in saline-alkali arid farmland</t>
  </si>
  <si>
    <t>Saline -alkali land; Straw return; Climate change; Net ecosystem carbon budget; Carbon footprint</t>
  </si>
  <si>
    <t>GREENHOUSE-GAS EMISSIONS; MAIZE CROPPING SYSTEM; BIOCHAR APPLICATION; WINTER-WHEAT; CALCAREOUS SOIL; NITROUS-OXIDE; LOESS PLATEAU; WATER-USE; CHINA; DYNAMICS</t>
  </si>
  <si>
    <t>Saline -alkali soils seriously restrict agricultural productivity, reduce carbon (C) sequestration and increase global warming potential (GWP) of farmland systems. Straw return is usually used to improve soil physicochemical properties, increase soil organic carbon (SOC) and crop yield in saline -alkali arid farmland. The performance of straw return is influenced by varieties of factors including incorporation mode, soil type, crop and climate. Therefore, from 2017 to 2019, a three-year short-term study was conducted to investigate the impact of different straw return modes on soil greenhouse gas (GHG) emissions, net ecosystem C budget (NECB), net global warming potential (NGWP) and C footprint in a saline -alkali farmland under arid conditions. Four straw return modes, namely straw return with rotary tillage, straw return with plowing, and straw -derived biochar treatment and a control without straw return, were conducted in saline -alkali arid farmland. Results indicated that compared with the control, straw return with rotary tillage increased direct GHG emissions (soil borne CO2 and N2O emissions), while straw -derived biochar decreased direct GHG emissions. Straw return with plowing had no significant impact on direct GHG emissions. Straw return with plowing, straw return with rotary tillage, and straw -derived biochar significantly increased indirect CO2 emissions due to more consumption of energy, fossil fuels and diesel than the control. For C sequestration, straw return significantly increased crop C fixation and soil C sequestration compared with the control. The C sequestration in straw -derived biochar treatment was significantly higher than that of the return with rotary tillage and plowing treatments, thus achieving the highest NECB and the lowest NGWP and yield -scaled C footprint. Compared to the control, straw -derived biochar mode increased NECB by 2618.4-11379.4 kg ha -1, and decreased NGWP and yield -scaled C footprint by 12660.4-43431.9 kg ha -1 and 0.03-1.9 kg kg -1, respectively. Overall, the short-term results suggested that crop C fixation and soil C sequestration are crucial determinants of the NECB and C footprint, respectively. Return in the form of biochar could be recommended as an appropriate straw return practice for enhancing C sequestration and mitigating the GWP of the saline -alkali farmland.</t>
  </si>
  <si>
    <t>[Hu, Min; Li, Yue; Xiong, Yunwu; Huang, Guanhua] China Agr Univ, Natl Key Lab Efficient Utilizat Agr Water Resource, Beijing 100083, Peoples R China; [Hu, Min; Li, Yue; Xiong, Yunwu; Huang, Guanhua] China Agr Univ, Chinese Israeli Int Ctr Res &amp; Training Agr, Beijing 100083, Peoples R China; [Qu, Zhongyi] Inner Mongolia Agr Univ, Water Conservancy &amp; Civil Engn Coll, Hohhot 010018, Peoples R China</t>
  </si>
  <si>
    <t>China Agricultural University; China Agricultural University; Inner Mongolia Agricultural University</t>
  </si>
  <si>
    <t>Xiong, YW; Huang, GH (corresponding author), China Agr Univ, Natl Key Lab Efficient Utilizat Agr Water Resource, Beijing 100083, Peoples R China.</t>
  </si>
  <si>
    <t>yxiong@cau.edu.cn; ghuang@cau.edu.cn</t>
  </si>
  <si>
    <t>National Natural Science Foundation of China [52220105007, U2243217, 52179050]; Key Research Project of Science and Technology in Inner Mongolia Autonomous Region of China [NMKJXM202004, NMKJXM202208-2]; The 2115 Program for Talents Cultivation of China Agricultural University</t>
  </si>
  <si>
    <t>National Natural Science Foundation of China(National Natural Science Foundation of China (NSFC)); Key Research Project of Science and Technology in Inner Mongolia Autonomous Region of China; The 2115 Program for Talents Cultivation of China Agricultural University</t>
  </si>
  <si>
    <t>This study was supported by the National Natural Science Foundation of China (grant numbers: 52220105007, U2243217, 52179050) , the Key Research Project of Science and Technology in Inner Mongolia Autonomous Region of China (grant number: NMKJXM202004, NMKJXM202208-2) and the 2115 Program for Talents Cultivation of China Agricultural University.</t>
  </si>
  <si>
    <t>10.1016/j.still.2024.106031</t>
  </si>
  <si>
    <t>LA4D4</t>
  </si>
  <si>
    <t>WOS:001184032400001</t>
  </si>
  <si>
    <t>Wei, CB; Sha, YY; Hou, YW; Li, JQ; Qu, YL</t>
  </si>
  <si>
    <t>Wei, Chunbo; Sha, Yanyu; Hou, Yongwei; Li, Jiaqi; Qu, Yongli</t>
  </si>
  <si>
    <t>Spatial-Temporal Evolution and Influencing Factors of Animal Husbandry Carbon Emissions: A Case Study of Shandong Province, China</t>
  </si>
  <si>
    <t>animal husbandry; carbon emission; spatial differentiation; dynamic evolution</t>
  </si>
  <si>
    <t>GREENHOUSE-GAS EMISSIONS; COAL CONSUMPTION; LIVESTOCK</t>
  </si>
  <si>
    <t>To further study the spatial distribution and dynamic evolution of carbon emissions from animal husbandry in Shandong Province, the panel data of 16 prefecture-level cities in Shandong Province from 2001 to 2022 were used to measure the carbon emissions of animal husbandry and the carbon emission intensity of animal husbandry. Based on the combination of space, kernel density estimation, and LMDI decomposition model, the spatial and temporal evolution of carbon emissions from animal husbandry in Shandong Province and its driving factors were investigated. The results show that: (1) The total amount of animal husbandry carbon emissions in Shandong Province showed a fluctuating downward trend, with a decrease of 10.10% during the investigation period, showing a peripheral-agglomeration distribution pattern. The carbon emission intensity showed a gradual downward trend, with an average annual decline of 7.47%, showing stepped distribution characteristics of high in the west and low in the east. (2) The difference in carbon emissions of animal husbandry among cities in Shandong Province increased first and then decreased, and the growth distribution was basically in the form of bimodal, showing a polarization pattern. (3) The intensity effect has the most obvious inhibitory effect on the carbon emission of animal husbandry; the effect of agricultural structure changes from a promoting effect to an inhibiting effect. The inhibitory effect of the industrial structure effect is second only to the intensity effect; the economic effect has the greatest promoting effect; and the promotion effect of the population size effect is small.</t>
  </si>
  <si>
    <t>[Wei, Chunbo; Sha, Yanyu; Hou, Yongwei; Li, Jiaqi; Qu, Yongli] Minist Agr &amp; Rural Affairs, Key Lab Low Carbon Green Agr Northeastern China, Beijing 100125, Peoples R China; [Wei, Chunbo; Sha, Yanyu; Hou, Yongwei; Li, Jiaqi; Qu, Yongli] Heilongjiang Bayi Agr Univ, Coll Anim Sci &amp; Vet Med, Dept Anim Sci, Daqing 163316, Peoples R China</t>
  </si>
  <si>
    <t>Heilongjiang Bayi Agricultural University</t>
  </si>
  <si>
    <t>Wei, CB (corresponding author), Minist Agr &amp; Rural Affairs, Key Lab Low Carbon Green Agr Northeastern China, Beijing 100125, Peoples R China.;Wei, CB (corresponding author), Heilongjiang Bayi Agr Univ, Coll Anim Sci &amp; Vet Med, Dept Anim Sci, Daqing 163316, Peoples R China.</t>
  </si>
  <si>
    <t>weichunbo@byau.edu.cn; shayanyu0503@126.com; 18553092611@163.com; lee20010408@126.com; ylqu007@126.com</t>
  </si>
  <si>
    <t>, 侯永威/0009-0007-7723-0073</t>
  </si>
  <si>
    <t>10.3390/su16093640</t>
  </si>
  <si>
    <t>QG9X1</t>
  </si>
  <si>
    <t>WOS:001219854500001</t>
  </si>
  <si>
    <t>Peng, JQ; Zhao, ZH; Liu, DN</t>
  </si>
  <si>
    <t>Peng, Jiquan; Zhao, Zihao; Liu, Dingning</t>
  </si>
  <si>
    <t>Impact of Agricultural Mechanization on Agricultural Production, Income, and Mechanism: Evidence From Hubei Province, China</t>
  </si>
  <si>
    <t>agricultural mechanization level; agricultural production; agricultural income; ivtobit model; threshold effect model</t>
  </si>
  <si>
    <t>Increasing agricultural operating income is not only an important step in improving agricultural work for farmers in the new era, but is also a powerful way to promote rural revitalization. To improve our understanding of the high-quality development of agriculture in China, the factors limiting agricultural income and the impact of the level of agricultural mechanization on agricultural production and income and its mechanism were analysed. Based on field survey data on farmers, this study analysed the influence of agricultural mechanization level on agricultural production and income by utilizing a sample-modified endogenous merging model and a threshold effect model. The level of mechanization has a significant positive impact on the cost, output value, income and return rate of all types of crops. For every 1% increase in the level of mechanization, the yields of all crops, grain crops and cash crops increase by 1.2151, 1.5941 and 0.4351%, respectively. Heterogeneity analysis shows that the level of mechanization has a certain threshold effect on income, with a greater effect occurring after the threshold. A test of action mechanism shows that the mechanization level can increase income via a factor intensification path and quality improvement path, with the partial mediation effects of the two paths being 28.8 and 27.4%, respectively. It is recommended to increase subsidies to purchase agricultural machinery, research and promote machinery suitable for cash crops, increase the level of socialized agricultural services, and improve the ability of farmers to apply novel agricultural machinery and tools so as to increase their operating profits.</t>
  </si>
  <si>
    <t>[Peng, Jiquan; Zhao, Zihao; Liu, Dingning] Jiangxi Univ Finance &amp; Econ, Sch Econ, Nanchang, Jiangxi, Peoples R China</t>
  </si>
  <si>
    <t>Jiangxi University of Finance &amp; Economics</t>
  </si>
  <si>
    <t>Peng, JQ (corresponding author), Jiangxi Univ Finance &amp; Econ, Sch Econ, Nanchang, Jiangxi, Peoples R China.</t>
  </si>
  <si>
    <t>pengjiquan@jxufe.edu.cn</t>
  </si>
  <si>
    <t>Zhao, ZiHao/KHT-4413-2024</t>
  </si>
  <si>
    <t>FEB 10</t>
  </si>
  <si>
    <t>10.3389/fenvs.2022.838686</t>
  </si>
  <si>
    <t>ZH3IG</t>
  </si>
  <si>
    <t>WOS:000760835500001</t>
  </si>
  <si>
    <t>Bansal, S; Yin, X; Schneider, L; Sykes, V; Jagadamma, S; Lee, J</t>
  </si>
  <si>
    <t>Bansal, S.; Yin, X.; Schneider, L.; Sykes, V.; Jagadamma, S.; Lee, J.</t>
  </si>
  <si>
    <t>Carbon footprint and net carbon gain of major long-term cropping systems under no-tillage</t>
  </si>
  <si>
    <t>Crop rotation; Bio-cover; Carbon input; Carbon output; Sustainability index</t>
  </si>
  <si>
    <t>AGRICULTURAL PRODUCTION SYSTEMS; GREENHOUSE-GAS EMISSIONS; LIFE-CYCLE ASSESSMENT; SOIL CARBON; ORGANIC-CARBON; MICROBIAL BIOMASS; RESIDUE REMOVAL; ENERGY ANALYSIS; COVER CROPS; BIO-COVERS</t>
  </si>
  <si>
    <t>Due to increased contribution from agriculture sector to total greenhouse gas emissions, there is need to study the ability of no-tilled diverse cropping systems including crop sequences and bio-covers to mitigate C equivalent emissions. Thus, C-footprint was calculated for a long-term experiment at the University of Tennessee's Research and Education Center in Milan with six-crop sequences: continuous cotton (Gossypium hirsutum L.), cotton-corn (Zea mays L.), continuous corn, corn-soybean (Glycine max L.), continuous soybean, and soybean-cotton interacted with four bio-covers: poultry litter, hairy vetch (Vicia villosa), winter wheat (Triticum aestivum), and fallow control with three replicates in a strip-plot design. During the experiment duration (2002-2017), field inputs (fertilizers, pesticides, and machinery used for planting, chemical applications, and harvesting) and outputs (crop yield, aboveground, and belowground residue) were assessed for each crop sequence/bio-cover combination to calculate total C equivalence of inputs and outputs, net C gain, C footprint per kg yield, sustainability index, and nitrous oxide emissions. For continuous corn, C-based input emissions were significantly higher by 0.28-0.62 Mg CO2 eq. ha(-1) yr(-1)&amp; nbsp;than all other sequences, however, a greater net C gain (5.4 Mg C eq. ha(-1)&amp; nbsp;yr(-1)) was also observed due to increased crop yield, aboveground and belowground residues. Poultry litter application resulted in lower C-footprint (1.59-2.09 kg CO2 eq. kg(-1)&amp; nbsp;yield) than hairy vetch, wheat, and fallow under all crop sequences. Hairy vetch also lowered C-footprint per kg yield (~2-14%) when compared with wheat under continuous systems of corn, soybean, and cotton, and cotton-corn rotation. Poultry litter application increased sustainability index (23-45) of all cropping sequences compared with other bio-covers. Hairy vetch improved sustainability index of corn including cropping sequences as compared with wheat and fallow. Inclusion of soybean and cotton with corn significantly decreased nitrous oxide emissions by 20-25%. The major factor contributing towards C-based input emissions was N fertilizer with 68% contribution to total emissions on average. It is concluded that application of poultry litter can reduce per yield C-footprint and enhance production system sustainability compared with hairy vetch, wheat, and fallow for monocultures or rotations of corn, soybean, cotton. Additionally, hairy vetch can outperform wheat in reducing the per yield C-footprint for continuous corn/soybean/cotton, and cotton-corn rotation. Especially for corn production systems, hairy vetch can enhance sustainability index compared with wheat and fallow. In order to increase per hectare net C gain, reduce per yield C-footprint and enhance sustainability index simultaneously, integration of continuous corn or corn-soybean/cotton rotation with bio-cover poultry litter or hairy vetch may perform better than the monocultures of soybean or cotton integrated with bio-cover wheat or fallow control in the Mid-south USA.</t>
  </si>
  <si>
    <t>[Bansal, S.] South Dakota State Univ, Dept Agron Hort &amp; Plant Sci, Brookings, SD 57007 USA; [Yin, X.; Sykes, V.] Univ Tennessee, Dept Plant Sci, Knoxville, TN 37996 USA; [Schneider, L.] Univ Tennessee, Dept Anim Sci, Knoxville, TN 37996 USA; [Jagadamma, S.; Lee, J.] Univ Tennessee, Dept Biosyst Engn &amp; Soil Sci, Knoxville, TN 37996 USA</t>
  </si>
  <si>
    <t>South Dakota State University; University of Tennessee System; University of Tennessee Knoxville; UT Institute of Agriculture; University of Tennessee System; University of Tennessee Knoxville; UT Institute of Agriculture; University of Tennessee System; University of Tennessee Knoxville; UT Institute of Agriculture</t>
  </si>
  <si>
    <t>Yin, X (corresponding author), Univ Tennessee, Dept Plant Sci, Knoxville, TN 37996 USA.</t>
  </si>
  <si>
    <t>xyin2@utk.edu</t>
  </si>
  <si>
    <t>Sykes, Virginia/KFS-7361-2024; Jagadamma, Sindhu/F-7168-2012</t>
  </si>
  <si>
    <t>Sykes, Virginia/0000-0002-9242-8981; Schneider, Liesel/0000-0002-9344-6495</t>
  </si>
  <si>
    <t>10.1016/j.jenvman.2022.114505</t>
  </si>
  <si>
    <t>JAN 2022</t>
  </si>
  <si>
    <t>0F4NA</t>
  </si>
  <si>
    <t>WOS:000777336900001</t>
  </si>
  <si>
    <t>Zhao, SX; An, ZL</t>
  </si>
  <si>
    <t>Zhao Shixiu; An Zenglong</t>
  </si>
  <si>
    <t>Research on the Development Relationship Between Agricultural Mechanization and New Urbanization</t>
  </si>
  <si>
    <t>Agricultural mechanization; agricultural modernization; agricultural industrialization; new urbanization</t>
  </si>
  <si>
    <t>China is a populous country. In order to solve the problem of food and clothing for 1.4 billion people, our government is vigorously promoting the development and coordination of agricultural modernization, industrialization and new urbanization. Based on this, the relationship between agricultural mechanization and new urbanization was studied. The basic concepts and basic knowledge were introduced first. Then, the impact of agricultural mechanization and modernization and the relationship between urbanization and new urbanization was studied. Finally, it is found that the relationship between agricultural mechanization and new-type urbanization is consistent with China's reality after investigation and study.</t>
  </si>
  <si>
    <t>[Zhao Shixiu] Heilongjiang Bayi Agr Univ, Coll Engn, Daqing 163319, Peoples R China; [Zhao Shixiu] Harbin Finance Univ, Dept Investment &amp; Insurance, Harbin 150030, Heilongjiang, Peoples R China; [An Zenglong] Heilongjiang Bayi Agr Univ, Coll Econ Management, Daqing 163319, Peoples R China</t>
  </si>
  <si>
    <t>Heilongjiang Bayi Agricultural University; Harbin Finance University; Heilongjiang Bayi Agricultural University</t>
  </si>
  <si>
    <t>An, ZL (corresponding author), Heilongjiang Bayi Agr Univ, Coll Econ Management, Daqing 163319, Peoples R China.</t>
  </si>
  <si>
    <t>Key scientific and technological project of Heilongjiang Land Reclamation [HNK125B-14-07A]; Philosophy and Social Sciences Planning Project of Heilongjiang Province [16JYA01]; industrial transformation and upgrading in Heilongjiang</t>
  </si>
  <si>
    <t>Key scientific and technological project of Heilongjiang Land Reclamation; Philosophy and Social Sciences Planning Project of Heilongjiang Province; industrial transformation and upgrading in Heilongjiang</t>
  </si>
  <si>
    <t>The study was supported by the Key scientific and technological project of Heilongjiang Land Reclamation(HNK125B-14-07A) Research on the contribution of the level of Agricultural Mechanization to the development of New Urbanization in Heilongjiang Reclamation; Philosophy and Social Sciences Planning Project of Heilongjiang Province(16JYA01) Financial support for industrial transformation and upgrading in Heilongjiang under the new situation</t>
  </si>
  <si>
    <t>MAY-JUN</t>
  </si>
  <si>
    <t>FB2SI</t>
  </si>
  <si>
    <t>WOS:000405993100075</t>
  </si>
  <si>
    <t>Zetterberg, L; Chen, DL</t>
  </si>
  <si>
    <t>Zetterberg, Lars; Chen, Deliang</t>
  </si>
  <si>
    <t>The time aspect of bioenergy - climate impacts of solid biofuels due to carbon dynamics</t>
  </si>
  <si>
    <t>bioenergy; climate impacts; forest residues; global average surface temperature; radiative forcing; stumps; time aspects; willow</t>
  </si>
  <si>
    <t>HARVEST; EMISSIONS</t>
  </si>
  <si>
    <t>The climate impacts from bioenergy involve an important time aspect. Using forest residues for energy may result in high initial emissions, but net emissions are reduced over time since, if the residues were left on the ground, they would decompose and release CO2 to the atmosphere. This article investigates the climate impacts from bioenergy with special focus on the time aspects. More specifically, we analyze the climate impacts of forest residues and stumps where combustion related emissions are compensated by avoided emissions from leaving them on the ground to decompose. These biofuels are compared with fossil gas and coal. Net emissions are defined as emissions from utilizing the fuel minus emissions from a reference case of no utilization. Climate impacts are estimated using the measures radiative forcing and global average surface temperature. We find that the climate impacts from using forest residues and stumps depend on the decomposition rates and the time perspective over which the analysis is done. Over a 100year perspective, branches and tops have lower climate impacts than stumps which in turn have lower impacts than fossil gas and coal. Over a 20year time perspective, branches and tops have lower climate impacts than all other fuels but the relative difference is smaller. However, stumps have slightly higher climate impacts over 20years than fossil gas but lower impacts than coal. Regarding metrics for climate impacts, over shorter time scales, approximately 30years or less, radiative forcing overestimates the climate impacts compared with impacts expressed by global surface temperature change, which is due to the inertia of the climate system. We also find that establishing willow on earlier crop land may reduce atmospheric CO2, provided new land is available. However, these results are inconclusive since we haven't considered the effects of producing the agricultural crops elsewhere.</t>
  </si>
  <si>
    <t>[Zetterberg, Lars] IVL Swedish Environm Res Inst, SE-10031 Stockholm, Sweden; [Chen, Deliang] Univ Gothenburg, Dept Earth Sci, S-40530 Gothenburg, Sweden</t>
  </si>
  <si>
    <t>IVL Swedish Environmental Research Institute; University of Gothenburg</t>
  </si>
  <si>
    <t>Zetterberg, L (corresponding author), IVL Swedish Environm Res Inst, Box 210 60, SE-10031 Stockholm, Sweden.</t>
  </si>
  <si>
    <t>lars.zetterberg@ivl.se</t>
  </si>
  <si>
    <t>Chen, Deliang/A-5107-2013; Chen, Deliang/A-5107-2013</t>
  </si>
  <si>
    <t>Chen, Deliang/0000-0003-0288-5618; Chen, Deliang/0000-0003-0288-5618</t>
  </si>
  <si>
    <t>Swedish Energy Agency; Elforsk; Swedish Environmental Protection Agency; Formas</t>
  </si>
  <si>
    <t>Swedish Energy Agency(Swedish Energy Agency); Elforsk; Swedish Environmental Protection Agency; Formas(Swedish Research Council Formas)</t>
  </si>
  <si>
    <t>The authors thank the Swedish Energy Agency, Elforsk, The Swedish Environmental Protection Agency and Formas for funding this study. We also thank Goran Agren and Anna Repo for providing data and to Peringe Grennfelt, Heiner Kornich, Anna Lundborg, Hillevi Eriksson, Mats Olsson, Margareta Wihersaari, Anders Lindroth, Markku Rummukkainen, Bengt Hanell, Morgan Andersson, and Fredrik Martinsson for generous and valuable guidance. Finally, we thank three anonymous reviewers for providing fruitful comments on an earlier manuscript of the article.</t>
  </si>
  <si>
    <t>10.1111/gcbb.12174</t>
  </si>
  <si>
    <t>CK8ME</t>
  </si>
  <si>
    <t>WOS:000356491400020</t>
  </si>
  <si>
    <t>Rehman, A; Ma, HY; Ahmad, M; Irfan, M; Traore, O; Chandio, AA</t>
  </si>
  <si>
    <t>Rehman, Abdul; Ma, Hengyun; Ahmad, Munir; Irfan, Muhammad; Traore, Ousmane; Chandio, Abbas Ali</t>
  </si>
  <si>
    <t>Towards environmental Sustainability: Devolving the influence of carbon dioxide emission to population growth, climate change, Forestry, livestock and crops production in Pakistan</t>
  </si>
  <si>
    <t>Global warming; Energy utilization; Climate change; Agriculture production; Economic progress</t>
  </si>
  <si>
    <t>Global warming is an important issue from the last few decades and causing climate change due to carbon dioxide emission and greenhouse gases emission. The present study?s key aim is to decouple the carbon dioxide emission influence on forestry production, crops production, livestock production, energy usage, population growth, temperature and rainfall in Pakistan. Time series data was utilized ranging from 1970 to 2017, and stationarity of the data was verified by using the unit root tests, while vector autoregressive model was applied to demonstrate the dynamic interaction amid study variables. Furthermore, the Granger causality test was applied to check the causal relation amid variables. The long-run dynamics results through the vector autoregressive model show that forestry production, rainfall, and temperature have a constructive effect on carbon dioxide emission, while crops production, livestock production, energy use, and population growth have a negative effect on carbon dioxide emission. Short-run analysis outcomes also demonstrate that forestry production, crops production, livestock production, population growth, rainfall, and the temperature have a positive effect on carbon dioxide emission, while energy usage has an adverse impact on carbon dioxide emission in Pakistan. Similarly, Granger causality test results also exposed that all variables have a unidirectional association. The Pakistani government needs to take the requisite measures to curb carbon dioxide emission in order to improve agricultural production.</t>
  </si>
  <si>
    <t>[Rehman, Abdul; Ma, Hengyun] Henan Agr Univ, Coll Econ &amp; Management, Zhengzhou 450002, Peoples R China; [Ahmad, Munir] Zhejiang Univ, Sch Econ, Hangzhou 310027, Peoples R China; [Irfan, Muhammad] Beijing Inst Technol, Sch Management &amp; Econ, Beijing 100081, Peoples R China; [Irfan, Muhammad] Beijing Inst Technol, Ctr Energy &amp; Environm Policy Res, Beijing 100081, Peoples R China; [Traore, Ousmane] Anhui Univ, Sch Econ, Hefei, Peoples R China; [Chandio, Abbas Ali] Sichuan Agr Univ, Coll Econ, Chengdu, Peoples R China</t>
  </si>
  <si>
    <t>Henan Agricultural University; Zhejiang University; Beijing Institute of Technology; Beijing Institute of Technology; Anhui University; Sichuan Agricultural University</t>
  </si>
  <si>
    <t>abdrehman@henau.edu.cn; munirahmad@zju.edu.cn; irfan@ncepu.edu.cn; alichandio@sicau.edu.cn</t>
  </si>
  <si>
    <t>Ma, Hengyun/P-8034-2019; Chandio, Abbas/E-7189-2016; Rehman, Abdul/AAG-3676-2021; Ahmad, Munir/NZO-3955-2025; Irfan, Muhammad/AAL-9371-2020</t>
  </si>
  <si>
    <t>Rehman, Abdul/0000-0001-7809-5124; CHANDIO, Abbas Ali/0000-0001-8706-9681; Irfan, Muhammad/0000-0003-1446-583X</t>
  </si>
  <si>
    <t>10.1016/j.ecolind.2021.107460</t>
  </si>
  <si>
    <t>RI3XM</t>
  </si>
  <si>
    <t>WOS:000636843600004</t>
  </si>
  <si>
    <t>Persiani, A; Diacono, M; Montemurro, F</t>
  </si>
  <si>
    <t>Persiani, Alessandro; Diacono, Mariangela; Montemurro, Francesco</t>
  </si>
  <si>
    <t>Soil hydraulic arrangement and agro-ecological practices in organic rotations: effects on crop performance, soil properties and carbon balance</t>
  </si>
  <si>
    <t>Cover crops; extreme climate events; GHG emissions; mitigation and adaptation; soil carbon stocks</t>
  </si>
  <si>
    <t>COVER CROPS; CLIMATE-CHANGE; AGRONOMIC PERFORMANCE; N2O EMISSIONS; NO-TILL; AGRICULTURE; ADAPTATION; MITIGATION; NITROGEN; SYSTEMS</t>
  </si>
  <si>
    <t>Extreme climate events have increased in recent years, leading to huge losses of agricultural products. A field study of a two-year organic horticultural rotation (2015-16 and 2016-17) was conducted to evaluate the effects of soil hydraulic arrangement and cover crops management on cash crops productivity, soil carbon (C) and nitrogen (N) sequestration, greenhouse gas (GHG) emissions and C balance. The experiment consisted of two simultaneous rotation systems, a cauliflower-tomato rotation on raised beds and a zucchini-lettuce one on flat strips between them, combined with cover crops as living mulch or break crops. The results pointed out that the use of proper hydraulic arrangements may partially reduce the exposure of crops to extreme climate events, like heavy rains and floods, allowing the preservation of soil fertility. The cover crops increased the yields and enhanced the soil nutrient pools. Our study showed the important role of cover crops since the soil C stock values were significantly higher when they were used in the rotations. The analysis of the GHG emissions, C balance and C efficiency revealed that combining agro-ecological and conservation practices can improve environmental sustainability in organic farming in the Mediterranean area, allowing farmers to maintain/increase their agricultural systems sustainability.</t>
  </si>
  <si>
    <t>[Persiani, Alessandro; Diacono, Mariangela; Montemurro, Francesco] Res Ctr Agr &amp; Environm, Consiglio Ric Agr &amp; Anal Econ Agr, Bari, Italy</t>
  </si>
  <si>
    <t>Consiglio per la Ricerca in Agricoltura e L'analisi Dell'economia Agraria (CREA)</t>
  </si>
  <si>
    <t>Diacono, M (corresponding author), Res Ctr Agr &amp; Environm, Consiglio Ric Agr &amp; Anal Econ Agr, Bari, Italy.</t>
  </si>
  <si>
    <t>mariangela.diacono@crea.gov.it</t>
  </si>
  <si>
    <t>Persiani, Alessandro/ABG-9577-2020; Diacono, Mariangela/AFU-0696-2022</t>
  </si>
  <si>
    <t>Diacono, Mariangela/0000-0002-5501-8027;</t>
  </si>
  <si>
    <t>Organic Farming Office of the Italian Ministry of Agriculture</t>
  </si>
  <si>
    <t>The authors wish to acknowledge Angelo Fiore, Rosalba Scazzarriello, Marco Favale, and Angelo Raffaele Quaranta for the technical assistance and field management. This work is a result of the research projects AGROCAMBIO (Sistemi e tecniche AGROnomiche di adattamento ai CAMbiamenti climatici in sistemi agricoli BIOlogici) and RETIBIO (Attivita di supporto nel settore dell'agricoltura biologica per il mantenimento dei dispositivi sperimentali di lungo termine e il rafforzamento delle reti di relazioni esistenti a livello nazionale e internazionale), funded by the Organic Farming Office of the Italian Ministry of Agriculture.</t>
  </si>
  <si>
    <t>SEP 14</t>
  </si>
  <si>
    <t>10.1080/21683565.2022.2106009</t>
  </si>
  <si>
    <t>4C8KI</t>
  </si>
  <si>
    <t>WOS:000831151900001</t>
  </si>
  <si>
    <t>Djomo, SN; Witters, N; Van Dael, M; Gabrielle, B; Ceulemans, R</t>
  </si>
  <si>
    <t>Djomo, S. Njakou; Witters, N.; Van Dael, M.; Gabrielle, B.; Ceulemans, R.</t>
  </si>
  <si>
    <t>Impact of feedstock, land use change, and soil organic carbon on energy and greenhouse gas performance of biomass cogeneration technologies</t>
  </si>
  <si>
    <t>Perennial crops; Residues; Fixed and fluidized bed CHPs; Life cycle assessment</t>
  </si>
  <si>
    <t>LIFE-CYCLE ASSESSMENT; ENVIRONMENTAL PERFORMANCE; AGRICULTURAL LAND; CROP RESIDUES; CORN-STOVER; WOOD-ASH; BIOENERGY; GASIFICATION; PHOSPHORUS; MANAGEMENT</t>
  </si>
  <si>
    <t>Bioenergy (i.e., bioheat and bioelectricity) could simultaneously address energy insecurity and climate change. However, bioenergy's impact on climate change remains incomplete when land use changes (LUC), soil organic carbon (SOC) changes, and the auxiliary energy consumption are not accounted for in the life cycle. Using data collected from Belgian farmers, combined heat and power (CHP) operators, and a life cycle approach, we compared 40 bioenergy pathways to a fossil-fuel CHP system. Bioenergy required between 0.024 and 0.204 MJ (0.86 MJ(th) + 0.14 MJ(el))(-1), and the estimated energy ratio (energy output-to-input ratio) ranged from 5 to 42. SOC loss increased the greenhouse gas (GHG) emissions of residue based bioenergy. On average, the iLUC represented similar to 67% of the total GHG emissions of bioenergy from perennial energy crops. However, the net LUC (i.e., dLUC + iLUC) effects substantially reduced the GHG emissions incurred during all phases of bioenergy production from perennial crops, turning most pathways based on energy crops to GHG sinks. Relative to fossil-fuel based CHP all bioenergy pathways reduced GHG emissions by 8-114%. Fluidized bed technologies maximize the energy and the GHG benefits of all pathways. The size and the power-to-heat ratio for a given CHP influenced the energy and GHG performance of these bioenergy pathways. Even with the inclusion of LUC, perennial crops had better GHG performance than agricultural and forest residues. Perennial crops have a high potential in the multidimensional approach to increase energy security and to mitigate climate change. The full impacts of bioenergy from these perennial energy crops must, however, be assessed before they can be deployed on a large scale. (C) 2015 The Authors. Published by Elsevier Ltd. This is an open access article under the CC BY-NC-ND license (http://creativecommons.orgilicenses/by-nc-nd/4.0/).</t>
  </si>
  <si>
    <t>[Djomo, S. Njakou; Ceulemans, R.] Univ Antwerp, Dept Biol, Res Grp Plant &amp; Vegetat Ecol, B-2610 Antwerp, Belgium; [Witters, N.; Van Dael, M.] Hasselt Univ, Dept Econ, Res Grp Environm Econ, B-3500 Hasselt, Belgium; [Van Dael, M.] Vlaamse Instelling Technol Onderzoek, B-2400 Mol, Belgium; [Gabrielle, B.] INRA, AgroParisTech, EcoSys Res Unit, F-78850 Thiverval Grignon, France</t>
  </si>
  <si>
    <t>University of Antwerp; Hasselt University; VITO; Universite Paris Saclay; INRAE; AgroParisTech</t>
  </si>
  <si>
    <t>Djomo, SN (corresponding author), Aarhus Univ, Dept Agroecol, Blichers Alle 20, DK-8830 Tjele, Denmark.</t>
  </si>
  <si>
    <t>sylvestre.njakoudjomo@agro.au.dk</t>
  </si>
  <si>
    <t>Ceulemans, Reinhart/F-2109-2016; Gabrielle, Benoit/I-1410-2019; Ceulemans, Reinhart J/F-2109-2016; Djomo, Sylvestre/E-5330-2015; Njakou Djomo, Sylvestre/E-5330-2015</t>
  </si>
  <si>
    <t>VAN DAEL, Miet/0000-0003-0922-5735; GABRIELLE, Benoît/0000-0002-9131-2549; Ceulemans, Reinhart J/0000-0003-4773-9358; Njakou Djomo, Sylvestre/0000-0003-1828-0015</t>
  </si>
  <si>
    <t>European Research Council under the European Community [233366]</t>
  </si>
  <si>
    <t>European Research Council under the European Community(European Research Council (ERC))</t>
  </si>
  <si>
    <t>This research has received funding from the European Research Council under the European Community's Seventh Framework Programme (FP7/2007-2013), ERC grant agreement Nr. 233366 (POPFULL). Nele Witters is a post-doctoral researcher of the Flemish Science Foundation (FWO-Brussels). We thank Olivier Ghesquiere (Ardea), Gilles Gauthier (Valbiom), Kristof Mouton (Groep Mouton), and Frederic Bourgois (Xylowatt) for providing useful data.</t>
  </si>
  <si>
    <t>10.1016/j.apenergy.2015.04.097</t>
  </si>
  <si>
    <t>CP4TI</t>
  </si>
  <si>
    <t>WOS:000359875100013</t>
  </si>
  <si>
    <t>Yu, LJ; Cheng, LL; Peng, ZX; Li, TM; Liu, L; Liu, XF; Fan, PY</t>
  </si>
  <si>
    <t>Yu, Luji; Cheng, Lulu; Peng, Zhaoxu; Li, Tingmei; Liu, Lu; Liu, Xiaofang; Fan, Pengyu</t>
  </si>
  <si>
    <t>Carbon release mechanism of synthetic and agricultural solid carbon sources</t>
  </si>
  <si>
    <t>WATER AND ENVIRONMENT JOURNAL</t>
  </si>
  <si>
    <t>agricultural products; Fick diffusion; release mechanism; slow-release carbon source; synthetic polymers</t>
  </si>
  <si>
    <t>DENITRIFICATION; REMOVAL; POLYMER; SLUDGE</t>
  </si>
  <si>
    <t>Exploring slow-release carbon source is essential to improve nitrogen removal performance of low C/N wastewater. Synthetic polymers and agricultural products were selected as solid carbon source, the results showed that each solid carbon source followed the first-order release kinetic equation. The released total organic carbon of polpolycaprolactone, polybutylene succinate, polyvinyl alcohol-sodium alginate, corncob, peanut shell and obsolescent rice were 3.19, 3.49, 5.42, 29.44, 26.95 and 6.53 mg/g, respectively. Acetic was the main released short-chain fatty acid, whose proportion was higher than 80% for agricultural products and lower than 70% for synthetic polymers. For agricultural carbon source, the porosity and carbon distribution on surface was increased after carbon release, the amount of N-H and benzene rings was increased. While for synthetic carbon source, the carbon distribution on surface was decreased after carbon release. The carbon release mechanism was mainly skeleton dissolution for agricultural solid carbon source, while for synthetic carbon source, Fick diffusion was the dominated function.</t>
  </si>
  <si>
    <t>[Yu, Luji; Cheng, Lulu; Peng, Zhaoxu; Liu, Lu; Liu, Xiaofang] Zhengzhou Univ, Sch Water Conservancy &amp; Environm, Zhengzhou 450001, Henan, Peoples R China; [Li, Tingmei; Fan, Pengyu] Zhengzhou Univ, Res Ctr Environm Policy Planning &amp; Assessment, Zhengzhou 450003, Henan, Peoples R China</t>
  </si>
  <si>
    <t>Zhengzhou University; Zhengzhou University</t>
  </si>
  <si>
    <t>Yu, LJ (corresponding author), Zhengzhou Univ, Sch Water Conservancy &amp; Environm, Zhengzhou 450001, Henan, Peoples R China.</t>
  </si>
  <si>
    <t>yuluji@zzu.edu.cn</t>
  </si>
  <si>
    <t>Fan, Pengyu/ACH-1201-2022; Peng, Zhaoxu/HHS-9948-2022</t>
  </si>
  <si>
    <t>National Major Science and Technology Project for Water Pollution Control and Treatment [2015ZX07204-002]; Henan Province Key research and development and promotion special projects [182102311041]</t>
  </si>
  <si>
    <t>National Major Science and Technology Project for Water Pollution Control and Treatment; Henan Province Key research and development and promotion special projects</t>
  </si>
  <si>
    <t>The authors would like to express their thanks to the fund supported by the National Major Science and Technology Project for Water Pollution Control and Treatment (2015ZX07204-002), Henan Province Key research and development and promotion special projects(182102311041).</t>
  </si>
  <si>
    <t>1747-6585</t>
  </si>
  <si>
    <t>1747-6593</t>
  </si>
  <si>
    <t>WATER ENVIRON J</t>
  </si>
  <si>
    <t>Water Environ. J.</t>
  </si>
  <si>
    <t>10.1111/wej.12511</t>
  </si>
  <si>
    <t>SEP 2019</t>
  </si>
  <si>
    <t>Environmental Sciences; Limnology; Water Resources</t>
  </si>
  <si>
    <t>Environmental Sciences &amp; Ecology; Marine &amp; Freshwater Biology; Water Resources</t>
  </si>
  <si>
    <t>PL4GU</t>
  </si>
  <si>
    <t>WOS:000485118100001</t>
  </si>
  <si>
    <t>Rajput, P; Sarin, MM; Sharma, D; Singh, D</t>
  </si>
  <si>
    <t>Rajput, Prashant; Sarin, M. M.; Sharma, Deepti; Singh, Darshan</t>
  </si>
  <si>
    <t>Organic aerosols and inorganic species from post-harvest agricultural-waste burning emissions over northern India: impact on mass absorption efficiency of elemental carbon</t>
  </si>
  <si>
    <t>ENVIRONMENTAL SCIENCE-PROCESSES &amp; IMPACTS</t>
  </si>
  <si>
    <t>POLYCYCLIC AROMATIC-HYDROCARBONS; CHEMICAL-COMPOSITION; BLACK-CARBON; OPTICAL-PROPERTIES; ATMOSPHERIC AEROSOLS; PM2.5; PARTICLES; SULFATE; MATTER; NITRATE</t>
  </si>
  <si>
    <t>Atmospheric PM2.5 (particulate matter with aerodynamic diameter of &lt;= 2.5 mu m), collected from a source region [Patiala: 30.2 degrees N; 76.3 degrees E; 250 m above mean sea level] of emissions from post-harvest agricultural-waste (paddy-residue) burning in the Indo-Gangetic Plain (IGP), North India, has been studied for its chemical composition and impact on regional atmospheric radiative forcing. On average, organic aerosol mass accounts for 63% of PM2.5, whereas the contribution of elemental carbon (EC) is similar to 3.5%. Sulphate, nitrate and ammonium contribute up to similar to 85% of the total water-soluble inorganic species (WSIS), which constitutes similar to 23% of PM2.5. The potassium-to-organic carbon ratio from paddy-residue burning emissions (K-BB(+)/OC: 0.05 +/- 0.01) is quite similar to that reported from Amazonian and Savanna forest-fires; whereas non-sea-salt-sulphate-to-OC ratio (nss-SO42-/OC: 0.21) and nss-SO42-/EC ratio of 2.6 are significantly higher (by factor of 5 to 8). The mass absorption efficiency of EC (3.8 +/- 1.3 m(2) g(-1)) shows significant decrease with a parallel increase in the concentrations of organic aerosols and scattering species (sulphate and nitrate). A cross plot of OC/EC and nss-SO42-/EC ratios show distinct differences for post-harvest burning emissions from paddy-residue as compared to those from fossil-fuel combustion sources in south-east Asia.</t>
  </si>
  <si>
    <t>[Rajput, Prashant; Sarin, M. M.] Phys Res Lab, Geosci Div, Ahmadabad 380009, Gujarat, India; [Sharma, Deepti; Singh, Darshan] Punjabi Univ, Dept Phys, Patiala 147002, Punjab, India</t>
  </si>
  <si>
    <t>Department of Space (DoS), Government of India; Physical Research Laboratory - India; Punjabi University</t>
  </si>
  <si>
    <t>Sarin, MM (corresponding author), Phys Res Lab, Geosci Div, Ahmadabad 380009, Gujarat, India.</t>
  </si>
  <si>
    <t>sarin@prl.res.in</t>
  </si>
  <si>
    <t>Rajput, Prashant/C-6136-2014</t>
  </si>
  <si>
    <t>Rajput, Prashant/0000-0002-8132-7165; Sharma, Deepti/0000-0001-6045-8281</t>
  </si>
  <si>
    <t>Space Research Organization-Geosphere Biosphere Programme Office (Bengaluru)</t>
  </si>
  <si>
    <t>We thank Indian Space Research Organization-Geosphere Biosphere Programme Office (Bengaluru) for the funding support. We are also thankful to the Indian Meteorological Department (IMD, Punjabi University Campus) for providing surface temperature, wind and rainfall data. The authors are thankful to two anonymous reviewers for their constructive comments and suggestions.</t>
  </si>
  <si>
    <t>ROYAL SOC CHEMISTRY</t>
  </si>
  <si>
    <t>THOMAS GRAHAM HOUSE, SCIENCE PARK, MILTON RD, CAMBRIDGE CB4 0WF, CAMBS, ENGLAND</t>
  </si>
  <si>
    <t>2050-7887</t>
  </si>
  <si>
    <t>2050-7895</t>
  </si>
  <si>
    <t>ENVIRON SCI-PROC IMP</t>
  </si>
  <si>
    <t>Environ. Sci.-Process Impacts</t>
  </si>
  <si>
    <t>10.1039/c4em00307a</t>
  </si>
  <si>
    <t>Chemistry, Analytical; Environmental Sciences</t>
  </si>
  <si>
    <t>Chemistry; Environmental Sciences &amp; Ecology</t>
  </si>
  <si>
    <t>AQ9SP</t>
  </si>
  <si>
    <t>WOS:000343196600015</t>
  </si>
  <si>
    <t>Haberkon, NBR; Mendez, MJ</t>
  </si>
  <si>
    <t>Haberkon, Nancy B. Ramirez; Mendez, Mariano J.</t>
  </si>
  <si>
    <t>Soil organic carbon enrichment in the particulate matter emitted by rural soils: A laboratory assessment</t>
  </si>
  <si>
    <t>dust; land management; PM10; unpaved rural roads; wind erosion</t>
  </si>
  <si>
    <t>DUST</t>
  </si>
  <si>
    <t>The aim of this study was to assess the organic carbon (OC) content in the PM10 emitted by agricultural soils and rural roads under controlled conditions. Samples were collected from agricultural soils and rural roads. The PM10 was generated and collected using an electrostatic precipitator coupled with the Easy Dust Generator (EDG). This procedure ensures that the PM10 collected come specifically from soil. OC contents were measured in both the soil and PM10. The enrichment ratio (ER) was calculated as the ratio between OC content in the PM10 and OC content in the soil. The results showed that OC content in the PM10 ranged from 2.7% to 3.5% in agricultural soils and from 1.4% to 2.9% in rural roads. These values were comparable with the OC contents observed in fine particles transported by the wind, but lower than OC contents observed in PM10 samples collected in rural areas using active samplers and filters. A quadratic function described the association between OC in PM10 and OC in the soil. A negative potential function described the association between ERs and OC in the soil. Both associations suggested a saturation of OC in PM10 when the OC content in the soil was high. This information is crucial for a better comprehending of the dust emission role in the redistribution of OC within terrestrial ecosystems and to the atmosphere and oceans.</t>
  </si>
  <si>
    <t>[Mendez, Mariano J.] Consejo Nacl Invest Cient &amp; Tecn, Inst Earth &amp; Environm Sci La Pampa, UNLPam, INCITAP, RA-6300 Santa Rosa, Argentina; [Mendez, Mariano J.] Natl Univ La Pampa, Fac Agron, UNLPam, Santa Rosa, Argentina; [Haberkon, Nancy B. Ramirez; Mendez, Mariano J.] UNLPam, Inst Earth &amp; Environm Sci La Pampa INCITAP, CONICET, Cc 300, RA-6300 Santa Rosa, Argentina</t>
  </si>
  <si>
    <t>Consejo Nacional de Investigaciones Cientificas y Tecnicas (CONICET); Consejo Nacional de Investigaciones Cientificas y Tecnicas (CONICET)</t>
  </si>
  <si>
    <t>Haberkon, NBR; Mendez, MJ (corresponding author), UNLPam, Inst Earth &amp; Environm Sci La Pampa INCITAP, CONICET, Cc 300, RA-6300 Santa Rosa, Argentina.</t>
  </si>
  <si>
    <t>nan_brh@hotmail.com; marianomendezz@hotmail.com</t>
  </si>
  <si>
    <t>Mendez, Mariano/0000-0001-5478-9412</t>
  </si>
  <si>
    <t>Agencia Nacional de Promocion Cientifica y Tecnologica; Inter-American Development Bank; Universidad Nacional de La Pampa; [03297]</t>
  </si>
  <si>
    <t>Agencia Nacional de Promocion Cientifica y Tecnologica(ANPCyTSpanish Government); Inter-American Development Bank; Universidad Nacional de La Pampa;</t>
  </si>
  <si>
    <t>Agencia Nacional de Promocion Cientifica y Tecnologica, Grant/Award Number: 03297; Inter-American Development Bank; Universidad Nacional de La Pampa</t>
  </si>
  <si>
    <t>10.1002/ldr.5095</t>
  </si>
  <si>
    <t>PS9L4</t>
  </si>
  <si>
    <t>WOS:001181992800001</t>
  </si>
  <si>
    <t>Xu, B; Wang, FL; Wang, JQ; Zhao, SX</t>
  </si>
  <si>
    <t>Xu Bing; Wang Fulin; Wang Jiquan; Zhao Shengxue</t>
  </si>
  <si>
    <t>Establishment and verification of labor demand estimation model in planting industry</t>
  </si>
  <si>
    <t>INTERNATIONAL JOURNAL OF AGRICULTURAL AND BIOLOGICAL ENGINEERING</t>
  </si>
  <si>
    <t>planting industry; labor; estimation model; case verification; forecast evaluation</t>
  </si>
  <si>
    <t>AGRICULTURAL MECHANIZATION; STATISTICS; PROBABILITY</t>
  </si>
  <si>
    <t>In view of the poor precision of the theoretical model of labor demand estimation, it is difficult to estimate and predict the actual production problems accurately. Based on the actual production conditions and the relationship between the degree of mechanization of planting and the demand of labor force, this study established an estimation model for the labor demand of planting industry considering the factors of planting structure and mechanization degree. In order to ensure high reliability of data, the method of checking out abnormal data was adopted to obtain the cultivated land area index when the mechanization degree is from 0 to 100%. Taking Suihua region (Heilongjiang Province, China) as an example, the theory of the research was analyzed and applied. This study accessed to the data of cultivated land area per labor can afford when the mechanization level in Suihua area were 0 and 100% respectively through the investigation, and the average cultivated land area data of each labor force in two cases were sorted out and the abnormal data were eliminated at the same time. Finally, using the derived model, the data obtained and the mechanization level and cultivated land area of Suihua in the future, the labor demand amount in Suihua area from 2015 to 2019 were predicted. The model established in this study can be used to calculate the quantity of both current labor demand in planting industry and the labor demand in the various moments in the future through forecasting the future mechanization level and cultivated area which are the two main factors influencing the quantity of labor demand in planting structure.</t>
  </si>
  <si>
    <t>[Xu Bing; Wang Fulin; Wang Jiquan; Zhao Shengxue] Northeast Agr Univ, Coll Engn, 59 Mucai St, Harbin 150030, Heilongjiang, Peoples R China</t>
  </si>
  <si>
    <t>Northeast Agricultural University - China</t>
  </si>
  <si>
    <t>Xu, B (corresponding author), Northeast Agr Univ, Coll Engn, 59 Mucai St, Harbin 150030, Heilongjiang, Peoples R China.</t>
  </si>
  <si>
    <t>BingXv_0227@163.com; fulinwang1462@126.com; wang-jiquan@163.com; zhaoshengxue@163.com</t>
  </si>
  <si>
    <t>; Wang, Jiquan/HTO-8361-2023</t>
  </si>
  <si>
    <t>Wang, Jiquan/0000-0002-1498-2602;</t>
  </si>
  <si>
    <t>National Social Science Foundation of China [13BJY098]; Social Science Foundation of Heilongjiang Province [16JYB06]</t>
  </si>
  <si>
    <t>National Social Science Foundation of China(National Office of Philosophy and Social Sciences); Social Science Foundation of Heilongjiang Province</t>
  </si>
  <si>
    <t>This work was supported by National Social Science Foundation of China (13BJY098) and Social Science Foundation of Heilongjiang Province (16JYB06).</t>
  </si>
  <si>
    <t>CHINESE ACAD AGRICULTURAL ENGINEERING</t>
  </si>
  <si>
    <t>RM 506, 41, MAIZIDIAN ST, CHAOYANG DISTRICT, BEIJING, 100125, PEOPLES R CHINA</t>
  </si>
  <si>
    <t>1934-6344</t>
  </si>
  <si>
    <t>1934-6352</t>
  </si>
  <si>
    <t>INT J AGR BIOL ENG</t>
  </si>
  <si>
    <t>Int. J. Agric. Biol. Eng.</t>
  </si>
  <si>
    <t>10.25165/j.ijabe.20171006.3094</t>
  </si>
  <si>
    <t>FP8HU</t>
  </si>
  <si>
    <t>WOS:000417884400009</t>
  </si>
  <si>
    <t>Zhang, S; Xue, LH; Liu, J; Xia, LL; Jia, PP; Feng, Y; Hao, XM; Zhao, XN</t>
  </si>
  <si>
    <t>Zhang, Sheng; Xue, Lihua; Liu, Ji; Xia, Longlong; Jia, Pingping; Feng, Ying; Hao, Xingming; Zhao, Xiaoning</t>
  </si>
  <si>
    <t>Biochar application reduced carbon footprint of maize production in the saline-alkali soils</t>
  </si>
  <si>
    <t>Greenhouse gas emissions; Carbon footprint; Biochar application; Saline-alkali soils</t>
  </si>
  <si>
    <t>GREENHOUSE-GAS EMISSIONS; NITROUS-OXIDE EMISSIONS; CROP PRODUCTION; CHINA; FERTILITY; IMPACT; STRAW; AMENDMENT; N2O; AGRICULTURE</t>
  </si>
  <si>
    <t>The amendment of biochar to cropland has been recommended as a potential strategy to mitigate climate change and increase soil fertility by enhancing carbon (C) storage. Quantifying the environmental benefits and resulting carbon footprint (CF) of integrating biochar and fertilizer treatments is paramount in facing intensified human activities of agricultural land expanding under climate change, especially in fragile inland catchments for salinealkalis soils. A three-year field experiment was conducted with maize in the Tarim River Basin to monitor greenhouse gas (GHG) emissions, maize yield, soil organic carbon (SOC), and CF from 2020 to 2022. This study involved seven treatments that varied in nitrogen (N) fertilizer, irrigation, and biochar applications: (i) 0N0W (0 kg N ha-1, 0 mm, 0 t ha-1 biochar), (ii) LNLW (100 kg N ha-1, 140 mm, 0 t ha- 1 biochar), (iii) LNLWB (100 kg N ha-1, 140 mm,10 t ha- 1 biochar), (iv) MNMW (200 kg N ha-1, 220 mm, 0 t ha-1 biochar), (v) MNMWB (200 kg N ha-1, 220 mm, 10 t ha- 1 biochar), (vi) HNHW (300 kg N ha-1, 320 mm, 0 t ha-1 biochar) (conventional treatment), and (vii) HNHWB (300 kg N ha-1, 320 mm, 10 t ha- 1 biochar). The results showed that biochar amendment (LNLWB, MNMWB, HNHWB) reduced CO2 emissions by (7%, 8%, 7%), accumulative emission of CH4 and N2O (AE) (19%, 15%, 15%), greenhouse gas intensity (GHGI) (32%, 24%, 22%) and CF (77%, 61%, 56%), and increased SOC sequestration (47%, 46%, 46%), maize yield (19%, 12%, 12%) compared to no biochar (LNLW, MNMW, HNHW) CO2 emission (3355, 4141, 4619 kg CO2-C ha-1), AE (148, 221, 469 kg CO2-eq ha-1), GHGI (16.3, 21.2, 40.6 kg CO2-eq t- 1 yield), CF (1373, 1990, 2784 kg CO2-C ha-1), SOC (14.2, 15.1, 15.6 Mg C ha-1), maize yield (9.1, 10.6, 11.5 t ha-1). Furthermore, compared to HNHW, LNLWB reduced 32% CO2, 74% N2O, 89% CF, and increased 39% SOC. Overall, the biochar application (10 t ha-1) with reduced N (100 kg N ha-1) input in the Tarim River Basin, is a win-win strategy for reducing CF, enhancing C sequestration, and supporting stable food production, and it is a low-carbon agricultural strategy for farmland in saline- alkali soils.</t>
  </si>
  <si>
    <t>[Zhang, Sheng; Feng, Ying; Hao, Xingming] Chinese Acad Sci, Xinjiang Inst Ecol &amp; Geog, State Key Lab Desert &amp; Oasis Ecol, Urumqi 830011, Peoples R China; [Zhang, Sheng; Feng, Ying; Hao, Xingming] Xinjiang Aksu Oasis Agroecosyst Observat &amp; Expt St, Urumqi 830011, Peoples R China; [Zhang, Sheng; Feng, Ying; Hao, Xingming] Univ Chinese Acad Sci, Beijing 100049, Peoples R China; [Xue, Lihua] Xinjiang Acad Agr Sci, Inst Grain Crops, Urumqi 830091, Peoples R China; [Liu, Ji] Chinese Acad Sci, Inst Earth Environm, State Key Lab Loess &amp; Quaternary Geol, Xian 710061, Peoples R China; [Xia, Longlong] Chinese Acad Sci, Inst Soil Sci, State Key Lab Soil &amp; Sustainable Agr, Nanjing 210008, Peoples R China; [Jia, Pingping; Zhao, Xiaoning] Nanjing Univ Informat Sci &amp; Technol, Sch Geog Sci, Nanjing 210044, Peoples R China</t>
  </si>
  <si>
    <t>Chinese Academy of Sciences; Xinjiang Institute of Ecology &amp; Geography, CAS; Chinese Academy of Sciences; University of Chinese Academy of Sciences, CAS; Xinjiang Academy of Agricultural Sciences; Chinese Academy of Sciences; Institute of Earth Environment, CAS; Chinese Academy of Sciences; Nanjing Institute of Soil Science, CAS; Nanjing University of Information Science &amp; Technology</t>
  </si>
  <si>
    <t>Zhao, XN (corresponding author), Nanjing Univ Informat Sci &amp; Technol, Sch Geog Sci, Nanjing 210044, Peoples R China.</t>
  </si>
  <si>
    <t>jasminezxnsx@msn.com</t>
  </si>
  <si>
    <t>Liu, Ji/HSB-3434-2023; 郝, 兴明/P-6540-2018; Xia, Longlong/AAU-5148-2021; FENG, YING/KWU-9364-2024; JIA, Pingping/GRE-8727-2022</t>
  </si>
  <si>
    <t>Liu, Ji/0000-0003-2496-9521; 郝, 兴明/0000-0002-0431-1354;</t>
  </si>
  <si>
    <t>Xinjiang Tianchi Specially-Appointed Professor Project; Jiangsu Specially-Appointed Professor Project [R2020T29]; National Natural Science Foundation of China [32060433, 42271076]; Natural Science Fund for Distinguished Young Scholars of Xinjiang Uygur Autonomous Region [2022D01E02]</t>
  </si>
  <si>
    <t>Xinjiang Tianchi Specially-Appointed Professor Project; Jiangsu Specially-Appointed Professor Project; National Natural Science Foundation of China(National Natural Science Foundation of China (NSFC)); Natural Science Fund for Distinguished Young Scholars of Xinjiang Uygur Autonomous Region(National Natural Science Foundation of China (NSFC)National Science Fund for Distinguished Young Scholars)</t>
  </si>
  <si>
    <t>This work was supported by the Xinjiang Tianchi Specially-Appointed Professor Project; the Jiangsu Specially -Appointed Professor Project [grant number R2020T29] ; the National Natural Science Foundation of China [grant numbers 32060433, 42271076] ; the Science and Technology Basic Resources Survey special [2018FY100704] and Natural Science Fund for Distinguished Young Scholars of Xinjiang Uygur Autonomous Region, Grant/Award Number: 2022D01E02.</t>
  </si>
  <si>
    <t>JUL 1</t>
  </si>
  <si>
    <t>10.1016/j.agee.2024.109001</t>
  </si>
  <si>
    <t>QO3P5</t>
  </si>
  <si>
    <t>WOS:001221777500001</t>
  </si>
  <si>
    <t>Jiang, HT; Yin, J; Wei, DQ; Luo, XY; Ding, Y; Xia, RC</t>
  </si>
  <si>
    <t>Jiang, Hongtao; Yin, Jian; Wei, Danqi; Luo, Xinyuan; Ding, Yi; Xia, Ruici</t>
  </si>
  <si>
    <t>Industrial carbon emission efficiency prediction and carbon emission reduction strategies based on multi-objective particle swarm optimization-backpropagation: A perspective from regional clustering</t>
  </si>
  <si>
    <t>Industrial carbon emission efficiency; Spatially constrained multivariate clustering; Multi-objective particle swarm optimization; BP neural network; Geographical detector; Multi-scale geographically weighted regression</t>
  </si>
  <si>
    <t>CO2 EMISSIONS; GROWTH</t>
  </si>
  <si>
    <t>Against the backdrop of global climate change, industrial carbon emission reduction has become an important pathway to for global low-carbon development. This study constructs a framework of geographic spatial con-straints regionalization and multi-objective machine learning to predict future industrial carbon emission effi-ciency (ICEE) and explore strategies for carbon emission reduction. Firstly, the ICEE of 285 Chinese cities were calculated by the super-efficiency slacks-based measure. Secondly, the cities were classified into four ICEE level regions through the spatially constrained multivariate clustering. Next, the multi-objective particle swarm optimization-BP (MOPSO-BP) model was constructed to predict the future trends of ICEE in the four regions. Finally, the geographical detector and multi-scale geographically weighted regression were employed for exploring driving force and carbon emission reduction strategies in different regions. The results show that most cities had low or medium ICEE, while super efficiency cities were mainly distributed in the east coastal areas. The prediction performance of the MOPSO-BP model for the four regions was better than the ordinary particle swarm optimization-BP and traditional BP model. Except for the Agricultural Production Region, there is considerable room for improving the ICEE of other regions over the next decade. Macroeconomic and microeconomic development have a global effect in promoting regional ICEE improvement, urban construction shows a promoting or inhibiting effect in different regions, and information technology has significant spatial heterogeneity in its influence within each region. The analysis framework developed in the study is a reliable solution for managing and planning ICEE and provides constructive suggestions for future regional low-carbon development.</t>
  </si>
  <si>
    <t>[Jiang, Hongtao; Yin, Jian] Guizhou Univ Finance &amp; Econ, Ctr China Western Modernizat, Guiyang 550025, Guizhou, Peoples R China; [Jiang, Hongtao; Yin, Jian; Wei, Danqi; Luo, Xinyuan; Ding, Yi; Xia, Ruici] Guizhou Univ Finance &amp; Econ, Coll Big Data Applicat &amp; Econ, Guiyang 550025, Guizhou, Peoples R China; [Jiang, Hongtao; Yin, Jian] Key Lab Green Fintech, Guiyang 550025, Peoples R China; [Yin, Jian] Guizhou Univ Finance &amp; Econ, Ctr China Western Modernizat, Guiyang 550025, Guizhou, Peoples R China</t>
  </si>
  <si>
    <t>Guizhou University of Finance &amp; Economics; Guizhou University of Finance &amp; Economics; Guizhou University of Finance &amp; Economics</t>
  </si>
  <si>
    <t>Yin, J (corresponding author), Guizhou Univ Finance &amp; Econ, Ctr China Western Modernizat, Guiyang 550025, Guizhou, Peoples R China.</t>
  </si>
  <si>
    <t>yingufe@mail.gufe.edu.cn</t>
  </si>
  <si>
    <t>尹, 剑/JMC-8800-2023; Luo, Xinyuan/LFS-8270-2024; Ding, Yi/OJV-0281-2025</t>
  </si>
  <si>
    <t>Philosophy and Social Science Plan-ning Project of Guizhou, China [21GZZD59]; Scientific Research Project of Guizhou University of Finance and Economics [2022ZXSY007]</t>
  </si>
  <si>
    <t>Philosophy and Social Science Plan-ning Project of Guizhou, China; Scientific Research Project of Guizhou University of Finance and Economics</t>
  </si>
  <si>
    <t>Acknowledgements This study is supported by the Philosophy and Social Science Plan-ning Project of Guizhou, China (21GZZD59) , and the Scientific Research Project of Guizhou University of Finance and Economics (2022ZXSY007) .</t>
  </si>
  <si>
    <t>10.1016/j.scitotenv.2023.167692</t>
  </si>
  <si>
    <t>Y0YY5</t>
  </si>
  <si>
    <t>WOS:001102623100001</t>
  </si>
  <si>
    <t>Chen, LF</t>
  </si>
  <si>
    <t>Chen, Long-Fei</t>
  </si>
  <si>
    <t>Green certification, e-commerce, and low-carbon economy for international tourist hotels</t>
  </si>
  <si>
    <t>Green certification; Cross-border e-commerce; Environment education; Low-carbon economy; International tourist hotel (ITH); Data envelopment analysis (DEA); Public health</t>
  </si>
  <si>
    <t>EFFICIENCY; SYSTEMS</t>
  </si>
  <si>
    <t>Increasing population and over-consumption are placing unprecedented demands on agriculture and natural resources. The Earth is suffering from global warning and environmental destruction while our agricultural systems are concurrently degrading land, water, biodiversity, and climate on a global scale. For a sustainable future, green certification, e-commerce, and environment education can boost low-carbon economy with decreasing carbon emissions, but very few researches address them for the hotel industry. This research studies the performance impact of e-commerce, international hotel chain, local hotel chain, and green certification for carbon emission reductions of international tourist hotels of Taiwan. It reveals that, after a sufficiently long time, there is an improvement in the environmental and economic performance of the green-certified hotel group. In addition, it reveals that, as recommended by the operation policy, the international hotel chain group together with e-commerce has better performance than local hotel chain. It is also discussed how to sustain the continuing improvement in low-carbon performance of the hotel industry.</t>
  </si>
  <si>
    <t>[Chen, Long-Fei] Sun Yat Sen Univ, NanFang Coll, Guangzhou 510970, Guangdong, Peoples R China; [Chen, Long-Fei] Australian Natl Univ, Canberra, ACT, Australia</t>
  </si>
  <si>
    <t>Sun Yat Sen University; Nanfang College, Guangzhou; Australian National University</t>
  </si>
  <si>
    <t>Chen, LF (corresponding author), Sun Yat Sen Univ, NanFang Coll, Guangzhou 510970, Guangdong, Peoples R China.;Chen, LF (corresponding author), Australian Natl Univ, Canberra, ACT, Australia.</t>
  </si>
  <si>
    <t>y2kmorg@yahoo.com</t>
  </si>
  <si>
    <t>; Chen, LongFei/AAI-1277-2019</t>
  </si>
  <si>
    <t>Chen, Long-Fei/0000-0002-8203-652X;</t>
  </si>
  <si>
    <t>key subject of the provincial characteristics of the Nanfang College of Sun Yat-sen University; R&amp;D project Green IOT data, information security, application of smart buildings from Nanfang College of Sun Yat-sen University</t>
  </si>
  <si>
    <t>The fund was sponsored by The key subject of the provincial characteristics of the Nanfang College of Sun Yat-sen University - the funding for the construction of electronic commerce project and the R&amp;D project Green IOT data, information security, application of smart buildings from Nanfang College of Sun Yat-sen University. The author also wants to thank ANU professor Robert Costanza and Ida Kubiszewski for their valuable explanation about why are ecosystem services are importantly related to environmental performance and CSR and well-being beyond current GDP calculation.</t>
  </si>
  <si>
    <t>10.1007/s11356-018-2161-5</t>
  </si>
  <si>
    <t>ID5ON</t>
  </si>
  <si>
    <t>WOS:000471725900012</t>
  </si>
  <si>
    <t>Zhou, Y; Zheng, LF; Zhou, XN; Hu, XS; Wu, ZL; Zhou, CJ; Li, D</t>
  </si>
  <si>
    <t>Zhou, Yuan; Zheng, Li-feng; Zhou, Xin-nian; Hu, Xi-sheng; Wu, Zhi-long; Zhou, Cheng-jun; Li, Dan</t>
  </si>
  <si>
    <t>GREENHOUSE GAS (GHG) EMISSIONS AND THE OPTIMUM OPERATION MODEL OF TIMBER PRODUCTION SYSTEMS IN SOUTHERN CHINA</t>
  </si>
  <si>
    <t>Timber production; Operation models; GHG emissions; Life cycle assessment; Emission reduction; Energy consumption</t>
  </si>
  <si>
    <t>CARBON FOOTPRINT; ENERGY-CONSUMPTION; TEMPERATURE-DEPENDENCE; FOREST; ELECTRICITY; NETWORK; SEQUESTRATION; DYNAMICS; MIGRANTS; INDUSTRY</t>
  </si>
  <si>
    <t>Deforestation as an activity of forest management is an intermediate link in timber production. Different models of timber production make a difference in GHG emissions and to a certain extent affect the sustainable development of the ecological environment. Accordingly, due to global climate change, energy conservation and emission reduction have become critical issues concerning all humans. This paper taking the operating systems of timber production in the southern China, as a case study, and GHG emissions and the optimum operation model of timber production are analysed with the B2B model of life cycle assessment (LCA) and the current forest industry standard. The results indicate that the total emissions of GHG range between 11.600 9 kg/m(3) and 15.303 6 kg/m(3), accounting for approximately 4.5 percent to 5.5 percent of their carbon sequestration abilities. Direct GHG emissions generated by fuel consumption during harvesting, skidding, loading, transportation and production are the primary emissions, accounting for approximately 69.1 percent to 91.5 percent of the total emissions. Moreover, the emission of every type of GHG is lowest under model IV (which included chainsaw cutting, cableway skidding, winch loading, diesel vehicle transportation and vehicle transmission). From the perspective of ecology, therefore, model IV is the optimal operation model. On the other hand, the emission from timber transportation is highest, accounting for approximately 61.5 percent to 72.3 percent. Therefore, appropriate operation models should be choose according to the mechanical production and management, production tasks and scales, foundations of forest mechanization and economic conditions. In terms of carbon reduction, improvement of the mechanical equipment efficiency, operation skills and utilization of new energy resources should be considered.</t>
  </si>
  <si>
    <t>[Zhou, Yuan; Zheng, Li-feng; Zhou, Xin-nian; Hu, Xi-sheng; Wu, Zhi-long; Zhou, Cheng-jun; Li, Dan] Fujian Agr &amp; Forestry Univ, Sch Transportat &amp; Civil Engn, Fuzhou 350002, Fujian, Peoples R China</t>
  </si>
  <si>
    <t>Fujian Agriculture &amp; Forestry University</t>
  </si>
  <si>
    <t>Zheng, LF (corresponding author), Fujian Agr &amp; Forestry Univ, Sch Transportat &amp; Civil Engn, Fuzhou 350002, Fujian, Peoples R China.</t>
  </si>
  <si>
    <t>z.y.smart@163.com</t>
  </si>
  <si>
    <t>National Natural Science Foundation of China [31070567, 30972359]; Fujian province natural science foundation project of Fujian Province, China [2013701072]; University Development Foundation of Fujian Agriculture and Forestry University [113-612014018]</t>
  </si>
  <si>
    <t>National Natural Science Foundation of China(National Natural Science Foundation of China (NSFC)); Fujian province natural science foundation project of Fujian Province, China; University Development Foundation of Fujian Agriculture and Forestry University</t>
  </si>
  <si>
    <t>This study was supported by the National Natural Science Foundation of China (31070567 and 30972359), Fujian province natural science foundation project of Fujian Province, China (2013701072) and the University Development Foundation of Fujian Agriculture and Forestry University (113-612014018).</t>
  </si>
  <si>
    <t>11A</t>
  </si>
  <si>
    <t>DA3LI</t>
  </si>
  <si>
    <t>WOS:000367698500006</t>
  </si>
  <si>
    <t>Zeng, J; Yue, FJ; Xiao, M; Wang, ZJ; Wu, QX; Qin, CQ</t>
  </si>
  <si>
    <t>Zeng, Jie; Yue, Fu-Jun; Xiao, Min; Wang, Zhong-Jun; Wu, Qixin; Qin, Cai-Qing</t>
  </si>
  <si>
    <t>Dissolved organic carbon in rainwater from a karst agricultural area of Southwest China: Variations, sources, and wet deposition fluxes</t>
  </si>
  <si>
    <t>ATMOSPHERIC RESEARCH</t>
  </si>
  <si>
    <t>Rainwater DOC; Source identification; Karst agricultural area; Wet deposition</t>
  </si>
  <si>
    <t>3 REMOTE STATIONS; CHEMICAL-COMPOSITION; NITROGEN-DEPOSITION; SEASONAL-VARIATIONS; TIBETAN PLATEAU; PRECIPITATION; AEROSOLS; MATTER; WATER; GEOCHEMISTRY</t>
  </si>
  <si>
    <t>Dissolved organic carbon (DOC) plays a key role among the earth-surficial ecosystem, particularly in the climate change, but very few researches focused on the rainwater DOC in karst agricultural region (vulnerable agroecosystem). To identify the concentrations, seasonal variations, controlling factors, deposition fluxes, and potential sources of DOC in rainwater, 85 rainwater samples were collected at the Houzhai catchment, a representative karst agriculture-intensive region in Southwest China, from June 2016 to May 2017. The concentrations and deposition flux of DOC were 0.63 mg C L-1 (volume-weighted mean) and 0.67 g C m(-2) yr(-1). These values were lower than the Asian average value, reflecting a low level of contaminated atmospheric organic carbon in the studied area. Seasonally, low DOC concentrations were often accompanied by high deposition flux during the rainy season (heavy rainfall), suggesting that the amount of rainfall is the critical factor controlling the rainwater DOC. Moreover, long-distance migration and anthropogenic emissions were also the non-negligible impact factors. The source identification showed that both agriculture-related volatilization and fossil fuel burning (mainly coal-combustion) were the primary sources of rainwater DOC according to the correlation analysis with the major ions (typical indicators), while the contribution of other origins (e.g., plant-released, biomass burning, and windblown dust) were limited. This study clearly explores the karst-agricultural wet deposition process of DOC that would strongly benefit the study of the global carbon biogeochemical cycle.</t>
  </si>
  <si>
    <t>[Zeng, Jie] China Univ Geosci Beijing, Inst Earth Sci, Beijing 100083, Peoples R China; [Yue, Fu-Jun; Qin, Cai-Qing] Tianjin Univ, Inst Surface Earth Syst Sci, Sch Earth Syst Sci, Tianjin 300072, Peoples R China; [Yue, Fu-Jun] Tianjin Univ, Tianjin Key Lab Earth Crit Zone Sci &amp; Sustainable, Tianjin 300072, Peoples R China; [Yue, Fu-Jun; Wang, Zhong-Jun] Chinese Acad Sci, Inst Geochem, Puding Karst Ecosyst Res Stn, Anshun 562100, Peoples R China; [Xiao, Min] Tianjin Normal Univ, Tianjin Key Lab Water Resources &amp; Environm, Tianjin, Peoples R China; [Wu, Qixin] Guizhou Univ, Key Lab Karst Environm &amp; Geohazard, Minist Land &amp; Resources, Guiyang 550025, Peoples R China</t>
  </si>
  <si>
    <t>China University of Geosciences; Tianjin University; Tianjin University; Chinese Academy of Sciences; Institute of Geochemistry, CAS; Tianjin Normal University; Ministry of Natural Resources of the People's Republic of China; Guizhou University</t>
  </si>
  <si>
    <t>Yue, FJ (corresponding author), Tianjin Univ, Inst Surface Earth Syst Sci, Sch Earth Syst Sci, Tianjin 300072, Peoples R China.</t>
  </si>
  <si>
    <t>fujun_yue@tju.edu.cn</t>
  </si>
  <si>
    <t>Qin, Caiqing/AFJ-4754-2022; Wang, Zhongjun/GPW-6755-2022; Yue, Fu-Jun/K-7305-2017; Zeng, Jie/LSL-5624-2024</t>
  </si>
  <si>
    <t>Qin, Caiqing/0000-0001-6055-9322; Yue, Fu-Jun/0000-0003-3733-7216; Zeng, Jie/0000-0002-9969-8749</t>
  </si>
  <si>
    <t>Strategic Priority Research Program of Chinese Academy of Sciences [XDB40000000]; National Natural Science Foundation of China [41571130072]; Independent Innovative Foundation of Tianjin University [2020XY-0025]; Fundamental Research Funds for the Central Universities [2652019247]</t>
  </si>
  <si>
    <t>Strategic Priority Research Program of Chinese Academy of Sciences(Chinese Academy of Sciences); National Natural Science Foundation of China(National Natural Science Foundation of China (NSFC)); Independent Innovative Foundation of Tianjin University; Fundamental Research Funds for the Central Universities(Fundamental Research Funds for the Central Universities)</t>
  </si>
  <si>
    <t>This research was funded by the Strategic Priority Research Program of Chinese Academy of Sciences, Grant No. XDB40000000; National Natural Science Foundation of China [grant number 41571130072]; Independent Innovative Foundation of Tianjin University [grant number 2020XY-0025]; the Fundamental Research Funds for the Central Universities [grant number 2652019247].</t>
  </si>
  <si>
    <t>0169-8095</t>
  </si>
  <si>
    <t>1873-2895</t>
  </si>
  <si>
    <t>ATMOS RES</t>
  </si>
  <si>
    <t>Atmos. Res.</t>
  </si>
  <si>
    <t>10.1016/j.atmosres.2020.105140</t>
  </si>
  <si>
    <t>NM0EU</t>
  </si>
  <si>
    <t>WOS:000567779300003</t>
  </si>
  <si>
    <t>Chen, HX; Gao, B; Guo, YH; Yu, QK; Hu, MS; Zhang, XF</t>
  </si>
  <si>
    <t>Chen, Hongxu; Gao, Bo; Guo, Yuehong; Yu, Qiankui; Hu, Maosheng; Zhang, Xingfeng</t>
  </si>
  <si>
    <t>Adding carbon sources to the substrates enhances Cr and Ni removal and mitigates greenhouse gas emissions in constructed wetlands</t>
  </si>
  <si>
    <t>Leersia hexandra; Heavy metal removal; Microbial community; Peat; Humic acid; Biochar</t>
  </si>
  <si>
    <t>LEERSIA-HEXANDRA SWARTZ; HEAVY-METAL IONS; BACTERIAL COMMUNITIES; AGRICULTURAL SOIL; BIOCHAR; MECHANISMS; CHROMIUM; ACCUMULATION; BIOSORPTION; WASTEWATERS</t>
  </si>
  <si>
    <t>Constructed wetlands for wastewater treatment pose challenges related to long-term operational efficiency and greenhouse gas emissions on a global scale. This study investigated the impact of adding peat, humic acid, and biochar into the substrates of constructed wetlands and focused on Cr, and Ni removal, greenhouse gas emissions, and microbial communities in constructed wetlands. Biochar addition treatment achieved the highest removal efficiencies for total Cr (99.96%), Cr (VI) (100%), and total Ni (91.04%). Humic acid and biochar addition both significantly increased the heavy metal content in wetland plant Leersia hexandra and substrates of constructed wetlands. Further analysis of microbial community proportions by high-throughput sequencing revealed that biochar and humic acid treatments enhanced Cr and Ni removal efficiency by increasing the abundance of Bacteroidetes, Geobacter and Ascomycota. Humic acid addition treatment reduced CO2 2 emissions by decreasing the abundance of Bacteroidetes and increasing that of Basidiomycota. Peat treatment decreased CH4 4 emissions by reducing the abundance of the Bacteroidetes. Biochar treatment increased the abundance of the Firmicutes, Bacteroidetes, Proteobacteria as well as Basidiomycota, resulting in reduced N2O 2 O emissions. Biochar and humic acid treatments efficiently removed heavy metals from wastewater and mitigated greenhouse gas emissions in constructed wetlands by modifying the microbial communities.</t>
  </si>
  <si>
    <t>[Chen, Hongxu; Guo, Yuehong; Yu, Qiankui; Hu, Maosheng; Zhang, Xingfeng] Guilin Univ Technol, Coll Environm Sci &amp; Engn, Guangxi Key Lab Environm Pollut Control Theory &amp; T, Guilin 541004, Peoples R China; [Gao, Bo] Guilin Univ Technol, Coll Tourism &amp; Landscape Architecture, Guilin 541004, Peoples R China; [Chen, Hongxu; Guo, Yuehong; Yu, Qiankui; Hu, Maosheng; Zhang, Xingfeng] Guilin Univ Technol, Collaborat Innovat Ctr Water Pollut Control &amp;Water, Guilin 541004, Peoples R China; [Gao, Bo] Guilin Univ Technol, Coll Plant &amp; Ecol Engn, Guilin 541004, Peoples R China</t>
  </si>
  <si>
    <t>Guilin University of Technology; Guilin University of Technology; Guilin University of Technology; Guilin University of Technology</t>
  </si>
  <si>
    <t>Zhang, XF (corresponding author), Guilin Univ Technol, Coll Environm Sci &amp; Engn, Guangxi Key Lab Environm Pollut Control Theory &amp; T, Guilin 541004, Peoples R China.</t>
  </si>
  <si>
    <t>zhangxf@glut.edu.cn</t>
  </si>
  <si>
    <t>Gao, Bo/0000-0003-0980-2897; Zhang, Xingfeng/0009-0000-7138-4759; Yu, Qiankui/0009-0000-7465-0768; Chen, Hongxu/0009-0007-5455-0760</t>
  </si>
  <si>
    <t>National Natural Science Foundation of China [42107025]; Natural Science Foundation of Guangxi [2018GXNSFAA138045]; Institute of Guangxi Tourism Industry [LYCY2023-12]; New Agricultural Research and Reform Practice Project of Guangxi [XNK2022006]; Scientific Research Foundation of Guilin University of Technology</t>
  </si>
  <si>
    <t>National Natural Science Foundation of China(National Natural Science Foundation of China (NSFC)); Natural Science Foundation of Guangxi(National Natural Science Foundation of Guangxi Province); Institute of Guangxi Tourism Industry; New Agricultural Research and Reform Practice Project of Guangxi; Scientific Research Foundation of Guilin University of Technology</t>
  </si>
  <si>
    <t>This work was supported by the National Natural Science Foundation of China (42107025) , Natural Science Foundation of Guangxi (2018GXNSFAA138045) , Institute of Guangxi Tourism Industry (LYCY2023-12) , New Agricultural Research and Reform Practice Project of Guangxi (XNK2022006) and Scientific Research Foundation of Guilin University of Technology. We thank Elsevier Language Services (http://webshop.elsevier.cn) for its linguistic assistance during the preparation of this manuscript.</t>
  </si>
  <si>
    <t>10.1016/j.envres.2024.118940</t>
  </si>
  <si>
    <t>D2R6Z</t>
  </si>
  <si>
    <t>WOS:001294715200001</t>
  </si>
  <si>
    <t>Tsalidis, GA; Kryona, ZP; Hatzisavva, K; Korevaar, G; Rapsomanikis, S</t>
  </si>
  <si>
    <t>Tsalidis, Georgios Archimidis; Kryona, Zoi-Panagiota; Hatzisavva, Kiriaki; Korevaar, Gijsbert; Rapsomanikis, Spyridon</t>
  </si>
  <si>
    <t>Carbon Assessment of Greek Organic Red Wine with Life Cycle Assessment and Planetary Boundaries</t>
  </si>
  <si>
    <t>CO2; viticulture; product environmental footprint; climate change; planetary boundaries</t>
  </si>
  <si>
    <t>FOOTPRINT; INDUSTRY</t>
  </si>
  <si>
    <t>Life cycle assessment (LCA) is a reference methodology to evaluate environmental impacts along supply chains of products. Planetary boundaries (PBs) were developed to define the safe operating space (SOS) for humanity. So far, no study has investigated whether wine production and consumption result in crossing the planetary boundary of climate change and no SOS has been calculated for wine production in Greece. Our study applies an LCA according to the European Product footprint environmental category rules to calculate the climate change score of a bottle of 0.75 L of Greek red organic wine in 2021 and 2026, and also applies planetary boundaries to investigate whether the climate change boundary is exceeded. The latter employed the calculation of a SOS based on four partitioning methods: grandfathering principle, economic value, agricultural land area use, and calorific content. The LCA results showed that wine is a carbon emitter. The 2021, 2026-Low yield, and 2026-High yield systems resulted in positive climate change scores between 0.69-1.14 kg CO2 eq.bottle wine(-1). The PBs revealed that carbon emissions of wine production in 2021 exceeded all four SOSs, while carbon emissions of expected wine production in 2026 remained within the SOS of grandfathering, economic value and agricultural land area use partitionings, but exceeded the SOS of the caloric content partitioning. The PB method can be complementary to LCA results in terms of providing context to decision-makers in business and public policy on whether red organic wine production and consumption remain within ecological constraints on human development.</t>
  </si>
  <si>
    <t>[Tsalidis, Georgios Archimidis; Kryona, Zoi-Panagiota; Rapsomanikis, Spyridon] Athena Res &amp; Innovat Ctr Informat Commun &amp; Knowled, Environm &amp; Networking Technol &amp; Applicat Unit, Xanthi 67100, Greece; [Tsalidis, Georgios Archimidis] Imperial Coll London, Dept Civil &amp; Environm Engn, London SW7 2BU, England; [Tsalidis, Georgios Archimidis] Democritus Univ Thrace, Dept Environm Engn, Xanthi 67100, Greece; [Hatzisavva, Kiriaki] Hatzisavva Vineyards &amp; Winery, Alexandroupolis 68100, Greece; [Korevaar, Gijsbert] Delft Univ Technol, Engn Syst &amp; Serv Dept, NL-2628 BL Delft, Netherlands</t>
  </si>
  <si>
    <t>Imperial College London; Democritus University of Thrace; Delft University of Technology</t>
  </si>
  <si>
    <t>Tsalidis, GA (corresponding author), Athena Res &amp; Innovat Ctr Informat Commun &amp; Knowled, Environm &amp; Networking Technol &amp; Applicat Unit, Xanthi 67100, Greece.;Tsalidis, GA (corresponding author), Imperial Coll London, Dept Civil &amp; Environm Engn, London SW7 2BU, England.;Tsalidis, GA (corresponding author), Democritus Univ Thrace, Dept Environm Engn, Xanthi 67100, Greece.</t>
  </si>
  <si>
    <t>g.tsalidis@imperial.ac.uk; zoipkryo@athenarc.gr; g.korevaar@tudelft.nl</t>
  </si>
  <si>
    <t>; Tsalidis, Georgios/AAE-8496-2020</t>
  </si>
  <si>
    <t>Kryona, Zoi Panagiota/0000-0001-5520-4084; Tsalidis, Georgios Archimidis/0000-0002-0670-1751; Korevaar, Gijsbert/0000-0001-7429-680X;</t>
  </si>
  <si>
    <t>Agriculture 4.0 for new farmers [MIS 5046239]; Operational Programme Competitiveness, Entrepreneurship and Innovation (NSRF) - European Union (European Regional Development Fund)</t>
  </si>
  <si>
    <t>Agriculture 4.0 for new farmers; Operational Programme Competitiveness, Entrepreneurship and Innovation (NSRF) - European Union (European Regional Development Fund)</t>
  </si>
  <si>
    <t>We acknowledge the support of this work by the project AGRO4+-Holistic approach to Agriculture 4.0 for new farmers (MIS 5046239) which is implemented under the Action Reinforcement of the Research and Innovation Infrastructure, funded by the Operational Programme Competitiveness, Entrepreneurship and Innovation (NSRF 2014-2020) and co-financed by Greece and the European Union (European Regional Development Fund).</t>
  </si>
  <si>
    <t>MAR 28</t>
  </si>
  <si>
    <t>10.3390/su17073006</t>
  </si>
  <si>
    <t>1IY9J</t>
  </si>
  <si>
    <t>WOS:001466145100001</t>
  </si>
  <si>
    <t>Shin, J; Hong, SG; Lee, S; Hong, S; Lee, J</t>
  </si>
  <si>
    <t>Shin, JoungDu; Hong, Seung Gil; Lee, SunIl; Hong, SungChang; Lee, JongSik</t>
  </si>
  <si>
    <t>Estimation of soil carbon sequestration and profit analysis on mitigation of CO2-eq. emission in cropland cooperated with compost and biochar</t>
  </si>
  <si>
    <t>APPLIED BIOLOGICAL CHEMISTRY</t>
  </si>
  <si>
    <t>Biochar; Composted manure; Corn cultivation; Soil carbon sequestration</t>
  </si>
  <si>
    <t>CLIMATE-CHANGE; NITROGEN; GROWTH</t>
  </si>
  <si>
    <t>Only a few have evaluated the mitigation of greenhouse emissions and profit analysis along with soil carbon sequestration for corn cultivation. This experiment was conducted to evaluate the carbon sequestration and mitigation of greenhouse gas emissions as well as their profit analysis with different composts mixed with biochar during corn cultivation. This experimental data provided the second year of corn cultivation. The soil type used was clay loam. The application amounts of synthetic fertilizer and biochar were 220-30-155 kg ha(-1) (N-P-K) as the recommended amount after soil analysis and 2600 kg ha(-1) based on 1.3% of soil bulk density. For the biannual experimental results, it appeared that carbon sequestration in cow manure cooperated with biochar was highest at 2.3 tons ha(-1) and recovered from 67.3 to 78.5% with biochar application. Furthermore, mitigation of CO2-eq. emission as greenhouse gases was estimated to be at 7.3-8.4 MT ha(-1), and its profit was evaluated from $7.2 to 8.4 as lowest, from $57.2 to 66.6 as medium and from $139.7 to 162.7 as highest per hectare regardless of organic compost types used. For agricultural practice in Korea, it is evaluated that the market price of CO2 in corn field cooperated with 2600 kg ha(-1) of biochar application ranged from $57.2 to 162.7 per hectare in Korean Climate Exchange. For corn biomass, the treatment with biochar application did not significantly decrease compared with the only organic compost application. Based on these experimental results, it might be applied for carbon trading with clean development mechanism for agricultural practices.</t>
  </si>
  <si>
    <t>[Shin, JoungDu; Hong, Seung Gil; Lee, SunIl; Hong, SungChang; Lee, JongSik] Rural Dev Adm, Natl Inst Agr Sci, Agr Environm Dept, Wonju 55365, South Korea</t>
  </si>
  <si>
    <t>Rural Development Administration (RDA); National Institute of Agricultural Sciences</t>
  </si>
  <si>
    <t>Shin, J (corresponding author), Rural Dev Adm, Natl Inst Agr Sci, Agr Environm Dept, Wonju 55365, South Korea.</t>
  </si>
  <si>
    <t>jdshin1@korea.kr</t>
  </si>
  <si>
    <t>HONG, SeungGil/0000-0002-5214-8061</t>
  </si>
  <si>
    <t>National Institute of Agricultural Sciences, Rural Development Administration beyond Research Program of Agricultural Science &amp; Technology Development [PJ010920]</t>
  </si>
  <si>
    <t>National Institute of Agricultural Sciences, Rural Development Administration beyond Research Program of Agricultural Science &amp; Technology Development</t>
  </si>
  <si>
    <t>We thank to National Institute of Agricultural Sciences, Rural Development Administration beyond Research Program of Agricultural Science &amp; Technology Development for funding the study (Project No. PJ010920).</t>
  </si>
  <si>
    <t>#04-01 CENCON I, 1 TANNERY RD, SINGAPORE 347719, SINGAPORE</t>
  </si>
  <si>
    <t>2468-0834</t>
  </si>
  <si>
    <t>2468-0842</t>
  </si>
  <si>
    <t>APPL BIOL CHEM</t>
  </si>
  <si>
    <t>Appl. Biol. Chem.</t>
  </si>
  <si>
    <t>10.1007/s13765-017-0298-4</t>
  </si>
  <si>
    <t>FF0TC</t>
  </si>
  <si>
    <t>WOS:000408613000013</t>
  </si>
  <si>
    <t>Rehman, A; Ulucak, R; Murshed, M; Ma, HY; Isik, C</t>
  </si>
  <si>
    <t>Rehman, Abdul; Ulucak, Recep; Murshed, Muntasir; Ma, Hengyun; Isik, Cem</t>
  </si>
  <si>
    <t>Carbonization and atmospheric pollution in China: The asymmetric impacts of forests, livestock production, and economic progress on CO2 emissions</t>
  </si>
  <si>
    <t>Forestry production; Cereal crops; Livestock; Economic progress; Asymmetric analysis; CO(2 )emissions</t>
  </si>
  <si>
    <t>NONRENEWABLE ENERGY-CONSUMPTION; FINANCIAL DEVELOPMENT; GREENHOUSE-GAS; TIME-SERIES; UNIT-ROOT; GROWTH; HYPOTHESIS; TRADE; URBANIZATION; TRANSITION</t>
  </si>
  <si>
    <t>The accumulation of carbon dioxide in the atmosphere has surged over the years as a consequence of diverse humans activities such as deforestation and farming, in particular. The rapidly growing agriculture and farm mechanization have contributed to substantial increases in energy use and carbon dioxide emissions across the globe. It is hypothesized that agriculture significantly contributes to a country's economy to which China is no exception. Hence, the main intention of the current study was to explore the asymmetrical influences of cereal crop production, forestry production, and economic progress on CO2 emissions in China between 1970 and 2017. The non-linear ARDL (Autoregressive Distributed Lag) bounds testing method was used to determine the shortand long-run dynamics linked with positive and negative shocks to the explanatory variables. The findings indicate that positive shocks to cereal crop production deteriorate the atmospheric quality by intensifying carbon dioxide emissions only in the long run, while the impacts of negative shocks in this regard are statistically insignificant. Ironically, shocks to forestry do not exhibit any significant impact on China's carbon dioxide emission levels. Moreover, carbon dioxide emissions demonstrate a strong progressive association with the positive shocks to energy resources utilized within the Chinese economy. Additionally, positive and negative shocks to economic progress are evidenced to boost and reduce the carbon dioxide emission figures in the long run. Lastly, negative shocks to livestock production are witnessed to increase carbon dioxide emissions only in the short run. Hence, for achieving the Chinese carbon-neutrality agenda, it is recommended to prioritize the use of renewable energy resources, particularly for producing cereal crops, in order to curb carbon dioxide emissions in China. Simultaneously, the Chinese economic growth policies should integrate environmentally-friendly schemes to counter the adversative environmental influences related to the economic progress in China.</t>
  </si>
  <si>
    <t>[Rehman, Abdul; Ma, Hengyun] Henan Agr Univ, Coll Econ &amp; Management, Zhengzhou 450002, Peoples R China; [Ulucak, Recep] Erciyes Univ, Dept Econ, Kayseri, Turkey; [Murshed, Muntasir] North South Univ, Sch Business &amp; Econ, Dhaka 1229, Bangladesh; [Isik, Cem] Anadolu Univ, Fac Tourism, Eskisehir, Turkey</t>
  </si>
  <si>
    <t>Henan Agricultural University; Erciyes University; North South University (NSU); Anadolu University</t>
  </si>
  <si>
    <t>Rehman, A (corresponding author), Henan Agr Univ, Coll Econ &amp; Management, Zhengzhou 450002, Peoples R China.;Ulucak, R (corresponding author), Erciyes Univ, Dept Econ, Kayseri, Turkey.</t>
  </si>
  <si>
    <t>abdrehman@henau.edu.cn; r.ulucak@erciyes.edu.tr; muntasir.murshed@northsouth.edu; h.y.ma@163.com; cemisik@anadolu.edu.tr</t>
  </si>
  <si>
    <t>; Işık, Cem/ABD-2292-2020; Murshed, Muntasir/J-9025-2018; ULUCAK, RECEP/G-2912-2018; Ulucak, Recep/G-2912-2018; Ma, Hengyun/P-8034-2019; Rehman, Abdul/AAG-3676-2021</t>
  </si>
  <si>
    <t>Rehman, Abdul/0000-0001-7809-5124; Işık, Cem/0000-0001-5125-7648; Murshed, Muntasir/0000-0001-9872-8742; Ulucak, Recep/0000-0001-9938-0063;</t>
  </si>
  <si>
    <t>10.1016/j.jenvman.2021.113059</t>
  </si>
  <si>
    <t>JUN 2021</t>
  </si>
  <si>
    <t>TP9RP</t>
  </si>
  <si>
    <t>WOS:000677929700003</t>
  </si>
  <si>
    <t>Tong, HT; Guo, X; Shahbaz, M; Khamdamov, SJ</t>
  </si>
  <si>
    <t>Tong, Haotian; Guo, Xu; Shahbaz, Muhammad; Khamdamov, Shoh-Jakhon</t>
  </si>
  <si>
    <t>Historical carbon emissions and future mitigation potentials from staple food cropping systems in China</t>
  </si>
  <si>
    <t>Carbon emissions; Staple food cropping system; Staple food self-sufficiency; Sustainable food system; Scenario planning</t>
  </si>
  <si>
    <t>GREENHOUSE-GAS EMISSIONS; WATER FOOTPRINTS; BUDGET</t>
  </si>
  <si>
    <t>China's demand for staple food continues to grow, and securing the supply of staple food for 1.4 billion people is of great significance for China's and the world's food security. The trend and potential of carbon emissions from staple food cultivation will profoundly affect the sustainability of this system. Using comprehensive data based on geographic information systems (GIS) and statistical yearbooks, we constructed a carbon emission accounting model for China's staple food cropping system, accounted for the historical trend of its emissions, and analyzed the trend of staple food cropping-carbon emission in different regions with the help of a decoupling model. We used Scenario planning (SP) to create five future scenarios, namely, baseline, technological advances, selfsufficient, reducing food losses, and synthesized, to predict the future emission potential of the system. The results show that carbon emissions from China's staple food cropping system peaked around 2015-2016, and have now declined by 18 Tg from the peak, with field management activities accounting for the highest proportion of emissions, but all subsystems show a declining trend, and a weak decoupling of staple grain production-carbon emissions has been achieved in most regions, with carbon sinks playing a key role in the staple grain cropping system. The results of the scenario simulations show that carbon emissions from China's staple food cropping system will continue to increase under the baseline scenario, the technological advances scenario can reduce carbon emissions by about 20 %, and the emission reduction potential reaches about 25 % under the synthesized scenario. The results point to the importance of reducing food losses in reducing carbon emissions, and the trend of carbon emissions can be effectively curbed under this scenario without the imposition of other measures. If the current production pattern is continued and expanded, the carbon sink of the system will offset the new increase in carbon emissions, which provides new evidence for the expansion of production. Reviewing the shortcomings in the development of staple food cropping systems, accurately assessing the current state of development in different regions, and emphasizing the combined effects of key measures in future development are critical to achieving China's own sustainable agricultural development and food security, and provide empirical evidence for achieving the SDGs' Zero Hunger and Climate Action goals.</t>
  </si>
  <si>
    <t>[Tong, Haotian] Beijing Inst Technol, Sch Management, Beijing 100081, Peoples R China; [Guo, Xu; Shahbaz, Muhammad] Beijing Inst Technol, Sch Econ, Beijing 100081, Peoples R China; [Shahbaz, Muhammad] Gulf Univ Sci &amp; Technol, GUST Ctr Sustainable Dev CSD, Hawally, Kuwait; [Shahbaz, Muhammad] Univ Econ &amp; Human Sci Warsaw, Warsaw, Poland; [Khamdamov, Shoh-Jakhon] Mamun Univ, Fac Econ, Khiva City, Uzbekistan; [Khamdamov, Shoh-Jakhon] Alfraganus Univ, Tashkent, Uzbekistan; [Khamdamov, Shoh-Jakhon] Tashkent State Univ Econ, Res Ctr CEDR, Tashkent 100002, Uzbekistan</t>
  </si>
  <si>
    <t>Beijing Institute of Technology; Beijing Institute of Technology; Gulf University for Science &amp; Technology (GUST); Ma'mun University; Tashkent State University of Economics</t>
  </si>
  <si>
    <t>Shahbaz, M (corresponding author), Beijing Inst Technol, Sch Econ, Beijing 100081, Peoples R China.;Shahbaz, M (corresponding author), Gulf Univ Sci &amp; Technol, GUST Ctr Sustainable Dev CSD, Hawally, Kuwait.;Shahbaz, M (corresponding author), Univ Econ &amp; Human Sci Warsaw, Warsaw, Poland.</t>
  </si>
  <si>
    <t>tonghaotian@bit.edu.cn; xuguo99999@gmail.com; muhdshahbaz77@gmail.com; sh.xamdamov@afu.uz</t>
  </si>
  <si>
    <t>Tong, Haotian/GQP-3562-2022; Khamdamov, Shoh-jakhon/HHS-6072-2022</t>
  </si>
  <si>
    <t>10.1016/j.jenvman.2025.126090</t>
  </si>
  <si>
    <t>4IE5M</t>
  </si>
  <si>
    <t>WOS:001518607400001</t>
  </si>
  <si>
    <t>Chen, YL; Shen, HZ; Shen, GF; Ma, JM; Cheng, YF; Russell, AG; Zhao, SL; Hakami, A; Tao, S</t>
  </si>
  <si>
    <t>Chen, Yilin; Shen, Huizhong; Shen, Guofeng; Ma, Jianmin; Cheng, Yafang; Russell, Armistead G.; Zhao, Shunliu; Hakami, Amir; Tao, Shu</t>
  </si>
  <si>
    <t>Substantial differences in source contributions to carbon emissions and health damage necessitate balanced synergistic control plans in China</t>
  </si>
  <si>
    <t>AIR-POLLUTION; CO-BENEFITS; PARTICULATE MATTER; POWER-PLANTS; SOCIAL COST; QUALITY; ADJOINT; CMAQ; SENSITIVITY; MITIGATION</t>
  </si>
  <si>
    <t>China's strategy to concurrently address climate change and air pollution mitigation is hindered by a lack of comprehensive information on source contributions to health damage and carbon emissions. Here we show notable discrepancies between source contributions to CO2 emissions and fine particulate matter (PM2.5)-related mortality by using adjoint emission sensitivity modeling to attribute premature mortality in 2017 to 53 sector and fuel/process combinations with high spatial resolution. Our findings reveal that monetized PM2.5 health damage exceeds climate impacts in over half of the analyzed subsectors. In addition to coal-fired energy generators and industrial boilers, the combined health and climate costs from energy-intensive processes, diesel-powered vehicles, domestic coal combustion, and agricultural activities exceed 100 billion US dollars, with health-related costs predominating. This research highlights the critical need to integrate the social costs of health damage with climate impacts to develop more balanced mitigation strategies toward these dual goals, particularly during fuel transition and industrial structure upgrading. Comprehensive modeling analysis reveals significant differences in the source contribution of PM2.5-related mortality and CO2 emissions in China, highlighting the need for a balanced approach to synergistic control.</t>
  </si>
  <si>
    <t>[Chen, Yilin] Peking Univ, Sch Urban Planning &amp; Design, Shenzhen Grad Sch, Shenzhen 518055, Peoples R China; [Chen, Yilin; Shen, Huizhong; Tao, Shu] Southern Univ Sci &amp; Technol, Sch Environm Sci &amp; Engn, Shenzhen Key Lab Precis Measurement &amp; Early Warnin, Shenzhen 518055, Peoples R China; [Shen, Huizhong] Southern Univ Sci &amp; Technol, Sch Environm Sci &amp; Engn, Guangdong Prov Observat &amp; Res Stn Coastal Atmosphe, Shenzhen 518055, Peoples R China; [Shen, Guofeng; Ma, Jianmin; Tao, Shu] Peking Univ, Coll Urban &amp; Environm Sci, Beijing 100871, Peoples R China; [Cheng, Yafang] Max Planck Inst Chem, D-55128 Mainz, Germany; [Russell, Armistead G.] Georgia Inst Technol, Sch Civil &amp; Environm Engn, Atlanta, GA 30332 USA; [Zhao, Shunliu; Hakami, Amir] Carleton Univ, Dept Civil &amp; Environm Engn, Ottawa, ON, Canada</t>
  </si>
  <si>
    <t>Peking University Shenzhen Graduate School (PKU Shenzhen); Peking University; Southern University of Science &amp; Technology; Southern University of Science &amp; Technology; Peking University; Max Planck Society; University System of Georgia; Georgia Institute of Technology; Carleton University</t>
  </si>
  <si>
    <t>Chen, YL (corresponding author), Peking Univ, Sch Urban Planning &amp; Design, Shenzhen Grad Sch, Shenzhen 518055, Peoples R China.;Chen, YL (corresponding author), Southern Univ Sci &amp; Technol, Sch Environm Sci &amp; Engn, Shenzhen Key Lab Precis Measurement &amp; Early Warnin, Shenzhen 518055, Peoples R China.</t>
  </si>
  <si>
    <t>ylchen2023@pku.edu.cn</t>
  </si>
  <si>
    <t>jiang, min/D-2531-2009; Shen, Huizhong/E-8152-2017; Hakami, Amir/LFS-7148-2024; SHEN, Guofeng/F-3163-2015</t>
  </si>
  <si>
    <t>Shen, Huizhong/0000-0003-1335-8477; Hakami, Amir/0000-0003-3122-9548; Russell, Armistead/0000-0003-2027-8870; SHEN, Guofeng/0000-0002-7731-5399</t>
  </si>
  <si>
    <t>National Natural Science Foundation of China (National Science Foundation of China) [42192510]; National Natural Science Foundation of China [2023YFE0112900]; Ministry of Science and Technology of the People's Republic of China [2021M701573]; China Postdoctoral Science Foundation [ZDSYS20220606100604008]; Shenzhen Key Laboratory of Precision Measurement and Early Warning Technology for Urban Environmental Health Risks [JCYJ20220818100611024]; Shenzhen Science and Technology Program [2021B1212050024, 2020B1111360001]; Department of Science and Technology of Guangdong Province [2021KCXTD004, G03050K001, G030290001]; Department of Education of Guangdong Province</t>
  </si>
  <si>
    <t>National Natural Science Foundation of China (National Science Foundation of China)(National Natural Science Foundation of China (NSFC)); National Natural Science Foundation of China(National Natural Science Foundation of China (NSFC)); Ministry of Science and Technology of the People's Republic of China(Ministry of Science and Technology, China); China Postdoctoral Science Foundation(China Postdoctoral Science Foundation); Shenzhen Key Laboratory of Precision Measurement and Early Warning Technology for Urban Environmental Health Risks; Shenzhen Science and Technology Program; Department of Science and Technology of Guangdong Province; Department of Education of Guangdong Province(National Natural Science Foundation of Guangdong Province)</t>
  </si>
  <si>
    <t>Y.L.C. acknowledge funding from the National Natural Science Foundation of China (42207116), Y.L.C., H.S. and G.S. acknowledge funding from the Ministry of Science and Technology of the People's Republic of China (2023YFE0112900), H.S. acknowledge funding from the National Natural Science Foundation of China (42192510), Y.L.C. acknowledge funding from the fellowship of China Postdoctoral Science Foundation (2021M701573), H.S. acknowledge funding from the Shenzhen Key Laboratory of Precision Measurement and Early Warning Technology for Urban Environmental Health Risks (ZDSYS20220606100604008), Shenzhen Science and Technology Program (JCYJ20220818100611024), Department of Science and Technology of Guangdong Province (2021B1212050024 and 2020B1111360001), Department of Education of Guangdong Province (2021KCXTD004), High level of special funds (G03050K001 and G030290001), and Center for Computational Science and Engineering at Southern University of Science and Technology.</t>
  </si>
  <si>
    <t>JUL 13</t>
  </si>
  <si>
    <t>10.1038/s41467-024-50327-8</t>
  </si>
  <si>
    <t>YE7C1</t>
  </si>
  <si>
    <t>WOS:001266864200005</t>
  </si>
  <si>
    <t>Shi, RB; Irfan, M; Liu, GL; Yang, XD; Su, XF</t>
  </si>
  <si>
    <t>Shi, Rubiao; Irfan, Muhammad; Liu, Guangliang; Yang, Xiaodong; Su, Xufeng</t>
  </si>
  <si>
    <t>RETRACTED: Analysis of the Impact of Livestock Structure on Carbon Emissions of Animal Husbandry: A Sustainable Way to Improving Public Health and Green Environment (Retracted article. See vol. 13, 2025)</t>
  </si>
  <si>
    <t>FRONTIERS IN PUBLIC HEALTH</t>
  </si>
  <si>
    <t>Article; Retracted Publication</t>
  </si>
  <si>
    <t>livestock structure; animal husbandry; livestock breeding; carbon emission; geographical heterogeneity</t>
  </si>
  <si>
    <t>MEAT CONSUMPTION; GAS EMISSIONS; EMPIRICAL-EVIDENCE; METHANE EMISSION; NITROUS-OXIDE; CHINA; EFFICIENCY; ENERGY; GROWTH; FOODS</t>
  </si>
  <si>
    <t>Carbon emissions of animal husbandry have been gaining increasing attention due to their high share in global carbon emissions. In this regard, it is essential to assess the regional differences, dynamic evolution patterns, convergence characteristics, and the impact of livestock structure on carbon emissions of animal husbandry. Using data from 30 provincial administrative regions from 2000 to 2018 in China, this study employs the Thiel index method, kernel density analysis, and convergence analysis to quantify the impact of livestock structure on carbon emissions of animal husbandry. The statistical results reveal that carbon emissions of animal husbandry exhibit a rising and declining trend. Specifically, the carbon emissions of animal husbandry are highest in agricultural areas (with a declining trend), followed by agro-pastoral areas (with a declining trend), and the pastoral areas (with a rising trend). It is further revealed that there are no delta convergence and beta convergence of carbon emissions of animal husbandry. Finally, essential and useful policy recommendations are put forward to inhibit carbon emissions of animal husbandry.</t>
  </si>
  <si>
    <t>[Shi, Rubiao] Xinjiang Univ, Sch Marxism, Urumqi, Peoples R China; [Shi, Rubiao] Shandong Coll Tradit Chinese Med, Dept Publ Instruct, Yantai, Peoples R China; [Irfan, Muhammad] Beijing Inst Technol, Sch Management &amp; Econ, Beijing, Peoples R China; [Irfan, Muhammad] Beijing Inst Technol, Ctr Energy &amp; Environm Policy Res, Beijing, Peoples R China; [Irfan, Muhammad] Ilma Univ, Dept Business Adm, Karachi, Pakistan; [Liu, Guangliang; Yang, Xiaodong; Su, Xufeng] Xinjiang Univ, Sch Econ &amp; Management, Urumqi, Peoples R China; [Liu, Guangliang; Yang, Xiaodong; Su, Xufeng] Xinjiang Univ, Ctr Innovat Management Res Xinjiang, Urumqi, Peoples R China; [Su, Xufeng] Tarim Univ, Sch Econ &amp; Management, Alar, Peoples R China</t>
  </si>
  <si>
    <t>Xinjiang University; Shandong University of Traditional Chinese Medicine; Beijing Institute of Technology; Beijing Institute of Technology; Xinjiang University; Xinjiang University; Tarim University</t>
  </si>
  <si>
    <t>Irfan, M (corresponding author), Beijing Inst Technol, Sch Management &amp; Econ, Beijing, Peoples R China.;Irfan, M (corresponding author), Beijing Inst Technol, Ctr Energy &amp; Environm Policy Res, Beijing, Peoples R China.;Irfan, M (corresponding author), Ilma Univ, Dept Business Adm, Karachi, Pakistan.;Su, XF (corresponding author), Xinjiang Univ, Sch Econ &amp; Management, Urumqi, Peoples R China.;Su, XF (corresponding author), Xinjiang Univ, Ctr Innovat Management Res Xinjiang, Urumqi, Peoples R China.;Su, XF (corresponding author), Tarim Univ, Sch Econ &amp; Management, Alar, Peoples R China.</t>
  </si>
  <si>
    <t>irfansahar@bit.edu.cn; suxufeng84@163.com</t>
  </si>
  <si>
    <t>Xiaodong, Yang/LSJ-3224-2024; Irfan, Muhammad/AAL-9371-2020</t>
  </si>
  <si>
    <t>Irfan, Muhammad/0000-0003-1446-583X; Yang, Xiaodong/0000-0002-0538-3093</t>
  </si>
  <si>
    <t>social Science Popularization and Application Research Project of Shandong Province [2020SKZZ31]; Key Project of Xinjiang Social Science Foundation [19AZD008]</t>
  </si>
  <si>
    <t>social Science Popularization and Application Research Project of Shandong Province; Key Project of Xinjiang Social Science Foundation</t>
  </si>
  <si>
    <t>Funding The authors acknowledge financial support from the social Science Popularization and Application Research Project of Shandong Province (2020SKZZ31) and the Key Project of Xinjiang Social Science Foundation (19AZD008).</t>
  </si>
  <si>
    <t>2296-2565</t>
  </si>
  <si>
    <t>FRONT PUBLIC HEALTH</t>
  </si>
  <si>
    <t>Front. Public Health</t>
  </si>
  <si>
    <t>FEB 11</t>
  </si>
  <si>
    <t>10.3389/fpubh.2022.835210</t>
  </si>
  <si>
    <t>Public, Environmental &amp; Occupational Health</t>
  </si>
  <si>
    <t>ZI1WO</t>
  </si>
  <si>
    <t>WOS:000761419500001</t>
  </si>
  <si>
    <t>Li, J; Fang, Y; Yang, JM</t>
  </si>
  <si>
    <t>Li, Jing; Fang, Ying; Yang, Jianming</t>
  </si>
  <si>
    <t>Minimizing carbon emissions of the rice supply chain considering the size of deep tillage lands</t>
  </si>
  <si>
    <t>Deep tillage; Carbon emission; Inventory rotation; Contract farming; Sustainability</t>
  </si>
  <si>
    <t>CIRCULAR ECONOMY; NETWORK DESIGN; MODEL; OPTIMIZATION; CONSUMPTION; FRAMEWORK; IMPACT</t>
  </si>
  <si>
    <t>The deep tillage of soil consumes fuel at higher costs, which creates a large amount of carbon emissions. For large-scale farming in particular, the threat to the environment cannot be ignored. Currently, very few studies have considered the impact of the size of the deep tillage area on carbon emissions. Effectively controlling the size of the deep tillage area can reduce the emission of carbon dioxide at a certain level and optimize profits, which is crucial to the sustainable development of agricultural supply chains. In this paper, we design a new contract-farming rice supply chain network based on Cooperative + Storage Company, which considers tillage as the start point for the supply chain echelon. A multi-product, multi-period, bi-objective optimization model is proposed to maximize profit and minimize carbon emissions in the network. Moreover, we consider the grain rotation task of the storage company in the modeling. The 4-metrics method is used to solve the bi-objective model. Subsequently, an actual scenario is used to verify the effectiveness of the model. The results indicate that changes in the size of the deep tillage area have a significant impact on carbon emissions, and the size of the deep tillage area is negatively correlated with the total farm size, thereby affecting the carbon dioxide release. The results also indicate that carbon emissions can be minimized by increasing the number of cooperatives or expanding the size of farms. The proposed model can aid decision-makers in selecting an optimal set of solutions based on their preferences or policies. (C) 2021 Institution of Chemical Engineers. Published by Elsevier B.V. All rights reserved.</t>
  </si>
  <si>
    <t>[Li, Jing; Fang, Ying; Yang, Jianming] Nanjing Agr Univ, Sch Informat Management, Pox 8, Nanjing 210031, Peoples R China</t>
  </si>
  <si>
    <t>Nanjing Agricultural University</t>
  </si>
  <si>
    <t>Li, J (corresponding author), Nanjing Agr Univ, Sch Informat Management, Pox 8, Nanjing 210031, Peoples R China.</t>
  </si>
  <si>
    <t>phdlijing@njau.edu.cn</t>
  </si>
  <si>
    <t>; Yang, Jianming/H-3147-2018</t>
  </si>
  <si>
    <t>LI, Jing/0000-0003-2002-4512;</t>
  </si>
  <si>
    <t>National Natural Science Foundation of China [72171121]</t>
  </si>
  <si>
    <t>Elsevier Language Editing Services provided language help for this paper. This research was supported by National Natural Science Foundation of China with award number: 72171121.</t>
  </si>
  <si>
    <t>10.1016/j.spc.2021.11.022</t>
  </si>
  <si>
    <t>DEC 2021</t>
  </si>
  <si>
    <t>XN7QD</t>
  </si>
  <si>
    <t>WOS:000729693900007</t>
  </si>
  <si>
    <t>Wang, FL; Zhao, SX; Fu, XM</t>
  </si>
  <si>
    <t>Wang Fulin; Zhao Shengxue; Fu Xiaoming</t>
  </si>
  <si>
    <t>Improved estimation model and empirical analysis of relationship between agricultural mechanization level and labor demand</t>
  </si>
  <si>
    <t>agricultural mechanization level; planting industry; labor demand; estimation model; data acquisition; crop production</t>
  </si>
  <si>
    <t>The research on the relationship between mechanization level in planting industry and labor demand was carried out based on the present literatures. The former estimation model of labor demand in planting industry was established without analyzing the effects of planting structure on labor demand in planting industry. The purpose of the research is to develop and perfect the theory of estimating both labor demand and rural surplus labor in planting industry, then to provide some theoretical references for scientific estimation. The model established in this research can be used to calculate not only the amount of current labor demand, but also the demand in the various moment of future according to forecasted mechanization level and cultivated areas. Furthermore, it was explored how to obtain the indexes of cultivated areas, mechanization level and the average cultivated area that each labor can burden when the mechanization level is 0 and 100%. According to statistics principle, the methods of inspection to eliminate abnormal data and data processing were given in order to make the data more credible. Finally, an example was presented for demonstration purposes.</t>
  </si>
  <si>
    <t>[Wang Fulin; Zhao Shengxue; Fu Xiaoming] Northeast Agr Univ, Coll Engn, 59 Mucai St, Harbin 150030, Peoples R China</t>
  </si>
  <si>
    <t>Wang, FL (corresponding author), Northeast Agr Univ, Coll Engn, 59 Mucai St, Harbin 150030, Peoples R China.</t>
  </si>
  <si>
    <t>fulinwang1462@126.com; zhaoshengxue@163.com; dqfxm_1019@163.com</t>
  </si>
  <si>
    <t>Fu, Xiao-Ming/V-8253-2019</t>
  </si>
  <si>
    <t>National Natural Science Foundation of China [31071331]; National Social Science Foundation of China [13BJY098]</t>
  </si>
  <si>
    <t>National Natural Science Foundation of China(National Natural Science Foundation of China (NSFC)); National Social Science Foundation of China(National Office of Philosophy and Social Sciences)</t>
  </si>
  <si>
    <t>This research was supported by the National Natural Science Foundation of China (31071331) and National Social Science Foundation of China (13BJY098).</t>
  </si>
  <si>
    <t>10.3965/j.ijabe.20160902.2188</t>
  </si>
  <si>
    <t>DJ1MB</t>
  </si>
  <si>
    <t>WOS:000373965800006</t>
  </si>
  <si>
    <t>Zhang, LM; Zhuang, QL; He, YJ; Liu, YL; Yu, DS; Zhao, QY; Shi, XZ; Xing, SH; Wang, GX</t>
  </si>
  <si>
    <t>Zhang, Liming; Zhuang, Qianlai; He, Yujie; Liu, Yaling; Yu, Dongsheng; Zhao, Quanying; Shi, Xuezheng; Xing, Shihe; Wang, Guangxiang</t>
  </si>
  <si>
    <t>Toward optimal soil organic carbon sequestration with effects of agricultural management practices and climate change in Tai-Lake paddy soils of China</t>
  </si>
  <si>
    <t>Soil organic carbon; Climate change; Agricultural management practices; DeNitrification-DeComposition (DNDC); 1:50,000 soil database</t>
  </si>
  <si>
    <t>GREENHOUSE-GAS EMISSIONS; DIFFERENT FERTILIZATION; MAINLAND CHINA; N2O EMISSIONS; RICE FIELDS; NO-TILLAGE; DNDC MODEL; CROPLANDS; IMPACTS; REGION</t>
  </si>
  <si>
    <t>Understanding the impacts of climate change and agricultural management practices on soil organic carbon (SOC) dynamics is critical for implementing optimal farming practices and maintaining agricultural productivity. This study examines the influence of climatic variables and agricultural management on carbon sequestration potentials in Tai-Lake Paddy soils of China using the DeNitrification-DeComposition (DNDC, version 9.1) model, with a high-resolution soil database (1:50,000). Model simulations considered the effects of no-tillage, the application rates of manure, N fertilization, and crop residue, water management, and changes in temperature and precipitation. We found that the carbon sequestration potential in the top soils (0-30 cm) for the 2.32 Mha paddy soils of the Tai-Lake region varied from 4.71 to 44.31 Tg C under the feasible management practices during the period of 2001-2019. The sequestration potential significantly increased with increasing application of N-fertilizer, manure, conservation tillage, and crop residues, with an annual average SOC changes ranged from 107 to 121 kg C ha(-1) yr(-1), 159 to 326 kg C ha(-1) yr(-1), 78 to 128 kg C ha(-1) yr(-1), and 489 to 1005 kg C ha(-1) yr(-1), respectively. Toward mitigating greenhouse emissions and N losses, no-tillage and increase of crop residue return to soils as well as manure application are recommended for agricultural practice in this region. Our analysis of climate impacts on SOC sequestration suggests that the rice paddies in this region will continue to be a carbon sink under future warming conditions. Specifically, with rising air temperature of 2.0 degrees C and 4 degrees C, the average annual SOC changes were 52 and 21 kg C ha(-1) yr(-1), respectively. (C) 2016 Elsevier B.V. All rights reserved.</t>
  </si>
  <si>
    <t>[Zhang, Liming; Xing, Shihe; Wang, Guangxiang] Fujian Agr &amp; Forestry Univ, Coll Resources &amp; Environm, Fuzhou 350002, Fujian Province, Peoples R China; [Zhang, Liming; Yu, Dongsheng; Shi, Xuezheng] Chinese Acad Sci, State Key Lab Soil &amp; Sustainable Agr, Inst Soil Sci, Nanjing 210008, Jiangsu, Peoples R China; [Zhang, Liming; Zhuang, Qianlai; He, Yujie] Purdue Univ, Dept Earth Atmospher &amp; Planetary Sci, W Lafayette, IN 47907 USA; [Liu, Yaling] Pacific NW Natl Lab, Joint Global Change Res Inst, Univ Res Court, College Pk, MD USA; [Zhao, Quanying] Univ Cologne, Inst Geog, D-50923 Cologne, Germany</t>
  </si>
  <si>
    <t>Fujian Agriculture &amp; Forestry University; Chinese Academy of Sciences; Nanjing Institute of Soil Science, CAS; Purdue University System; Purdue University; United States Department of Energy (DOE); Pacific Northwest National Laboratory; University of Cologne</t>
  </si>
  <si>
    <t>Yu, DS (corresponding author), Chinese Acad Sci, State Key Lab Soil &amp; Sustainable Agr, Inst Soil Sci, Nanjing 210008, Jiangsu, Peoples R China.;Zhao, QY (corresponding author), Univ Cologne, Inst Geog, D-50923 Cologne, Germany.</t>
  </si>
  <si>
    <t>dshyu@issas.ac.cn; zhaoquanying@gmail.com</t>
  </si>
  <si>
    <t>Zhang, Shuangshuang/GVS-0109-2022; Liu, Yaling/J-8461-2017; guangxiang, wang/KFR-8746-2024; Zhao, Quanying/AAW-4923-2020; He, Yujie/E-2514-2017</t>
  </si>
  <si>
    <t>Liu, Yaling/0000-0002-8305-0913;</t>
  </si>
  <si>
    <t>Foundation of National Natural Science Foundation of China [41001126]; Natural Science Foundation of Fujian Province in China [2015J01154]; Program for New Century Excellent Talents in University of Fujian Province of China [JA14097]; NSF Division of Information and Intelligent Systems [NSF-1028291]; Direct For Computer &amp; Info Scie &amp; Enginr; Div Of Information &amp; Intelligent Systems [1028291] Funding Source: National Science Foundation</t>
  </si>
  <si>
    <t>Foundation of National Natural Science Foundation of China(National Natural Science Foundation of China (NSFC)); Natural Science Foundation of Fujian Province in China(Natural Science Foundation of Fujian Province); Program for New Century Excellent Talents in University of Fujian Province of China(Program for New Century Excellent Talents in University (NCET)); NSF Division of Information and Intelligent Systems; Direct For Computer &amp; Info Scie &amp; Enginr; Div Of Information &amp; Intelligent Systems(National Science Foundation (NSF)NSF - Directorate for Computer &amp; Information Science &amp; Engineering (CISE)NSF - Division of Information &amp; Intelligent Systems (IIS))</t>
  </si>
  <si>
    <t>We gratefully acknowledge the support from the Foundation of National Natural Science Foundation of China (No. 41001126), the Natural Science Foundation of Fujian Province in China (No. 2015J01154), and the Program for New Century Excellent Talents in University of Fujian Province of China (No. JA14097). This study is also partially supported through a project funded to Q. Z. by the NSF Division of Information and Intelligent Systems (NSF-1028291). Sincere thanks are also given to Professor Changsheng Li (University of New Hampshire, USA) for valuable advice on use of DNDC model, and this work is to honor his dedication to the science community during his fruitful life time.</t>
  </si>
  <si>
    <t>10.1016/j.geoderma.2016.04.001</t>
  </si>
  <si>
    <t>DN1MY</t>
  </si>
  <si>
    <t>WOS:000376831300004</t>
  </si>
  <si>
    <t>Frank, S; Schmid, E; Havlík, P; Schneider, UA; Böttcher, H; Balkovic, J; Obersteiner, M</t>
  </si>
  <si>
    <t>Frank, Stefan; Schmid, Erwin; Havlik, Petr; Schneider, Uwe A.; Boettcher, Hannes; Balkovic, Juraj; Obersteiner, Michael</t>
  </si>
  <si>
    <t>The dynamic soil organic carbon mitigation potential of European cropland</t>
  </si>
  <si>
    <t>Partial equilibrium; GHG emissions; Land use modeling; Conservation tillage; Soil carbon; Dynamics</t>
  </si>
  <si>
    <t>GREENHOUSE-GAS MITIGATION; LAND-USE; PROJECTED CHANGES; CLIMATE-CHANGE; AGRICULTURAL SOILS; SEQUESTRATION; TILLAGE; MODEL; MANAGEMENT; EMISSIONS</t>
  </si>
  <si>
    <t>Changes in soil organic carbon stocks depend on the management regime and a variety of environmental factors including climatic conditions and soil properties. So far, the dynamics of soil organic carbon have not been explicitly represented in global economic land use optimization models. Here, we apply an approach to represent soil organic carbon dynamics explicitly in a global bottom-up recursive dynamic partial equilibrium model using carbon response functions simulated with a biophysical process-based model. We project soil organic carbon emissions from European cropland to decrease by 40% from 64 MtCO(2) in 2010 to about 39 MtCO(2) in 2050 mainly due to saturation effect when soils converge toward their equilibrium after management, crop rotation, or land use change. Moreover, we estimate a soil organic carbon mitigation potential for European cropland between 9 and 38 MtCO(2) per year until 2050 for carbon prices between 10 and 100 USD/tCO(2). The total European mitigation potential including co-benefits from the crop and livestock sector due to the carbon price is even higher with 60 MtCO(2) equivalents (eq) per year. Thus carbon sequestration in soils could compensate 7% of total emissions from agriculture within the EU, 10% when including co-benefits from the crop and livestock sector. However, as production is reallocated outside Europe with increasing carbon prices, emissions decrease in Europe but increase in the rest of the world (20 MtCO(2) eq). Preventing GHG emission leakage to the rest of the world would decrease the European soil organic carbon mitigation potential by around 9% and the total European mitigation potential including co-benefits by 16%. Nevertheless, the net global mitigation potential would still increase. We conclude that no significant contributions to emission reduction targets should be expected from the European cropland carbon sequestration options considered in this study. (C) 2015 Elsevier Ltd. All rights reserved.</t>
  </si>
  <si>
    <t>[Frank, Stefan; Havlik, Petr; Balkovic, Juraj; Obersteiner, Michael] Int Inst Appl Syst Anal, A-2361 Laxenburg, Austria; [Schmid, Erwin] Univ Nat Resources &amp; Life Sci, Vienna, Austria; [Schneider, Uwe A.] Univ Hamburg, Hamburg, Germany; [Boettcher, Hannes] Oko Inst, Berlin, Germany; [Balkovic, Juraj] Comenius Univ, Dept Soil Sci, Bratislava, Slovakia</t>
  </si>
  <si>
    <t>International Institute for Applied Systems Analysis (IIASA); BOKU University; University of Hamburg; Comenius University Bratislava</t>
  </si>
  <si>
    <t>Frank, S (corresponding author), Schlosspl 1, A-2361 Laxenburg, Austria.</t>
  </si>
  <si>
    <t>frank@iiasa.ac.at</t>
  </si>
  <si>
    <t>Havlík, Petr/H-1521-2014; Obersteiner, Michael/ADG-8592-2022; Frank, Stefan/AAE-8070-2019; Schneider, Uwe/M-7342-2016; Schmid, Erwin/Z-1946-2019</t>
  </si>
  <si>
    <t>Obersteiner, Michael/0000-0001-6981-2769; Frank, Stefan/0000-0001-5702-8547; Schmid, Erwin/0000-0003-4783-9666; Havlik, Petr/0000-0001-5551-5085; Balkovic, Juraj/0000-0003-2955-4931; Schneider, Uwe/0000-0002-6833-9292;</t>
  </si>
  <si>
    <t>Austrian Climate Research Program through the CC2BBE (Vulnerability of a bio-based economy to global climate change impacts) project; European Commission-DG Climate Action through the tender contract 'Development and application of EU economywide climate change mitigation modelling capacity (all greenhouse gas emissions and removals)' [071303/2011/600928/SER/CL1MA.A.4]</t>
  </si>
  <si>
    <t>Austrian Climate Research Program through the CC2BBE (Vulnerability of a bio-based economy to global climate change impacts) project; European Commission-DG Climate Action through the tender contract 'Development and application of EU economywide climate change mitigation modelling capacity (all greenhouse gas emissions and removals)'</t>
  </si>
  <si>
    <t>This research has been financially supported by the Austrian Climate Research Program through the CC2BBE (Vulnerability of a bio-based economy to global climate change impacts) project and by the European Commission-DG Climate Action through the tender contract 'Development and application of EU economywide climate change mitigation modelling capacity (all greenhouse gas emissions and removals)', contract ref no. 071303/2011/600928/SER/CL1MA.A.4.</t>
  </si>
  <si>
    <t>10.1016/j.gloenvcha.2015.08.004</t>
  </si>
  <si>
    <t>CZ0AI</t>
  </si>
  <si>
    <t>WOS:000366767100024</t>
  </si>
  <si>
    <t>Pfeifer-Meister, L; Gayton, LG; Roy, BA; Johnson, BR; Bridgham, SD</t>
  </si>
  <si>
    <t>Pfeifer-Meister, Laurel; Gayton, Laura G.; Roy, Bitty A.; Johnson, Bart R.; Bridgham, Scott D.</t>
  </si>
  <si>
    <t>Greenhouse gas emissions limited by low nitrogen and carbon availability in natural, restored, and agricultural Oregon seasonal wetlands</t>
  </si>
  <si>
    <t>Carbon cycling; Denitrification; Nitrate; Methane; Restoration; Co-limitation; Nitrous oxide; Wet prairies; Mineralization; Pacific Northwest</t>
  </si>
  <si>
    <t>METHANE EMISSIONS; ATMOSPHERIC METHANE; WILLAMETTE VALLEY; LAND-USE; FLUXES; SOIL; N2O; MINERALIZATION; RESTORATION; NORTHERN</t>
  </si>
  <si>
    <t>Wetlands are the major natural source of the greenhouse gas methane (CH4) and are also potentially an important source of nitrous oxide (N2O), though there is considerable variability among wetland types with some of the greatest uncertainty in freshwater mineral-soil wetlands. In particular, trace gas emissions from seasonal wetlands have been very poorly studied. We measured fluxes of CH4, N2O, and CO2 (carbon dioxide), soil nutrients, and net primary productivity over one year in natural, restored, and agricultural seasonal wetland prairies in the Willamette Valley, Oregon, USA. We found zero fluxes for CH4 and N2O, even during periods of extended waterlogging of the soil. To explore this lack of emissions, we performed a laboratory experiment to examine the controls over these gases. In a fully-factorial design, we amended anaerobic soils from all wetlands with nitrate, glucose, and NaOH (to neutralize pH) and measured production potentials of N-2, N2O, CH4, and CO2. We found that denitrification and N2O production were co-limited by nitrate and carbon, with little difference between the three wetland types. This co-limitation suggests that low soil carbon availability will continue to constrain N2O emissions and denitrification in these systems even when receiving relatively high levels of nitrogen inputs. Contrary to the results for N2O, the amended wetland soils never produced significant amounts of CH4 under any treatment. We hypothesize that high concentrations of alternative electron acceptors exist in these soils so that methanogens are noncompetitive with other microbial groups. As a result, these wetlands do not appear to be a significant source or sink of soil carbon and thus have a near zero climate forcing effect. Future research should focus on determining if this is a generalizable result in other seasonal wetlands.</t>
  </si>
  <si>
    <t>[Pfeifer-Meister, Laurel; Gayton, Laura G.; Roy, Bitty A.; Bridgham, Scott D.] Univ Oregon, Inst Ecol &amp; Evolut, Eugene, OR 97403 USA; [Johnson, Bart R.] Univ Oregon, Dept Landscape Architecture, Eugene, OR 97403 USA</t>
  </si>
  <si>
    <t>University of Oregon; University of Oregon</t>
  </si>
  <si>
    <t>Pfeifer-Meister, L (corresponding author), Univ Oregon, Inst Ecol &amp; Evolut, Eugene, OR 97403 USA.</t>
  </si>
  <si>
    <t>lpfeife1@uoregon.edu</t>
  </si>
  <si>
    <t>Roy, Barbara (â€˜Bitty/HZJ-1032-2023; Johnson, Bart/KVZ-0728-2024; Bridgham, Scott/R-1557-2017</t>
  </si>
  <si>
    <t>Roy, Bitty A/0000-0003-1666-5624;</t>
  </si>
  <si>
    <t>U.S. Environmental Protection Agency (EPA); City of Eugene; EPA STAR Research Fellowship [F5F11492]</t>
  </si>
  <si>
    <t>U.S. Environmental Protection Agency (EPA)(United States Environmental Protection Agency); City of Eugene; EPA STAR Research Fellowship</t>
  </si>
  <si>
    <t>This research was funded by a wetland development grant from the U.S. Environmental Protection Agency (EPA), with matching funds provided by the City of Eugene, and an EPA STAR Research Fellowship to Laurel Pfeifer-Meister (No. F5F11492). The funders had no role in study design, data collection and analysis, decision to publish, or preparation of the manuscript.</t>
  </si>
  <si>
    <t>AUG 28</t>
  </si>
  <si>
    <t>e5465</t>
  </si>
  <si>
    <t>10.7717/peerj.5465</t>
  </si>
  <si>
    <t>GS1SJ</t>
  </si>
  <si>
    <t>WOS:000443311800003</t>
  </si>
  <si>
    <t>Tian, GL; Oladeji, O; Morgan, B; El-Naggar, E; Cox, A; Zhang, H; Podczerwinski, E</t>
  </si>
  <si>
    <t>Tian, Guanglong; Oladeji, Olawale; Morgan, Benjamin; El-Naggar, Essam; Cox, Albert; Zhang, Heng; Podczerwinski, Edward</t>
  </si>
  <si>
    <t>Intracellular carbon storage of microorganisms and resulting C sequestration in biosolids-amended agricultural soil</t>
  </si>
  <si>
    <t>Decarbonization; Soil organic matter; Wastewater treatment; Biosolids land application; Soil microbial physiology; Stressed environment improvement</t>
  </si>
  <si>
    <t>ORGANIC-MATTER; SEWAGE-SLUDGE; DYNAMICS; EFFICIENCY; STABILITY; LIFE</t>
  </si>
  <si>
    <t>To advance our understanding of how biosolids drive soil microorganisms to contribute to carbon sequestration in agricultural soil, we quantified microbial intracellular C storage using neutral lipid fatty acids (NLFA), microbial structural biomass using phospholipid fatty acids (PLFA), and soil C sequestration by analyzing soil organic C (SOC) changes. Soil samples were collected in 2024 and several other years since 2008 in Fulton County, western Illinois, in six agricultural fields treated with biosolids (1972-1984) at 550 Mg ha(-1) cumulatively, five control fields received agronomic rates of chemical fertilizer, and one reference field (the highest SOC in the region). Biosolids-amended soil showed a higher NLFA per unit of PLFA (NLFA/PLFA ratio) than conventional fertilizer soil, especially for bacteria, indicating higher microbial intracellular C storage as NLFA in biosolids-amended soil. In particular, the NLFA/PLFA ratio was almost fourfold higher for Actinomycetes markers, threefold higher for Gram+ bacteria, and twofold higher for Gram-bacteria in biosolids-amended soil than in conventional fertilizer soil. Bacteria in biosolids-amended soil were evidently better supported with higher active SOC and water-holding capacity than in conventional fertilizer soil. The new SOC equilibrium 40 years after the last biosolids application was 3.18 +/- 0.08 % in biosolids-amended soil, 1.26 +/- 0.02 % in conventional fertilizer soil, and 2.24 +/- 0.07 % in reference soil. Resulting mean net soil C sequestration in response to biosolids application was 37.1 +/- 4.2 Mg ha(-1) compared to 3.9 +/- 0.2 Mg ha(-1) in conventional fertilizer soil. Greenhouse gas emission reduction by biosolids application was estimated to be on average 0.59 Mg CO2-equivalent Mg biosolids(-1). Microbes associated with biosolids addition have the potential to improve SOC levels for agricultural soil C sequestration via their superior NLFA intracellular storage potential.</t>
  </si>
  <si>
    <t>[Tian, Guanglong; Oladeji, Olawale; Morgan, Benjamin; El-Naggar, Essam; Cox, Albert; Zhang, Heng; Podczerwinski, Edward] Metropolitan Water Reclamat Dist Greater Chicago, Monitoring &amp; Res Dept, 6001 W Pershing Rd, Cicero, IL 60804 USA</t>
  </si>
  <si>
    <t>Tian, GL (corresponding author), Metropolitan Water Reclamat Dist Greater Chicago, Monitoring &amp; Res Dept, 6001 W Pershing Rd, Cicero, IL 60804 USA.</t>
  </si>
  <si>
    <t>TianG@MWRD.Org</t>
  </si>
  <si>
    <t>Oladeji, Olawale/0000-0003-2060-0006</t>
  </si>
  <si>
    <t>10.1016/j.soilbio.2025.109836</t>
  </si>
  <si>
    <t>2NT8J</t>
  </si>
  <si>
    <t>WOS:001487038700001</t>
  </si>
  <si>
    <t>Ren, CC; Rosa, L</t>
  </si>
  <si>
    <t>Ren, Chenchen; Rosa, Lorenzo</t>
  </si>
  <si>
    <t>Global energy and carbon emissions of irrigation and fertilizers management for closing crop yield gaps</t>
  </si>
  <si>
    <t>energy; climate change; greenhouse gas emissions; irrigation; fertilizers; sustainable agriculture</t>
  </si>
  <si>
    <t>FOOD SECURITY; NUTRIENT; DEMAND</t>
  </si>
  <si>
    <t>Yield gaps present a key opportunity to meet the increasing global food demand. Defined as the difference between actual and attainable crop yields, they can be reduced by expanding irrigation and increasing nutrient inputs-strategies whose land, water, and nutrient requirements have been quantified in previous studies; however, their energy consumption and emissions remain largely unknown. This study quantifies the energy consumption and greenhouse gas (GHG) emissions associated with yield gap closure through irrigation and fertilizer management. Our findings indicate that energy consumption for irrigation pumping, and fertilizer production under baseline scenario is 462 TWh and 1884 TWh per year, respectively. Nitrogen, phosphorus, and potassium fertilizers account for 97%, 2%, and 1% of total fertilizer energy consumption. These activities contribute 552 Mt CO2e annually-154 Mt from irrigation and 398 Mt from fertilizer production. Closing the full yield gap would double annual energy consumption to 4579 TWh with emissions of 1.1 Gt CO2e, equivalent to 3% of global energy consumption and 2% of total GHG emissions in 2020. Although closing 75% or 50% of the yield gap would reduce energy use and GHG emissions, countries such as India, Pakistan, Afghanistan, and several in Sub-Saharan Africa would still face disproportionate burdens, requiring over 15% of their national energy consumption and more than 5% of their total GHG emissions to achieve the full yield gap closure. These findings reveal pronounced regional disparities in agricultural productivity, energy demands, and environmental trade-offs, underscoring the need for locally tailored strategies to strengthen food system resilience, while also advancing low-carbon energy infrastructure, reducing fossil fuel dependence, and enhancing energy security.</t>
  </si>
  <si>
    <t>[Ren, Chenchen; Rosa, Lorenzo] Carnegie Inst Sci, Biosphere Sci &amp; Engn, Stanford, CA 94035 USA</t>
  </si>
  <si>
    <t>Carnegie Institution for Science</t>
  </si>
  <si>
    <t>Rosa, L (corresponding author), Carnegie Inst Sci, Biosphere Sci &amp; Engn, Stanford, CA 94035 USA.</t>
  </si>
  <si>
    <t>lrosa@carnegiescience.edu</t>
  </si>
  <si>
    <t>Rosa, Lorenzo/ABD-7884-2020</t>
  </si>
  <si>
    <t>Alfred P Sloan Foundation [G-2024-22698]; Ellen E Look</t>
  </si>
  <si>
    <t>Alfred P Sloan Foundation(Alfred P. Sloan Foundation); Ellen E Look</t>
  </si>
  <si>
    <t>This research was partially supported by the Alfred P Sloan Foundation as in award G-2024-22698. This research received philanthropic support from Anthony J Cavalieri and Ellen E Look.</t>
  </si>
  <si>
    <t>10.1088/1748-9326/adfbfd</t>
  </si>
  <si>
    <t>6YA6K</t>
  </si>
  <si>
    <t>WOS:001564727300001</t>
  </si>
  <si>
    <t>Matsuura, E; Komatsuzaki, M; Hashimi, R</t>
  </si>
  <si>
    <t>Matsuura, Eri; Komatsuzaki, Masakazu; Hashimi, Rahmatullah</t>
  </si>
  <si>
    <t>Assessment of Soil Organic Carbon Storage in Vegetable Farms Using Different Farming Practices in the Kanto Region of Japan</t>
  </si>
  <si>
    <t>environmentally friendly farming; life cycle assessment; carbon sequestration; nature farming; grass mulching</t>
  </si>
  <si>
    <t>MODEL</t>
  </si>
  <si>
    <t>Agricultural fields can store substantial amounts of atmospheric carbon in the soil. In 2011, the Environmentally Friendly Farming Direct Payment Program (EFFDPP) began as a way to promote sustainable agriculture, but the approved methods for receiving the subsidy are limited to the use of manure and cover crops. For evaluating other options for the EFFDPP, we calculated soil carbon inputs and CO2 emissions in four nature farming (NF) systems for comparisons with conventional farming (CF) and environmentally friendly farming (EF) systems. In 2015, we collected data on farm management from interviews and conducted a field experiment for NF. According to the calculations using a modified Roth C model, the ability for soil carbon sequestration predicted over the next 20 years is the highest in a no-till NF system with grass mulching. CO2 emission per ha for CF was 4.8 tCO(2)/ha, which was eight times higher than that for NF. However, the highest CO2 emission per kg of crop was noted in NF with no grass mulching due to very low yield. The total CO2 emission for CF was similar to that for EF. The NF systems were beneficial in reducing CO2 emission, but a combination of other approaches is required for satisfying EFFDPP criteria.</t>
  </si>
  <si>
    <t>[Matsuura, Eri] Tokyo Univ Agr &amp; Technol, Grad Sch Agr, Fuchu, Tokyo 1830057, Japan; [Komatsuzaki, Masakazu] Ibaraki Univ, Coll Agr, Ctr Field Sci Res &amp; Educ, Ami, Ibaraki 3000393, Japan; [Hashimi, Rahmatullah] Shaikh Zayed Univ, Fac Agr, Khost 2504, Afghanistan</t>
  </si>
  <si>
    <t>Tokyo University of Agriculture &amp; Technology; Ibaraki University; Shaikh Zayed University</t>
  </si>
  <si>
    <t>Komatsuzaki, M (corresponding author), Ibaraki Univ, Coll Agr, Ctr Field Sci Res &amp; Educ, Ami, Ibaraki 3000393, Japan.</t>
  </si>
  <si>
    <t>erithacus6@gmail.com; masakazu.komatsuzaki.fsc@vc.ibaraki.ac.jp; rahmatullah_hashimi@yahoo.com</t>
  </si>
  <si>
    <t>Hashimi, Rahmatullah/AAT-2151-2020; Komatsuzaki, Masakazu/AAO-1306-2021</t>
  </si>
  <si>
    <t>Hashimi, Rahmatullah/0000-0003-3390-4172; Matsuura, Eri/0000-0001-7357-8688; Komatsuzaki, Masakazu/0000-0002-1709-8900</t>
  </si>
  <si>
    <t>Shumei Natural Agriculture Network</t>
  </si>
  <si>
    <t>I would like to show my appreciation to J.A. Kanra and the farmers who joined the interviews. This project was funded by the Shumei Natural Agriculture Network. I would like to thank the Komatsuzaki lab members for helping the field experiment. The authors would like to thank Enago (www.enago.jp) for the English language review.</t>
  </si>
  <si>
    <t>10.3390/su10010152</t>
  </si>
  <si>
    <t>FW1TN</t>
  </si>
  <si>
    <t>WOS:000425082600150</t>
  </si>
  <si>
    <t>Mariappan, S; Hartley, IP; Cressey, EL; Dungait, JAJ; Quine, TA</t>
  </si>
  <si>
    <t>Mariappan, Sankar; Hartley, Iain P.; Cressey, Elizabeth L.; Dungait, Jennifer A. J.; Quine, Timothy A.</t>
  </si>
  <si>
    <t>Soil burial reduces decomposition and offsets erosion-induced soil carbon losses in the Indian Himalaya</t>
  </si>
  <si>
    <t>carbon budget; erosion; Himalaya; priming; soil redistribution; tillage</t>
  </si>
  <si>
    <t>ORGANIC-CARBON; C EROSION; SPATIAL VARIATION; MATTER; IMPACT; RATES; LAND; MINERALIZATION; SEQUESTRATION; AGGREGATION</t>
  </si>
  <si>
    <t>The extent to which soil erosion is a net source or sink of carbon globally remains unresolved but has the potential to play a key role in determining the magnitude of CO2 emissions from land-use change in rapidly eroding landscapes. The effects of soil erosion on carbon storage in low-input agricultural systems, in acknowledged global soil erosion hotspots in developing countries, are especially poorly understood. Working in one such hotspot, the Indian Himalaya, we measured and modelled field-scale soil budgets, to quantify erosion-induced changes in soil carbon storage. In addition, we used long-term (1-year) incubations of separate and mixed soil horizons to better understand the mechanisms controlling erosion-induced changes in soil carbon cycling. We demonstrate that high rates of soil erosion did not promote a net carbon loss to the atmosphere at the field scale. Furthermore, our experiments showed that rates of decomposition in the organic matter-rich subsoil layers in depositional areas were lower per unit of soil carbon than from other landscape positions; however, these rates could be increased by mixing with topsoils. The results indicate that, the burial of soil carbon, and separation from fresh carbon inputs, led to reduced rates of decomposition offsetting potential carbon losses during soil erosion and transport within the cultivated fields. We conclude that the high rates of erosion experienced in these Himalayan soils do not, in isolation, drive substantial emissions of organic carbon, and there is the potential to promote carbon storage through sustainable agricultural practice.</t>
  </si>
  <si>
    <t>[Mariappan, Sankar; Hartley, Iain P.; Cressey, Elizabeth L.; Dungait, Jennifer A. J.; Quine, Timothy A.] Univ Exeter, Coll Life &amp; Environm Sci, Geog, Exeter, Devon, England; [Mariappan, Sankar] Indian Council Agr Res, Indian Inst Soil &amp; Water Conservat, Dehra Dun 248195, Uttarakhand, India</t>
  </si>
  <si>
    <t>University of Exeter; Indian Council of Agricultural Research (ICAR); ICAR - Indian Institute of Soil &amp; Water Conservation</t>
  </si>
  <si>
    <t>Mariappan, S (corresponding author), Indian Council Agr Res, Indian Inst Soil &amp; Water Conservat, Dehra Dun 248195, Uttarakhand, India.</t>
  </si>
  <si>
    <t>M.Sankar1@icar.gov.in</t>
  </si>
  <si>
    <t>; Dungait, Jennifer/F-1110-2013; Hartley, Iain/J-7892-2016; Dungait, Jennifer/AAV-7301-2021; Quine, Timothy/B-2984-2010</t>
  </si>
  <si>
    <t>Quine, Timothy/0000-0002-5143-5157; Dungait, Jennifer/0000-0001-9074-4174; Cressey, Elizabeth/0000-0002-2535-6420; MARIAPPAN, SANKAR/0000-0003-1156-6838</t>
  </si>
  <si>
    <t>University of Exeter; Indian Council of Agricultural Research</t>
  </si>
  <si>
    <t>University of Exeter; Indian Council of Agricultural Research(Indian Council of Agricultural Research (ICAR))</t>
  </si>
  <si>
    <t>10.1111/gcb.15987</t>
  </si>
  <si>
    <t>YH0MZ</t>
  </si>
  <si>
    <t>WOS:000722272700001</t>
  </si>
  <si>
    <t>Bharali, A; Baruah, KK; Gogoi, N</t>
  </si>
  <si>
    <t>Bharali, Ashmita; Baruah, K. K.; Gogoi, Nirmali</t>
  </si>
  <si>
    <t>Methane emission from irrigated rice ecosystem: relationship with carbon fixation, partitioning and soil carbon storage</t>
  </si>
  <si>
    <t>PADDY AND WATER ENVIRONMENT</t>
  </si>
  <si>
    <t>Rice varieties; Irrigated ecosystem; Methane; Photosynthesis; Soil carbon storage</t>
  </si>
  <si>
    <t>GRAIN-YIELD; PHOTOSYNTHESIS; PLANT; PADDY; WHEAT; SEQUESTRATION; CULTIVARS; NITROGEN; DIOXIDE; RESPIRATION</t>
  </si>
  <si>
    <t>Rice is a major agricultural crop and accounts for 40 % of the total food grain production of India. A field experiment was conducted for two successive seasons (December-June, 2012-13 and December-June, 2013-14) to assess the efficiency of rice varieties for methane (CH4) emission in relation to atmospheric carbon fixation, partitioning of carbon, and storage in the soil. Six high yielding rice varieties, Bahadur, Cauvery, Dinanath, Joymoti, Kanaklata, and Swarnabh were grown under irrigated condition. Results of the present investigation depicted differences in photosynthetic rate among the varieties accompanied by differential ability for plant biomass partitioning between the shoots and the roots. Stomatal frequency of flag leaf at panicle initiation stage was found to have strong influence on photosynthesis. Low CH4-emitting rice varieties, Bahadur and Dinanath, were found to have lower size of the xylem vessels than the high CH4-emitting rice varieties, Joymoti and Kanaklata, and found to influence the CH4 flux. Soil organic carbon storage of 0.505 Mg C ha(-1) y(-1) in the plough layer of soil (0-15 cm) confirmed that irrigated rice ecosystem is an effective sink of carbon. These findings suggest that selection of suitable rice varieties with higher photosynthetic efficiency and lower emission of CH4 can be a suitable biological mitigation of this greenhouse gas. Although an inverse relationship of CH4 with carbon dioxide (CO2) efflux was observed, irrigated rice ecosystem has a good potential to store substantial amount of carbon in the soil.</t>
  </si>
  <si>
    <t>[Bharali, Ashmita; Baruah, K. K.; Gogoi, Nirmali] Tezpur Univ, Dept Environm Sci, Tezpur 784028, Assam, India</t>
  </si>
  <si>
    <t>Tezpur University</t>
  </si>
  <si>
    <t>Baruah, KK (corresponding author), Tezpur Univ, Dept Environm Sci, Tezpur 784028, Assam, India.</t>
  </si>
  <si>
    <t>kkbaruah14@gmail.com</t>
  </si>
  <si>
    <t>Gogoi, Nirmali/AAN-6894-2020</t>
  </si>
  <si>
    <t>Department of Science and Technology (DST), Govt. of India [DST/IS-STAC/CO2-SR-105/11]</t>
  </si>
  <si>
    <t>Department of Science and Technology (DST), Govt. of India(Department of Science &amp; Technology (India))</t>
  </si>
  <si>
    <t>The authors thank the Department of Science and Technology (DST), Govt. of India for their financial support in conducting the experiments through a project entitled, Evaluation of carbon sequestration and enhancing carbon sinks in rice based agro ecosystems of Assam [Reference no: DST/IS-STAC/CO2-SR-105/11 (G)]. We are also grateful to Dr. Pankaj Kr Deb Choudhury, Senior Scientist, Regional Agricultural Research Station, AAU, Shillongoni, Nagaon, Assam, India for providing us the seeds and information on the varieties.</t>
  </si>
  <si>
    <t>1611-2490</t>
  </si>
  <si>
    <t>1611-2504</t>
  </si>
  <si>
    <t>PADDY WATER ENVIRON</t>
  </si>
  <si>
    <t>Paddy Water Environ.</t>
  </si>
  <si>
    <t>10.1007/s10333-016-0541-3</t>
  </si>
  <si>
    <t>Agricultural Engineering; Agronomy</t>
  </si>
  <si>
    <t>EM2VB</t>
  </si>
  <si>
    <t>WOS:000395172800001</t>
  </si>
  <si>
    <t>Abu-Khalaf, N; Natour, YAR</t>
  </si>
  <si>
    <t>Abu-Khalaf, Nawaf; Natour, Yasser A. R.</t>
  </si>
  <si>
    <t>Agricultural Mechanization Situation in the Palestinian Territories</t>
  </si>
  <si>
    <t>In this paper, general information about agricultural and agricultural mechanization situation in Palestinian territories is presented taking into consideration that there is a scarce in articles related to agricultural mechanization in Palestinian territories. Different activities of Ministry of Agriculture (MOA) in the Palestinian National Authority (PNA) related to agricultural mechanization are discussed. Situation of several machineries (e.g. tractors, tillage equipments, sprayers, grain drills and seeders, threshing machines, potato planters and harvesting machine) and future vision are presented. Generally, there is no balance between the number of agricultural machines and the total planted area, and there is a need for more advanced efficient agricultural machines.</t>
  </si>
  <si>
    <t>[Abu-Khalaf, Nawaf] Palestine Tech Univ Kadoorie, Tech &amp; Appl Res Ctr, PB Box 7, Tulkarm, Israel; [Natour, Yasser A. R.] Palestinian Minist Agr MOA, Field Crops &amp; Agr Mechanizat Dept, Ramallah, Palestine</t>
  </si>
  <si>
    <t>Palestine Technical University - Kadoorie</t>
  </si>
  <si>
    <t>Abu-Khalaf, N (corresponding author), Palestine Tech Univ Kadoorie, Tech &amp; Appl Res Ctr, PB Box 7, Tulkarm, Israel.</t>
  </si>
  <si>
    <t>nawafu@hotmail.com; yassernatour@hotmail.com</t>
  </si>
  <si>
    <t>; Abu-Khalaf, Nawaf/R-8617-2019</t>
  </si>
  <si>
    <t>Abu-Khalaf, Nawaf/0000-0002-0007-710X;</t>
  </si>
  <si>
    <t>SUM</t>
  </si>
  <si>
    <t>AP2MC</t>
  </si>
  <si>
    <t>WOS:000341905300004</t>
  </si>
  <si>
    <t>Supchocksoonthorn, P; Nuntahirun, P; Soublerk, S; Kaewkhong, C; Thongsai, N; Sangtawesin, T; Wang, Y; Paoprasert, P</t>
  </si>
  <si>
    <t>Supchocksoonthorn, Preeyanuch; Nuntahirun, Pattaraporn; Soublerk, Samita; Kaewkhong, Chanuda; Thongsai, Nichaphat; Sangtawesin, Tanagorn; Wang, Yao; Paoprasert, Peerasak</t>
  </si>
  <si>
    <t>Novel fluorescence-based and portable detection platforms using nitrogen-doped carbon dots for environmental monitoring of dichloran fungicide</t>
  </si>
  <si>
    <t>SPECTROCHIMICA ACTA PART A-MOLECULAR AND BIOMOLECULAR SPECTROSCOPY</t>
  </si>
  <si>
    <t>Nitrogen-doped carbon dots; Dichloran; Maleic anhydride; Diethylenetriamine; Fluorescence sensor</t>
  </si>
  <si>
    <t>ORGANIC FRAMEWORKS; PYRIMETHANIL; MECHANISM; EMISSION; SENSORS; GREEN; VAPOR; PROBE</t>
  </si>
  <si>
    <t>A novel fluorescence sensor utilizing label-free nitrogen self-doped carbon dots (NCDs) was developed for the sensitive, selective, and rapid determination of dichloran fungicide, popularly used in agricultural and horticultural fields. The NCDs were prepared from maleic anhydride and diethylenetriamine via a one-step pyrolysis process. They demonstrated strong blue fluorescence emission with a quantum yield of 12 %. With the addition of dichloran, the fluorescence emission of NCDs was quenched, attributed to the inner filter effect and dynamic quenching. They demonstrated outstanding sensitivity to dichloran with a linear range between 1.0 and 50.0 mu M and a remarkably low detection limit of 7.6 nM, the best reported date. The sensing process could be repeatedly and rapidly generated within 30 s. Additionally, the NCDs exhibited selectivity towards dichloran amidst interferences, including common metal ions, organic chemicals, and other fungicides. The detection of dichloran in carrots, grapes, and drinking water was successfully accomplished using NCDs, yielding satisfactory recovery results ranging between 95.1 and 108.7 %. Moreover, a paper-based sensor based on NCDs as sensing probes was demonstrated to observe the fluorescence quenching towards dichloran, with a detection limit of 4.24 mu M. It also showed high efficacy in distinguishing and selectively detecting dichloran against interferences. Therefore, this work contributes to the development of efficient and portable detection platforms with applications in environmental monitoring and agricultural fields.</t>
  </si>
  <si>
    <t>[Supchocksoonthorn, Preeyanuch; Nuntahirun, Pattaraporn; Soublerk, Samita; Kaewkhong, Chanuda; Paoprasert, Peerasak] Thammasat Univ, Fac Sci &amp; Technol, Dept Chem, Pathum Thani 12120, Thailand; [Thongsai, Nichaphat] Ramkhamhang Univ, Fac Sci, Dept Chem, Bangkok 10240, Thailand; [Sangtawesin, Tanagorn] Thailand Inst Nucl Technol, Nakhon Nayok 26120, Thailand; [Wang, Yao] South China Normal Univ, Inst Elect Paper Displays, South China Acad Adv Optoelect, Guangdong Prov Key Lab Opt Informat Mat &amp; Technol, Guangzhou 510006, Peoples R China; [Wang, Yao] South China Normal Univ, Natl Ctr Int Res Green Optoelect, Guangzhou 510006, Peoples R China; [Paoprasert, Peerasak] Chulalongkorn Univ, Ctr Excellence Petrochem &amp; Mat Technol, Bangkok 10330, Thailand</t>
  </si>
  <si>
    <t>Thammasat University; Ramkhamhaeng University; Asian Institute of Technology; South China Normal University; South China Normal University; Chulalongkorn University</t>
  </si>
  <si>
    <t>Paoprasert, P (corresponding author), Thammasat Univ, Fac Sci &amp; Technol, Dept Chem, Pathum Thani 12120, Thailand.</t>
  </si>
  <si>
    <t>peerasak@tu.ac.th</t>
  </si>
  <si>
    <t>; Paoprasert, Peerasak/AAD-4256-2020</t>
  </si>
  <si>
    <t>Sangtawesin, Tanagorn/0000-0003-2377-8969;</t>
  </si>
  <si>
    <t>Thammasat University Research Fund [TUFT 101/2567]; NSRF via the Program Management Unit for Human Resources &amp; Institutional Development, Research and Innovation [B13F670069]; Hub of Talent: Sustainable Materials for Circular Economy, National Research Council of Thailand (NRCT); Hub of Talent: Sustainable Materials for Circular Economy, National Research Council of Thailand (NRCT)</t>
  </si>
  <si>
    <t>Thammasat University Research Fund; NSRF via the Program Management Unit for Human Resources &amp; Institutional Development, Research and Innovation; Hub of Talent: Sustainable Materials for Circular Economy, National Research Council of Thailand (NRCT); Hub of Talent: Sustainable Materials for Circular Economy, National Research Council of Thailand (NRCT)</t>
  </si>
  <si>
    <t>This work is funded by the Thammasat University Research Fund [Contract No. TUFT 101/2567] . This research has received funding support from the NSRF via the Program Management Unit for Human Resources &amp; Institutional Development, Research and Innovation [grant number B13F670069] . This research and innovation activity is also funded by Hub of Talent: Sustainable Materials for Circular Economy, National Research Council of Thailand (NRCT) .</t>
  </si>
  <si>
    <t>1386-1425</t>
  </si>
  <si>
    <t>1873-3557</t>
  </si>
  <si>
    <t>SPECTROCHIM ACTA A</t>
  </si>
  <si>
    <t>Spectroc. Acta Pt. A-Molec. Biomolec. Spectr.</t>
  </si>
  <si>
    <t>AUG 5</t>
  </si>
  <si>
    <t>10.1016/j.saa.2025.125990</t>
  </si>
  <si>
    <t>MAR 2025</t>
  </si>
  <si>
    <t>Spectroscopy</t>
  </si>
  <si>
    <t>0FL0V</t>
  </si>
  <si>
    <t>WOS:001446092500001</t>
  </si>
  <si>
    <t>Ouyang, W; Geng, XJ; Huang, WJ; Hao, FH; Zhao, JB</t>
  </si>
  <si>
    <t>Ouyang, Wei; Geng, Xiaojun; Huang, Wejia; Hao, Fanghua; Zhao, Jinbo</t>
  </si>
  <si>
    <t>Soil respiration characteristics in different land uses and response of soil organic carbon to biochar addition in high-latitude agricultural area</t>
  </si>
  <si>
    <t>Soil respiration; Land use; Biochar amendment; Soil organic carbon conservation; High-latitude agricultural area; Diffuse pollution</t>
  </si>
  <si>
    <t>NITROUS-OXIDE; NORTHEAST CHINA; NO-TILLAGE; EMISSIONS; CLIMATE; AMENDMENTS; SORPTION; DIOXIDE; IMPACT; STRAW</t>
  </si>
  <si>
    <t>The farmland tillage practices changed the soil chemical properties, which also impacted the soil respiration (R (s) ) process and the soil carbon conservation. Originally, the farmland in northeast China had high soil carbon content, which was decreased in the recent decades due to the tillage practices. To better understand the R (s) dynamics in different land use types and its relationship with soil carbon loss, soil samples at two layers (0-15 and 15-30 cm) were analyzed for organic carbon (OC), total nitrogen (TN), total phosphorus (TP), total carbon (TC), available nitrogen (AN), available phosphorus (AP), soil particle size distribution, as well as the R (s) rate. The R (s) rate of the paddy land was 0.22 (at 0-15 cm) and 3.01 (at 15-30 cm) times of the upland. The average concentrations of OC and clay content in cultivated areas were much lower than in non-cultivated areas. The partial least squares analysis suggested that the TC and TN were significantly related to the R (s) process in cultivated soils. The upland soil was further used to test soil CO2 emission response at different biochar addition levels during 70-days incubation. The measurement in the limited incubation period demonstrated that the addition of biochar improved the soil C content because it had high concentration of pyrogenic C, which was resistant to mineralization. The analysis showed that biochar addition can promote soil OC by mitigating carbon dioxide (CO2) emission. The biochar addition achieved the best performance for the soil carbon conservation in high-latitude agricultural area due to the originally high carbon content.</t>
  </si>
  <si>
    <t>[Ouyang, Wei; Geng, Xiaojun; Huang, Wejia; Hao, Fanghua; Zhao, Jinbo] Beijing Normal Univ, Sch Environm, State Key Lab Water Environm Simulat, Beijing 100875, Peoples R China</t>
  </si>
  <si>
    <t>Beijing Normal University</t>
  </si>
  <si>
    <t>Ouyang, W (corresponding author), Beijing Normal Univ, Sch Environm, State Key Lab Water Environm Simulat, Beijing 100875, Peoples R China.</t>
  </si>
  <si>
    <t>wei@bnu.edu.cn</t>
  </si>
  <si>
    <t>ouyang, wei/AAM-8141-2020</t>
  </si>
  <si>
    <t>wei, ouyang/0000-0002-5851-056X</t>
  </si>
  <si>
    <t>Supporting Program of the Twelfth Five-year Plan for Science &amp; Technology Research of China [2012BAD15B05]; National Natural Science Foundation of China [41371018]; Fundamental Research Funds for the Central Universities</t>
  </si>
  <si>
    <t>Supporting Program of the Twelfth Five-year Plan for Science &amp; Technology Research of China; National Natural Science Foundation of China(National Natural Science Foundation of China (NSFC)); Fundamental Research Funds for the Central Universities(Fundamental Research Funds for the Central Universities)</t>
  </si>
  <si>
    <t>We are grateful for the assistance of the Bawujiu Farm in Heilongjiang Province. This study was financially supported by the Supporting Program of the Twelfth Five-year Plan for Science &amp; Technology Research of China (2012BAD15B05), the National Natural Science Foundation of China (Grant No. 41371018), and the Fundamental Research Funds for the Central Universities.</t>
  </si>
  <si>
    <t>10.1007/s11356-015-5306-9</t>
  </si>
  <si>
    <t>DB2YO</t>
  </si>
  <si>
    <t>WOS:000368376800029</t>
  </si>
  <si>
    <t>You, Y; Li, WP; Chen, YC; Zhang, QF; Zhang, KR</t>
  </si>
  <si>
    <t>You, Yong; Li, Weipeng; Chen, Youchao; Zhang, Quanfa; Zhang, Kerong</t>
  </si>
  <si>
    <t>Soil carbon and nitrogen accumulation during long-term natural vegetation restoration following agricultural abandonment in Qingling Mountains</t>
  </si>
  <si>
    <t>Stable isotopes; Vegetation restoration; Agricultural abandonment; Soil organic carbon; Soil recalcitrant carbon; New carbon accumulation</t>
  </si>
  <si>
    <t>LAND-USE CHANGES; ORGANIC-CARBON; RECALCITRANT POOLS; C-SEQUESTRATION; LOESS PLATEAU; MATTER; DYNAMICS; IMPACT; LABILE; AFFORESTATION</t>
  </si>
  <si>
    <t>Agricultural land abandonment has been proposed as a strategy for reducing greenhouse gas emissions, increasing soil carbon (C) sequestration, and enhancing soil nitrogen (N) levels in degraded ecosystems. However, the dynamic patterns of soil C and N pools and fractions following long-term agricultural abandonment are not well understood. In this study, we investigated the dynamics of soil organic C (SOC), recalcitrant organic C (RC), total N (TN), and recalcitrant organic N (RN) in 0-40 cm soils along a natural vegetation restoration gradient (i.e., croplands -&gt; grasslands -&gt; shrublands -&gt; forests) following agricultural abandonment in China's Qinling Mountains. Our results showed that the concentrations of SOC, RC, TN, and RN increased significantly along with vegetation restoration, but the SOC and TN stocks only increased in the 0-10 and 0-20 cm layers, respectively. The highest growth rates of new SOC (28.96 g m(-2) yr(-1)) and new RC (9.87 g m(-2) yr(-1)) were observed in shrublands, followed by the grasslands (new SOC, 14.80 g m(-2) yr(-1); new RC, 5.02 g m(-2) yr(-1)) and forests (new SOC, 9.06 g m(-2) yr(-1); new RC, 3.74 g m(-2) yr(-1)). The delta N-15 values of litter, fine root, and soil decreased significantly with stand age, indicating that the N cycling in abandoned ecosystems gradually became less open than that of croplands during vegetation restoration processes. The ratios of RN/TN decreased significantly with stand age across all soil layers, while the ratios of RC/SOC at 0-40 cm soils did not change with stand age and the differences among croplands, grasslands, shrublands, and forests were not significant. Our study reveals that soil C and N stocks only accumulate in topsoils during similar to 110 years of natural vegetation restoration and the recalcitrancy indices of soil C and N displayed different dynamic patterns, and also indicates that agricultural abandonment is an effective approach to increasing soil C and N stocks and mitigating the negative effects of agriculture on soil C and N pools.</t>
  </si>
  <si>
    <t>[You, Yong; Li, Weipeng] China West Normal Univ, Sch Geog Sci, Nanchong 637009, Peoples R China; [You, Yong; Chen, Youchao; Zhang, Quanfa; Zhang, Kerong] Chinese Acad Sci, CAS Key Lab Aquat Bot &amp; Watershed Ecol, Wuhan Bot Garden, Wuhan 430074, Peoples R China; [You, Yong] Sichuan Vocat Coll Chem Ind, Luzhou 646000, Peoples R China; [Chen, Youchao; Zhang, Quanfa; Zhang, Kerong] Chinese Acad Sci &amp; Hubei Prov, Danjiangkou Wetland Ecosyst Field Sci Observat &amp; R, Wuhan 430074, Peoples R China; [Zhang, Kerong] Chinese Acad Sci, Wuhan Bot Garden, Wuhan 430074, Peoples R China</t>
  </si>
  <si>
    <t>China West Normal University; Chinese Academy of Sciences; Wuhan Botanical Garden, CAS; Chinese Academy of Sciences; Wuhan Botanical Garden, CAS</t>
  </si>
  <si>
    <t>Li, WP (corresponding author), China West Normal Univ, Sch Geog Sci, Nanchong 637009, Peoples R China.;Zhang, KR (corresponding author), Chinese Acad Sci, Wuhan Bot Garden, Wuhan 430074, Peoples R China.</t>
  </si>
  <si>
    <t>wpliwenli@163.com; kerongzhang@wbgcas.cn</t>
  </si>
  <si>
    <t>; Zhang, Quanfa/H-1922-2011</t>
  </si>
  <si>
    <t>Li, Weipeng/0000-0003-4917-9462;</t>
  </si>
  <si>
    <t>National Natural Science Foundation of China [31922060, 32130069, 31720103905, 31770562]; Youth Innovation Promotion Association CAS [Y2022091]</t>
  </si>
  <si>
    <t>National Natural Science Foundation of China(National Natural Science Foundation of China (NSFC)); Youth Innovation Promotion Association CAS</t>
  </si>
  <si>
    <t>This research was supported by the National Natural Science Foundation of China (Nos.31922060, 32130069, 31720103905 and 31770562) , Youth Innovation Promotion Association CAS (No. Y2022091) .</t>
  </si>
  <si>
    <t>10.1016/j.ecoleng.2024.107212</t>
  </si>
  <si>
    <t>NL2L9</t>
  </si>
  <si>
    <t>WOS:001200544200001</t>
  </si>
  <si>
    <t>Vass, MM; Elofsson, K</t>
  </si>
  <si>
    <t>Vass, Miriam Munnich; Elofsson, Katarina</t>
  </si>
  <si>
    <t>Is forest carbon sequestration at the expense of bioenergy and forest products cost-efficient in EU climate policy to 2050?</t>
  </si>
  <si>
    <t>JOURNAL OF FOREST ECONOMICS</t>
  </si>
  <si>
    <t>Bioenergy; Cost-efficiency; Dynamic optimisation; EU; Climate policy; Forest carbon sequestration</t>
  </si>
  <si>
    <t>WOOD PRODUCTS; US FOREST; LAND-USE; BIOMASS; STRATEGIES; MODEL; IMPACTS; FUEL</t>
  </si>
  <si>
    <t>Forest management affects the quantity of CO2 emissions in the atmosphere through carbon sequestration in standing biomass, carbon storage in forest products and production of bioenergy. The main question studied in this paper is whether forest carbon sequestration is worth increasing at the expense of bioenergy and forest products to achieve the EU emissions reduction target for 2050 in a cost-efficient manner. A dynamic cost minimisation model is used to find the optimal combination of carbon abatement strategies to meet annual emissions targets between 2010 and 2050. The results indicate that forest carbon sequestration is a low-cost abatement method. With sequestration, the net present costs of meeting EU carbon targets can be reduced by 23%. (C) 2016 Department of Forest Economics, Swedish University of Agricultural Sciences, Ume (a) over circle. Published by Elsevier GmbH. This is an open access article under the CC BY-NC-ND license</t>
  </si>
  <si>
    <t>[Vass, Miriam Munnich; Elofsson, Katarina] Swedish Univ Agr Sci SLU, Dept Econ, Box 7013, S-75007 Uppsala, Sweden</t>
  </si>
  <si>
    <t>Swedish University of Agricultural Sciences</t>
  </si>
  <si>
    <t>Vass, MM (corresponding author), Metkroken 8, S-19341 Sigtuna, Sweden.</t>
  </si>
  <si>
    <t>miriam.munnich-vass@naturvardsverket.se; Katarina.elofsson@slu.se</t>
  </si>
  <si>
    <t>Elofsson, Katarina/0000-0003-1653-3437</t>
  </si>
  <si>
    <t>Swedish Energy Agency [354444-1]</t>
  </si>
  <si>
    <t>Swedish Energy Agency(Swedish Energy Agency)</t>
  </si>
  <si>
    <t>We thank two anonymous reviewers of this journal for very useful comments. Financial support from the Swedish Energy Agency (Grant No. 354444-1) is gratefully acknowledged.</t>
  </si>
  <si>
    <t>NOW PUBLISHERS INC</t>
  </si>
  <si>
    <t>HANOVER</t>
  </si>
  <si>
    <t>PO BOX 1024, HANOVER, MA 02339, UNITED STATES</t>
  </si>
  <si>
    <t>1104-6899</t>
  </si>
  <si>
    <t>1618-1530</t>
  </si>
  <si>
    <t>J FOREST ECON</t>
  </si>
  <si>
    <t>J. For. Econ.</t>
  </si>
  <si>
    <t>10.1016/j.jfe.2016.04.002</t>
  </si>
  <si>
    <t>Economics; Forestry</t>
  </si>
  <si>
    <t>Business &amp; Economics; Forestry</t>
  </si>
  <si>
    <t>EO0GY</t>
  </si>
  <si>
    <t>WOS:000396377500006</t>
  </si>
  <si>
    <t>Zimnoch, M; Necki, J; Chmura, L; Jasek, A; Jelen, D; Galkowski, M; Kuc, T; Gorczyca, Z; Bartyzel, J; Rozanski, K</t>
  </si>
  <si>
    <t>Zimnoch, Miroslaw; Necki, Jaroslaw; Chmura, Lukasz; Jasek, Alina; Jelen, Dorota; Galkowski, Michal; Kuc, Tadeusz; Gorczyca, Zbigniew; Bartyzel, Jakub; Rozanski, Kazimierz</t>
  </si>
  <si>
    <t>Quantification of carbon dioxide and methane emissions in urban areas: source apportionment based on atmospheric observations</t>
  </si>
  <si>
    <t>MITIGATION AND ADAPTATION STRATEGIES FOR GLOBAL CHANGE</t>
  </si>
  <si>
    <t>Anthropogenic emissions; Carbon dioxide; Methane; Source apportionment; Urban environment; Krakow agglomeration</t>
  </si>
  <si>
    <t>FOSSIL-FUEL CO2; MIXING RATIOS; AIRBORNE MEASUREMENTS; ISOTOPIC COMPOSITION; GAS EMISSIONS; VARIABILITY; EUROPE; FLUXES; KRAKOW; RADON</t>
  </si>
  <si>
    <t>Anthropogenic emissions of carbon dioxide (CO2) and methane (CH4) in the atmosphere constitute an important component of the related carbon budget. The main source of anthropogenic CO2 is burning of fossil fuels, especially in densely populated areas. Similar emissions of CH4 are associated with the agricultural sector, coal mining, and other human activities, such as waste management and storage and natural gas networks supplying methane to large urban, industrial centers. We discuss several methods aimed at characterizing and quantifying atmospheric loads and fluxes of CO2 and CH4 in Krakow, the second largest city in Poland. The methods are based on atmospheric observations of mixing ratios as well as isotopic composition of the investigated gases. Atmospheric mixing ratios of CO2 and CH4 were measured using gas chromatography (GC) and cavity ring-down spectroscopy (CRDS). The isotopic composition of CO2 and CH4 was analyzed using isotope ratio mass spectrometry (IRMS), accelerator mass spectrometry (AMS), and CRDS techniques. These data, combined with auxiliary information characterizing the intensity of vertical mixing in the lower atmosphere (height of the nocturnal boundary layer [NBL] and atmospheric Rn-222 concentration), were further used to quantify emission rates of CO2 and CH4 in the urban atmosphere of Krakow. These methods provide an efficient way of quantifying surface emissions of major greenhouse gases originating from distributed sources, thus complementing the widely used bottom-up methodology based on emission statistics.</t>
  </si>
  <si>
    <t>[Zimnoch, Miroslaw; Necki, Jaroslaw; Chmura, Lukasz; Jasek, Alina; Jelen, Dorota; Galkowski, Michal; Kuc, Tadeusz; Gorczyca, Zbigniew; Bartyzel, Jakub; Rozanski, Kazimierz] AGH Univ Sci &amp; Technol, Fac Phys &amp; Appl Comp Sci, Al Mickiewicza 30, PL-30059 Krakow, Poland; [Chmura, Lukasz; Jasek, Alina] IMGW Inst Meteorol &amp; Water Management, Branch Krakow, Krakow, Poland</t>
  </si>
  <si>
    <t>AGH University of Krakow</t>
  </si>
  <si>
    <t>Zimnoch, M (corresponding author), AGH Univ Sci &amp; Technol, Fac Phys &amp; Appl Comp Sci, Al Mickiewicza 30, PL-30059 Krakow, Poland.</t>
  </si>
  <si>
    <t>zimnoch@agh.edu.pl</t>
  </si>
  <si>
    <t>Bartyzel, Jakub/E-9864-2017; Zimnoch, Miroslaw/H-8347-2016; Chmura, Lukasz/F-1054-2017; Gałkowski, Michał/A-9995-2017; Necki, Jaroslaw/B-8469-2015</t>
  </si>
  <si>
    <t>Bartyzel, Jakub/0000-0001-8163-2680; Zimnoch, Miroslaw/0000-0002-0594-9376; Rozanski, Kazimierz/0000-0003-4704-0379; Gorczyca, Zbigniew/0000-0002-1643-4589; Chmura, Lukasz/0000-0003-4950-4827; Gałkowski, Michał/0000-0003-1681-3965; Necki, Jaroslaw/0000-0002-0225-2581; Jasek-Kaminska, Alina/0000-0001-9936-9913</t>
  </si>
  <si>
    <t>EU project EUROHYDROS; EU project CARBOEUROPE; Ministry of Science and Higher Education [2256/B/P01/2007/33, 4132/B/T02/2008/43]; AGH University of Science and Technology [11.11.220.01/1]</t>
  </si>
  <si>
    <t>EU project EUROHYDROS; EU project CARBOEUROPE(European Union (EU)); Ministry of Science and Higher Education; AGH University of Science and Technology</t>
  </si>
  <si>
    <t>The work has been partially supported by EU projects EUROHYDROS and CARBOEUROPE, grants of the Ministry of Science and Higher Education (Project Nos. 2256/B/P01/2007/33 and 4132/B/T02/2008/43) and the statutory funds of the AGH University of Science and Technology (Project No. 11.11.220.01/1). The authors thank four anonymous reviewers for detailed and critical comments, which significantly improved the manuscript.</t>
  </si>
  <si>
    <t>1381-2386</t>
  </si>
  <si>
    <t>1573-1596</t>
  </si>
  <si>
    <t>MITIG ADAPT STRAT GL</t>
  </si>
  <si>
    <t>Mitig. Adapt. Strateg. Glob. Chang.</t>
  </si>
  <si>
    <t>10.1007/s11027-018-9821-0</t>
  </si>
  <si>
    <t>IR9WR</t>
  </si>
  <si>
    <t>WOS:000481797800009</t>
  </si>
  <si>
    <t>Peng, LA; Sun, N; Jiang, ZD; Yan, ZY; Xu, JP</t>
  </si>
  <si>
    <t>Peng, Lina; Sun, Ning; Jiang, Zhide; Yan, Zhenyu; Xu, Jiapeng</t>
  </si>
  <si>
    <t>The impact of urban-rural integration on carbon emissions of rural household energy consumption: evidence from China</t>
  </si>
  <si>
    <t>Urban-rural integration; Energy conservation; Carbon emission reduction; Rural household carbon emissions; Inverted N curve; Mediated effects</t>
  </si>
  <si>
    <t>DIOXIDE EMISSIONS; URBANIZATION; INCOME; PANEL</t>
  </si>
  <si>
    <t>The symbiotic relationship between urban-rural integration and carbon emission reduction constitutes the fundamental objectives and impetus in China's economic metamorphosis. The intricate interplay between urban-rural integration and carbon emission reduction represents the critical factor for the consummate achievements of China's environmental overhaul in the forthcoming future. The current concentration of research on urban-rural integration (URI) is primarily centered on urban and agricultural production regions, while the effect of URI on carbon emissions of rural household energy consumption (CRE) being largely disregarded. Furthermore, the diversity in the effects of URI on CRE at different stages has not been considered, which could pose challenges in achieving China's environmental sustainability objectives. To supplement the above content, this study analyzes CRE using data from 30 provinces spanning the years 2005 to 2020. By employing ordinary least squares and mediated effects analysis, we empirically examine the influence of URI on CRE. The findings indicate the following: In general, URI can significantly reduce CRE. Integration of human, land, and capital is essential factors suppressing emissions, and the suppression effect of 'human integration' is the strongest. The impact of URI on CRE operates through various channels, including energy consumption intensity, per capita consumption, and energy consumption structure. There exists an inverted N curve relationship between URI and CRE. As integration increases, carbon emissions initially decrease, then increase, and finally decrease again. Therefore, it is imperative for various regions to vigorously promote URI and effectively leverage its positive role in energy conservation and emission reduction, providing important insights for synergistically advancing urban-rural integration and energy conservation and emission reduction.</t>
  </si>
  <si>
    <t>[Peng, Lina; Sun, Ning; Jiang, Zhide; Yan, Zhenyu; Xu, Jiapeng] Northwest A&amp;F Univ, Coll Econ &amp; Management, 3 Taicheng Rd, Yangling 712100, Shaanxi, Peoples R China</t>
  </si>
  <si>
    <t>Jiang, ZD; Xu, JP (corresponding author), Northwest A&amp;F Univ, Coll Econ &amp; Management, 3 Taicheng Rd, Yangling 712100, Shaanxi, Peoples R China.</t>
  </si>
  <si>
    <t>pln@nwsuaf.edu.cn; sunning_01@nwsuaf.edu.cn; jiangzhide@nwafu.edu.cn; yanzhenyu@nwsuaf.edu.cn; xujp@nwsuaf.edu.cn</t>
  </si>
  <si>
    <t>xu, jiapeng/LXA-3524-2024</t>
  </si>
  <si>
    <t>This study is supported by Soft Science Research Project of Shaanxi Province (Nos. 2022KRM032; 2023-CX-RKX-103), Social Science Foundation of Shaanxi Province (Nos. 2021D058; 2022D022), Postgraduate research innovation project (JGYJSCXXM202306). [2022KRM032, 2023-CX-RKX-103]; Soft Science Research Project of Shaanxi Province [2021D058, 2022D022]; Social Science Foundation of Shaanxi Province [JGYJSCXXM202306]; Postgraduate research innovation project</t>
  </si>
  <si>
    <t>This study is supported by Soft Science Research Project of Shaanxi Province (Nos. 2022KRM032; 2023-CX-RKX-103), Social Science Foundation of Shaanxi Province (Nos. 2021D058; 2022D022), Postgraduate research innovation project (JGYJSCXXM202306).; Soft Science Research Project of Shaanxi Province; Social Science Foundation of Shaanxi Province; Postgraduate research innovation project</t>
  </si>
  <si>
    <t>This study is supported by Soft Science Research Project of Shaanxi Province (Nos. 2022KRM032; 2023-CX-RKX-103), Social Science Foundation of Shaanxi Province (Nos. 2021D058; 2022D022), Postgraduate research innovation project (JGYJSCXXM202306).</t>
  </si>
  <si>
    <t>10.1007/s10668-023-03944-0</t>
  </si>
  <si>
    <t>W0R4F</t>
  </si>
  <si>
    <t>WOS:001077277900002</t>
  </si>
  <si>
    <t>Pelster, DE; Chantigny, MH; Rochette, P; Bertrand, N; Angers, D; Zebarth, BJ; Goyer, C</t>
  </si>
  <si>
    <t>Pelster, David E.; Chantigny, Martin H.; Rochette, Philippe; Bertrand, Normand; Angers, Denis; Zebarth, Bernie J.; Goyer, Claudia</t>
  </si>
  <si>
    <t>Rates and intensity of freeze-thaw cycles affect nitrous oxide and carbon dioxide emissions from agricultural soils</t>
  </si>
  <si>
    <t>nitrous oxide; freezing; thawing; soil respiration</t>
  </si>
  <si>
    <t>N2O EMISSIONS; SPRING THAW; ORGANIC-MATTER; DENITRIFICATION; WATER; NITRITE; WINTER; RESPONSES; MINERALIZATION; NITRIFICATION</t>
  </si>
  <si>
    <t>In cool temperate regions, large emissions of nitrous oxide (N2O), an important greenhouse and ozone-depleting gas, have been observed during freeze-thaw (FT) cycles. However, it is unclear how freezing and thawing rates, freezing intensity, and freezing duration influence N2O emissions. We used a laboratory incubation to measure N2O emissions from two soils (sandy loam, silty clay) undergoing a single FT cycle of various freezing and thawing rates [rapid (0.5 degrees C h(-1)) vs. slow (0.017 degrees C h(-1))], freezing intensity (-1 vs. -3 degrees C), and freezing duration (24 vs. 48 freezing degree-days). In general, soil carbon dioxide fluxes during freezing were highest when soils were frozen slowly at -1 degrees C, whereas fluxes after thawing were highest from the soils frozen and thawed rapidly at -3 degrees C. Soil N2O emissions during both the freezing and thawing periods were greatest in the soils exposed to rapid freezing to -3 degrees C, intermediate under rapid freezing to -1 degrees C and slow freezing to -3 degrees C, and smallest under slow freezing to -1 degrees C and the control treatment (constant +1 degrees C). The similar N2O emissions between the unfrozen control and the slowly frozen -1 degrees C treatment was unexpected as previous field studies with similar freezing rates and temperatures still experienced high N2O emissions during thaw. This suggests that the physical disruptions caused by freezing and thawing of the surface soil are not the primary driver of FT-induced N2O emissions under field conditions.</t>
  </si>
  <si>
    <t>[Pelster, David E.; Chantigny, Martin H.; Rochette, Philippe; Bertrand, Normand; Angers, Denis] Agr &amp; Agri Food Canada, Quebec Res &amp; Dev Ctr, 2560 Hochelaga Blvd, Quebec City, PQ G1V 2J3, Canada; [Zebarth, Bernie J.; Goyer, Claudia] Agr &amp; Agri Food Canada, Fredericton Res &amp; Dev Ctr, POB 20280,850 Lincoln Rd, Fredericton, NB E3B 4Z7, Canada</t>
  </si>
  <si>
    <t>Agriculture &amp; Agri Food Canada; Agriculture &amp; Agri Food Canada</t>
  </si>
  <si>
    <t>Pelster, DE (corresponding author), Agr &amp; Agri Food Canada, Quebec Res &amp; Dev Ctr, 2560 Hochelaga Blvd, Quebec City, PQ G1V 2J3, Canada.</t>
  </si>
  <si>
    <t>david.pelster@canada.ca</t>
  </si>
  <si>
    <t>Sustainable AGriculture and Environmental Systems (SAGES) initiative of Agriculture and Agri-Food Canada</t>
  </si>
  <si>
    <t>This study was funded by the Sustainable AGriculture and Environmental Systems (SAGES) initiative of Agriculture and Agri-Food Canada. We thank Normand Bertrand, Johanne Tremblay, Gabriel Levesque, and Alain Larouche for their invaluable technical assistance and Dr. Dave Burton (Dalhousie University) for his consultation and suggestions.</t>
  </si>
  <si>
    <t>123 Slater Street, Suite 610, OTTAWA, ON K1P 5H2, CANADA</t>
  </si>
  <si>
    <t>10.1139/cjss-2019-0058</t>
  </si>
  <si>
    <t>JS3BI</t>
  </si>
  <si>
    <t>WOS:000500183800010</t>
  </si>
  <si>
    <t>Khan, ZA; Koondhar, MA; Khan, A; Zhang, ZX; Ali, U; Nurgazina, Z; Liu, TJ</t>
  </si>
  <si>
    <t>Khan, Zaid Ashiq; Koondhar, Mansoor Ahmed; Khan, Aftab; Zhang, Zixin; Ali, Uzair; Nurgazina, Zhanar; Liu, Tianjun</t>
  </si>
  <si>
    <t>Exploring the impact of carbon emissions and co-macroeconomic determinants on China's sustainable apple export</t>
  </si>
  <si>
    <t>Apple exports; Agrochemicals; Trade openness; Carbon emissions; China</t>
  </si>
  <si>
    <t>AGRICULTURAL EXPORTS; ECONOMIC-GROWTH; TIME-SERIES; CONSUMPTION; EFFICIENCY; FARMERS</t>
  </si>
  <si>
    <t>China is the foremost global consumer, producer, and exporter of fresh apples. In 2021, China produced roughly 44 million tons of apples and exported just over 1 million tons, a nearly 2% increase over the previous year. However, the ongoing COVID-19 pandemic has had a detrimental impact on global trade and has led to a decrease in China's agricultural exports. The present study aims to contribute to the existing body of literature by analyzing plausible macroeconomic determinants that might impact China's apple exports. We used novel dynamic autoregressive distributed lag (DYARDL) simulations to model causal relationships among fundamental economic parameters. We made use of annual time series data from 1990 to 2020 from the World Bank and China's national statistical bureau. We found that increases in apple orchard area, apple production, and trade openness had a positive impact on apple exports over both the short and long term. Conversely, decreases in the prices of exported apples, agrochemicals, and carbon emissions in the agricultural sector had a positive impact on the long-term and short-term exportation of apples. Finally, we note that pictographic illustrations from the DYARDL simulations provide corroborative evidence for our findings. Based on the study results, this study proposes that the adoption of technological advancements in apple orchards could potentially enhance apple production while simultaneously upholding environmental sustainability.</t>
  </si>
  <si>
    <t>[Khan, Zaid Ashiq; Koondhar, Mansoor Ahmed; Khan, Aftab; Zhang, Zixin; Liu, Tianjun] Northwest A&amp;F Univ, Coll Econ &amp; Management, Yangling 712100, Shaanxi, Peoples R China; [Khan, Zaid Ashiq] Northwest A&amp;F Univ, Coll Hort, Yangling 712100, Shaanxi, Peoples R China; [Ali, Uzair; Nurgazina, Zhanar] Hainan Univ, Sch Econ, Haikou 570100, Peoples R China</t>
  </si>
  <si>
    <t>Northwest A&amp;F University - China; Northwest A&amp;F University - China; Hainan University</t>
  </si>
  <si>
    <t>Liu, TJ (corresponding author), Northwest A&amp;F Univ, Coll Econ &amp; Management, Yangling 712100, Shaanxi, Peoples R China.</t>
  </si>
  <si>
    <t>ltj168168@nwsuaf.edu.cn</t>
  </si>
  <si>
    <t>Nurgazina, Zhanar/AHB-7147-2022; Ali, Uzair/GSN-7131-2022; Koondhar, Mansoor Ahmed/GOJ-8640-2022; Khan, Zaid/ABI-5285-2020; khan, Aftab/ACM-9632-2022</t>
  </si>
  <si>
    <t>Khan, Zaid Ashiq/0000-0003-3470-5837;</t>
  </si>
  <si>
    <t>Northwest Agriculture and Forestry University, China under National Natural Science Foundation of China [71933005]</t>
  </si>
  <si>
    <t>Northwest Agriculture and Forestry University, China under National Natural Science Foundation of China</t>
  </si>
  <si>
    <t>This study was supported and funded by Northwest Agriculture and Forestry University, China under the Key projects of National Natural Science Foundation of China: Research on the Cultivation and Opening of the Western Agricultural Market of China. Grant number: 71933005.</t>
  </si>
  <si>
    <t>2023 SEP 14</t>
  </si>
  <si>
    <t>10.1007/s11356-023-29497-3</t>
  </si>
  <si>
    <t>S0IR5</t>
  </si>
  <si>
    <t>WOS:001068098100007</t>
  </si>
  <si>
    <t>Watkins, SC; Baldwin, DS; Waudby, HP; Ning, SEMA</t>
  </si>
  <si>
    <t>Watkins, Susanne C.; Baldwin, Darren S.; Waudby, Helen P.; Ning, Sarah E. M. A.</t>
  </si>
  <si>
    <t>Managing rain-filled wetlands for carbon sequestration: a synthesis</t>
  </si>
  <si>
    <t>RANGELAND JOURNAL</t>
  </si>
  <si>
    <t>cropping; fire; grazing; pests; weeds; wetland rehabilitation</t>
  </si>
  <si>
    <t>ORGANIC-MATTER; RIVER; ECOSYSTEMS; HABITATS; CATTLE; STREAM; FIRE; INVERTEBRATES; ESTABLISHMENT; CONSEQUENCES</t>
  </si>
  <si>
    <t>Global acknowledgement of climate change and its predicted environmental consequences has created a need for practical management techniques that increase a landscape's ability to capture and store atmospheric carbon (C). Globally, wetlands sequester disproportionally more C per unit surface area than many other components of the landscape. However, wetlands vary in their capacity to store C and regulate greenhouse gas emissions. Hydrology, in particular, is a critical driver of wetland C capture and storage. Rain-filled wetlands offer a challenge for the management of C sequestration and storage because the hydrology of these systems is almost entirely driven by rainfall. We present a conceptual model of how management options, including weed and pest control, grazing and crop management and revegetation, will affect C sequestration and storage in rain-filled wetlands. Given the intensive nature of agricultural activities in areas where rain-filled wetlands are common, further work is needed to increase our understanding of the effects of these activities on wetland C capture and storage. Key knowledge gaps relating to the effect of management actions on wetland C sequestration include: (a) the benefits of integrated wetland management; (b) the appropriateness of different grazing regimes and the effect of total grazing pressure; (c) the effects of fire; and (d) the extent to which wetland function (C storage) can be restored following agricultural activities, such as cropping.</t>
  </si>
  <si>
    <t>[Watkins, Susanne C.; Ning, Sarah E. M. A.] Murray Darling Wetlands Working Grp Ltd, POB 7016, East Albury, NSW 2640, Australia; [Baldwin, Darren S.] La Trobe Univ, CSIRO Land &amp; Water, POB 821, Wodonga, Vic 3689, Australia; [Baldwin, Darren S.] La Trobe Univ, Murray Darling Freshwater Res Ctr, POB 821, Wodonga, Vic 3689, Australia; [Baldwin, Darren S.; Waudby, Helen P.] Charles Sturt Univ, Inst Land Water &amp; Soc, Thurgoona, NSW 2640, Australia; [Waudby, Helen P.] Murray Local Land Serv, POB 797, North Albury, NSW 2640, Australia</t>
  </si>
  <si>
    <t>La Trobe University; Commonwealth Scientific &amp; Industrial Research Organisation (CSIRO); CSIRO Land &amp; Water; Murray Darling Basin Authority; La Trobe University; Charles Sturt University</t>
  </si>
  <si>
    <t>Watkins, SC (corresponding author), Murray Darling Wetlands Working Grp Ltd, POB 7016, East Albury, NSW 2640, Australia.</t>
  </si>
  <si>
    <t>s.watkins7@bigpond.com</t>
  </si>
  <si>
    <t>; Baldwin, Darren/H-2257-2011</t>
  </si>
  <si>
    <t>Waudby, Helen/0000-0002-1888-9827; Baldwin, Darren/0000-0002-5355-6745</t>
  </si>
  <si>
    <t>Australian Government</t>
  </si>
  <si>
    <t>Australian Government(Australian Government)</t>
  </si>
  <si>
    <t>This paper was prepared as part of the Murray Wetland Carbon Storage Project. The project was funded by the Australian Government. We thank Dr Patricia Bowen (Murray Local Land Services) and Ms Rhonda Sinclair (Murray Darling Wetlands Working Group Ltd) for useful discussions on this paper. We also thank Dr Bowen for constructive comments on an earlier version of this manuscript.</t>
  </si>
  <si>
    <t>1036-9872</t>
  </si>
  <si>
    <t>1834-7541</t>
  </si>
  <si>
    <t>RANGELAND J</t>
  </si>
  <si>
    <t>Rangeland J.</t>
  </si>
  <si>
    <t>10.1071/RJ16077</t>
  </si>
  <si>
    <t>ET7JM</t>
  </si>
  <si>
    <t>WOS:000400471600005</t>
  </si>
  <si>
    <t>Wang, W; Li, MY; Zhu, SG; Khan, A; Tao, XP; Liu, HY; Zhang, W; Tao, HY; Gong, DS; Song, C; Xiong, YC</t>
  </si>
  <si>
    <t>Wang, Wei; Li, Meng-Ying; Zhu, Shuang-Guo; Khan, Aziz; Tao, Xiu-Ping; Liu, Hai-Ying; Zhang, Wei; Tao, Hong-Yan; Gong, Dong-Shan; Song, Chao; Xiong, You-Cai</t>
  </si>
  <si>
    <t>Plant facilitation improves carbon production efficiency while reducing nitrogen input in semiarid agroecosystem</t>
  </si>
  <si>
    <t>Carbon emission; Plant interaction; Intercropping; Facilitation; Nitrogen</t>
  </si>
  <si>
    <t>GREENHOUSE-GAS EMISSIONS; SOIL CARBON; MICROBIAL BIOMASS; FERTILIZER; MAIZE; WHEAT; DIVERSITY; RESPIRATION; MANAGEMENT; KNOWLEDGE</t>
  </si>
  <si>
    <t>It is critical to reduce carbon (C) emission and nitrogen (N) input in agroecosystems under a changing climate. If crop diversification is introduced, interspecific plant-plant interactions as an effective pathway may achieve this goal. However, the related process and its mechanism are poorly understood. A two-year field study was conducted to explore the effects of intercropping systems including soybean-maize, soybean- wheat and maize-wheat on the land equivalent ratio (LER), nitrogen use efficiency (NUE), seasonal carbon emission, and soil properties in a typical semiarid environment. Three N rates (N1: 150 kg ha-1, N2: 225 kg ha-1, N3: 300 kg ha-1) were applied. The result indicated that the intercropping with soybean significantly increased system productivity with LER &gt; 1, showing a typical plant-plant facilitation. However, the LER of maize-wheat intercropping was significantly lower than 1, representing interspecific competition. With the increasing N rate, the productivity of monoculture wheat or maize was evidently promoted. Particularly, the productivity under N2 and N3 remained at a similar level due to interspecific facilitation. This trend was mechanically driven by the improved N uptake (NLER &gt; 1) and NUE under the presence of interspecific facilitation. Critically, interspecific facilitation was observed to promote carbon emissions (CE) by 4.0%-6.3%, since root input, microbial activities and the C &amp; N decomposition enzyme activities were significantly enhanced. To say, interspecific facilitation evidently enhanced carbon emission efficiency (Yield/CE) whereas interspecific competition turned to lower it. To sum up, plant facilitation improved crop productivity and carbon emission efficiency by reducing N input. Our findings provided a new insight into the exploration of green solution in terms of reducing emissions and increasing efficiency, as well as lowering N fertilizer application in the natural and agricultural ecosystems.</t>
  </si>
  <si>
    <t>[Wang, Wei; Li, Meng-Ying; Zhu, Shuang-Guo; Khan, Aziz; Zhang, Wei; Tao, Hong-Yan; Gong, Dong-Shan; Xiong, You-Cai] Lanzhou Univ, Coll Ecol, State Key Lab Grassland Agroecosystems, Lanzhou 730000, Peoples R China; [Tao, Xiu-Ping; Xiong, You-Cai] Chinese Acad Agr Sci, Inst Urban Agr, Chengdu 610213, Peoples R China; [Liu, Hai-Ying] Yunnan Univ, Sch Agr, Kunming 650504, Peoples R China; [Song, Chao] Ben Gurion Univ Negev, French Associates Inst Agr &amp; Biotechnol Drylands, IL-84990 Midreshet Ben Gurion, Israel</t>
  </si>
  <si>
    <t>Lanzhou University; Chinese Academy of Agricultural Sciences; Institute of Urban Agriculture, CAAS; Yunnan University; Ben-Gurion University of the Negev</t>
  </si>
  <si>
    <t>Xiong, YC (corresponding author), Lanzhou Univ, Coll Ecol, State Key Lab Grassland Agroecosystems, Lanzhou 730000, Peoples R China.;Tao, XP; Xiong, YC (corresponding author), Chinese Acad Agr Sci, Inst Urban Agr, Chengdu 610213, Peoples R China.</t>
  </si>
  <si>
    <t>taoxiuping@caas.cn; xiongyc@lzu.edu.cn</t>
  </si>
  <si>
    <t>; Shuangguozhu, Zhu/HPC-1784-2023; Xiong, You-Cai/HDL-8596-2022; Khan, Aziz/AEC-4516-2022; zhang, wei/LXV-6824-2024</t>
  </si>
  <si>
    <t>Wang, Wei/0000-0002-7726-6929; Zhang, Wei/0000-0001-8239-5787</t>
  </si>
  <si>
    <t>Fundamental Research Funds for National Natural Science Foundation of China [32161143012, lzujbky-2022-kb05]; Key Research and Development Program of Gansu Province [20YF8WA083]; 111 Program [BP0719040]</t>
  </si>
  <si>
    <t>Fundamental Research Funds for National Natural Science Foundation of China; Key Research and Development Program of Gansu Province; 111 Program(Ministry of Education, China - 111 Project)</t>
  </si>
  <si>
    <t>This study was partially supported by the Fundamental Research Funds for National Natural Science Foundation of China (32161143012) , Central Universities (lzujbky-2022-kb05) , Key Research and Development Program of Gansu Province (20YF8WA083) and 111 Program (BP0719040) .</t>
  </si>
  <si>
    <t>10.1016/j.catena.2023.107247</t>
  </si>
  <si>
    <t>K2OO0</t>
  </si>
  <si>
    <t>WOS:001014886000001</t>
  </si>
  <si>
    <t>Kätsch, S; Osterburg, B</t>
  </si>
  <si>
    <t>Kaetsch, Stephanie; Osterburg, Bernhard</t>
  </si>
  <si>
    <t>Carbon Calculators in Agriculture - Experiences and Perspectives</t>
  </si>
  <si>
    <t>LANDBAUFORSCHUNG</t>
  </si>
  <si>
    <t>German</t>
  </si>
  <si>
    <t>carbon calculators; greenhouse gas accounting; carbon footprint; product labeling; climate change mitigation; agriculture</t>
  </si>
  <si>
    <t>ACCOUNTING TOOLS; EMISSIONS</t>
  </si>
  <si>
    <t>Recently, climate change mitigation efforts are expanding to also include the agricultural and land use sectors. In order to assess the greenhouse gas emissions of single farms or products, a number of automated carbon calculators are available. This paper aims to provide an international overview of selected carbon calculators, to identify important criteria for calculator development and to assess future perspectives of carbon calculators. In addition to a literature review, a number of selected tool developers were questioned regarding their calculators and experiences during calculator development. The analysis of the results shows that there are big differences between the various calculators. This mainly results from different objectives and methodological approaches. Good carbon calculators need to be user friendly, robust and transparent and should allow for a detailed representation of emission patterns. In general, carbon calculators are valuable tools and are said to have promising future perspectives. Incentives to use carbon calculators may soon increase in Germany as well e.g. due to possible product labeling initiatives. Therefore, a closer look into the subject matter might prove beneficial. In case a separate carbon calculator is to be developed, the actual developments in this field and existing international experiences should be taken into consideration, in order to check whether it can be based on existing concepts. For an English summary of the results, please contact the authors.</t>
  </si>
  <si>
    <t>[Kaetsch, Stephanie; Osterburg, Bernhard] Thunen Inst Landl Raume, Bundesallee 50, D-38116 Braunschweig, Germany</t>
  </si>
  <si>
    <t>Johann Heinrich von Thunen Institute</t>
  </si>
  <si>
    <t>Kätsch, S (corresponding author), Thunen Inst Landl Raume, Bundesallee 50, D-38116 Braunschweig, Germany.</t>
  </si>
  <si>
    <t>STK87@web.de; bernhard.osterburg@thuenen.de</t>
  </si>
  <si>
    <t>JOHANN HEINRICH VON THUNEN INST-VTI</t>
  </si>
  <si>
    <t>BRAUNSCHWEIG</t>
  </si>
  <si>
    <t>BUNDESALLEE 50, BRAUNSCHWEIG, 38116, GERMANY</t>
  </si>
  <si>
    <t>0458-6859</t>
  </si>
  <si>
    <t>LANDBAUFORSCHUNG-GER</t>
  </si>
  <si>
    <t>Landbauforschung</t>
  </si>
  <si>
    <t>10.3220/LBF1456905354000</t>
  </si>
  <si>
    <t>DO6XX</t>
  </si>
  <si>
    <t>WOS:000377927900004</t>
  </si>
  <si>
    <t>Lanzoni, L; Vignola, G; Dwyer, CM; Reeves, MC; Waxenberg, K; Ramsey, R; Atzori, AS; Bell, J; Rees, RM</t>
  </si>
  <si>
    <t>Lanzoni, L.; Vignola, G.; Dwyer, C. M.; Reeves, M. C.; Waxenberg, K.; Ramsey, R.; Atzori, A. S.; Bell, J.; Rees, R. M.</t>
  </si>
  <si>
    <t>The carbon cost of impaired welfare on sheep farms</t>
  </si>
  <si>
    <t>ANIMAL</t>
  </si>
  <si>
    <t>Climate; Mitigation; Ovine; Sustainability; Welfare</t>
  </si>
  <si>
    <t>GREENHOUSE-GAS EMISSIONS; CLIMATE-CHANGE MITIGATION; LAMB MORTALITY; RISK-FACTORS; MANAGEMENT-PRACTICES; BLOWFLY STRIKE; WEIGHT-GAIN; BODY-WEIGHT; MERINO EWES; LAMENESS</t>
  </si>
  <si>
    <t>In the face of global climate threats, farm and land-management decisions must balance climate concerns with profitability, animal welfare, and ecosystem health. However, few comprehensive studies have quantified the relationship between animal welfare and greenhouse gas (GHG) emissions, and no study focuses specifically on sheep farms. The present study aims to quantify the effects of impaired welfare on GHG emissions for common welfare challenges faced in UK lowland (L) and hill (H) sheep farming systems. Two case study research farms in Scotland, representative of high welfare conditions, were used as baselines for semi-intensive L and extensive H systems. In this study, high welfare conditions are defined as situations where animals have access to adequate feeding, suitable housing, good health, and opportunities to express natural behaviours. From each high-welfare baseline, scenarios representing common levels of impaired welfare conditions were modelled, using parameters retrieved from the published literature. The selected poor-welfare scenarios included lameness, gastrointestinal nematodes, blowfly strike, liver fluke, inadequate shelter provision, inadequate feeding during lamb growth and late gestation, and high lamb mortality rate. GHG emissions were estimated from-cradle-to-farm-gate using Agrecalc (c), a Life Cycle Assessment tool for the agricultural sector. Total GHG emissions and emission intensities ( EI) in kg of CO2 equivalent per kg live weight were compared across the baseline and the scenarios. Gross farm emissions and product-level EIs demonstrated divergent patterns in response to impaired welfare. Most impaired welfare scenarios led to a slight decrease in total farm emissions (0.03-3%), with a few exceptions. On the other hand, EI increased across all impaired welfare scenarios relative to the baseline, because meat production decreased by 1.3-16.6% across all impaired welfare scenarios, reducing resource use efficiency. Lameness was identified as particularly impactful, resulting in 18 and 10% increases in EI on H and L farms, respectively. This was primarily due to the high lamb mortality associated with lameness in published studies. Inadequate shelter provision was associated with an 8- 15% increase in EI. Scenarios related to ineffective parasite control contributed to an EI increase ranging from 1to 13%, while inadequate feeding management caused a 3-4% increase in EI. This study highlights the potential for reducing emission intensity through system-specific interventions, emphasising the importance of integrating animal welfare into GHG mitigation strategies. (c) 2024 The Authors. Published by Elsevier B.V. on behalf of The animal Consortium. This is an open access article under the CC BY license (http://creativecommons.org/licenses/by/4.0/).</t>
  </si>
  <si>
    <t>[Lanzoni, L.; Vignola, G.] Univ Teramo, Dept Vet Med, Loc Piano Accio, I-64100 Teramo, Italy; [Dwyer, C. M.; Reeves, M. C.; Ramsey, R.] Scotlands Rural Coll SRUC, Roslin Inst Bldg, Easter Bush Campus, Midlothian EH25 9RG, Scotland; [Waxenberg, K.; Ramsey, R.; Bell, J.; Rees, R. M.] Agrecalc Ltd, Peter Wilson Bldg, Kings Bldg, West Mains Rd, Edinburgh EH9 3JG, Scotland; [Atzori, A. S.] Univ Sassari, Dept Agr Sci, I-07100 Sassari, Italy</t>
  </si>
  <si>
    <t>University of Teramo; Scotland's Rural College; University of Edinburgh; University of Sassari</t>
  </si>
  <si>
    <t>Reeves, MC (corresponding author), Scotlands Rural Coll SRUC, Roslin Inst Bldg, Easter Bush Campus, Midlothian EH25 9RG, Scotland.</t>
  </si>
  <si>
    <t>Michelle.Reeves@sruc.ac.uk</t>
  </si>
  <si>
    <t>; Reeves, Michelle/MIO-3201-2025; Lanzoni, Lydia/ACY-6982-2022; Dwyer, Cathy/F-7692-2011; Atzori, Alberto/E-9231-2013</t>
  </si>
  <si>
    <t>Waxenberg, Kaia/0009-0009-6480-4335; Dwyer, Cathy/0000-0001-7511-2056; Reeves, Michelle/0000-0002-8864-717X; Raey, Rachael/0000-0001-9984-7241</t>
  </si>
  <si>
    <t>1751-7311</t>
  </si>
  <si>
    <t>1751-732X</t>
  </si>
  <si>
    <t>Animal</t>
  </si>
  <si>
    <t>10.1016/j.animal.2024.101390</t>
  </si>
  <si>
    <t>Agriculture, Dairy &amp; Animal Science; Veterinary Sciences</t>
  </si>
  <si>
    <t>Agriculture; Veterinary Sciences</t>
  </si>
  <si>
    <t>U2S6U</t>
  </si>
  <si>
    <t>WOS:001410358900001</t>
  </si>
  <si>
    <t>Raza, S; Zamanian, K; Ullah, S; Kuzyakov, Y; Virto, II; Zhou, JB</t>
  </si>
  <si>
    <t>Raza, Sajjad; Zamanian, Kazem; Ullah, Sami; Kuzyakov, Yakov; Virto, Inigo; Zhou, Jianbin</t>
  </si>
  <si>
    <t>Inorganic carbon losses by soil acidification jeopardize global efforts on carbon sequestration and climate change mitigation</t>
  </si>
  <si>
    <t>Soil inorganic carbon; Soil acidification; Carbonate dissolution; Carbon dioxide efflux; Reactive nitrogen; Carbon sequestration</t>
  </si>
  <si>
    <t>ORGANIC-CARBON; NITROGEN-FERTILIZATION; AGRICULTURAL SOILS; OCEAN ACIDIFICATION; ACIDIC SOILS; RED SOIL; CO2; CALCIUM; PH; MINERALIZATION</t>
  </si>
  <si>
    <t>Soil plays a significant role in controlling the global carbon (C) cycle. Studies on climate change mitigation have focused entirely on soil organic carbon (SOC) to increase C sequestration and decrease carbon dioxide (CO2) emissions. In contrast, the contribution of soil inorganic carbon (SIC) to CO2 emissions is usually neglected because SIC is generally considered to be very stable. However, the significant worldwide increase in soil acidification, mainly because of intensive N fertilization and high atmospheric deposition, causes a considerable decrease in SIC stocks, leading to very high unaccounted CO2 efflux. Additionally, large areas of acidic soils worldwide are regularly subjected to high SIC applications in the form of lime to remediate acidity, which is another direct source of CO2 emission. Consequently, global efforts to mitigate climate change through SOC sequestration need a revisit as SIC-borne C losses are significant both in terms of C stocks and soil fertility loss, upon which future SOC sequestration will be reduced. Compared to SOC, wherein C stocks can be increased through management, SIC losses are irreversible and cause significant decline in soil health, ecosystem services, and functions. The present review is the first to summarize the current information about acidification-induced intensified SIC losses and their mechanisms. It included: (i) natural and anthropogenic sources and causes of soil acidification, (ii) losses of SIC as HCO(3)(- )leaching and CO2 efflux from calcareous soils (7.5 Tg C yr(-1)) and liming (273 Tg C yr(-1)) during acidity neutralization, (iii) the relationship between climate change and SIC stocks, (iv) consequences of SIC depletion in soil-plant-water systems, and (v) strategies to remediate and control soil acidification. We concluded that acidification-induced SIC-borne CO2 losses are a major C loss pathway and could jeopardize global efforts to mitigate climate change through SOC sequestration.</t>
  </si>
  <si>
    <t>[Raza, Sajjad; Zhou, Jianbin] Northwest A&amp;F Univ, Coll Nat Resources &amp; Environm, Yangling 712100, Shaanxi, Peoples R China; [Zamanian, Kazem; Kuzyakov, Yakov] Georg August Univ Gottingen, Dept Agr Soil Sci, Gottingen, Germany; [Zamanian, Kazem; Kuzyakov, Yakov] Georg August Univ Gottingen, Dept Soil Sci Temperate Ecosyst, Gottingen, Germany; [Ullah, Sami] Univ Birmingham, Dept Geog Earth &amp; Environm Sci, Birmingham, W Midlands, England; [Virto, Inigo] Univ Publ Navarra, Dept Ciencias, ETSIAB, IS FOOD, Pamplona 31006, Spain; [Kuzyakov, Yakov] RUDN Univ, Agrotechnol Inst, Moscow 117198, Russia; [Kuzyakov, Yakov] Kazan Fed Univ, Inst Environm Sci, Kazan 420049, Russia</t>
  </si>
  <si>
    <t>Northwest A&amp;F University - China; University of Gottingen; University of Gottingen; University of Birmingham; Universidad Publica de Navarra; Peoples Friendship University of Russia; Kazan Federal University</t>
  </si>
  <si>
    <t>Zhou, JB (corresponding author), Northwest A&amp;F Univ, Coll Nat Resources &amp; Environm, Yangling 712100, Shaanxi, Peoples R China.</t>
  </si>
  <si>
    <t>jbzhou@nwsuaf.edu.cn</t>
  </si>
  <si>
    <t>Kuzyakov, Yakov/D-1605-2010; Raza, Sajjad/AAB-7859-2021; Zamanian, Kazem/E-4961-2016; zamanian, kazem/B-3032-2008; Ullah, Sami/IAM-8005-2023; Zhou, Jianbin/AFS-3130-2022; Virto, Iñigo/L-9915-2015; Virto, Inigo/L-9915-2015</t>
  </si>
  <si>
    <t>Kuzyakov, Yakov/0000-0002-9863-8461; ULLAH, SAMI/0000-0002-9153-8847; Zamanian, Kazem/0000-0002-9536-9251; Zhou, Jianbin/0000-0002-8987-1982; Raza, Sajjad/0000-0002-4811-6059; Virto, Iñigo/0000-0002-7682-4570;</t>
  </si>
  <si>
    <t>National Natural Science Foundation of China [41671295]; National Key R &amp; D Program of China [2017YFD0200106]; 111 Project [B12007]; Government Program of Competitive Growth of Kazan Federal University; German Research Foundation [ZA 1068/4-1]; RUDN University program 5-100</t>
  </si>
  <si>
    <t>National Natural Science Foundation of China(National Natural Science Foundation of China (NSFC)); National Key R &amp; D Program of China; 111 Project(Ministry of Education, China - 111 Project); Government Program of Competitive Growth of Kazan Federal University; German Research Foundation(German Research Foundation (DFG)); RUDN University program 5-100</t>
  </si>
  <si>
    <t>This study was funded by the National Natural Science Foundation of China (No. 41671295) , the National Key R &amp; D Program of China (No. 2017YFD0200106) , and 111 Project (No. B12007) . We also thank the Government Program of Competitive Growth of Kazan Federal University and the RUDN University program 5-100 and the German Research Foundation (ZA 1068/4-1) for their support.</t>
  </si>
  <si>
    <t>10.1016/j.jelepro.2021.128036</t>
  </si>
  <si>
    <t>UF4ZA</t>
  </si>
  <si>
    <t>WOS:000688582800004</t>
  </si>
  <si>
    <t>López-Garrido, R; Madejón, E; Moreno, F; Murillo, JM</t>
  </si>
  <si>
    <t>Lopez-Garrido, R.; Madejon, E.; Moreno, F.; Murillo, J. M.</t>
  </si>
  <si>
    <t>Conservation Tillage Influence on Carbon Dynamics Under Mediterranean Conditions</t>
  </si>
  <si>
    <t>crop rotation; dehydrogenase activity; rain-fed agriculture; soil organic carbon</t>
  </si>
  <si>
    <t>SOIL ORGANIC-MATTER; FLUXES FOLLOWING TILLAGE; LONG-TERM TILLAGE; DIOXIDE FLUXES; BIOCHEMICAL-PROPERTIES; CO2 EFFLUX; DEHYDROGENASE-ACTIVITY; RESIDUE MANAGEMENT; WATER; STRATIFICATION</t>
  </si>
  <si>
    <t>Intensity of tillage practices can enhance organic matter decomposition, increasing CO2 emissions from soil to the atmosphere. Conservation tillage (CT) has been proposed as a means of counteracting potential damages to the environment. In this study the effects of two CT systems, reduced tillage in a long-term experiment (RTL) and no-tillage in a short-term experiment (NTS), were compared to traditional tillage (TT) in the long (TTL) and short-term experiments (TTS). CO2 fluxes, total soil organic carbon. (SOC) and dehydrogenase activity (DHA) were evaluated at 0-5, 5-10 and 10-15 cm depths throughout the three years studied (Oct. 2006-Jul. 2009). Traditional tillage increased CO2 emissions compared to CT. The CT treatments (RTL and NTS) accumulated more SOC in the surface layer (0-5 cm) than the TT treatments (TTL and TTS). SOC accumulation was moderate but DHA consistently increased in CT in the surface soil, especially with a legume crop included in the crop rotation. Values of stratification ratio of all parameters studied were higher in the CT treatments (RTL and NTS). The agricultural and environmental benefits derived from CT make this system recommendable for semi-arid Mediterranean rain-fed agriculture.</t>
  </si>
  <si>
    <t>[Lopez-Garrido, R.; Madejon, E.; Moreno, F.; Murillo, J. M.] CSIC, IRNAS, Seville 41012, Spain</t>
  </si>
  <si>
    <t>Consejo Superior de Investigaciones Cientificas (CSIC); CSIC - Instituto de Recursos Naturales y Agrobiologia de Sevilla (IRNAS)</t>
  </si>
  <si>
    <t>López-Garrido, R (corresponding author), CSIC, IRNAS, Seville 41012, Spain.</t>
  </si>
  <si>
    <t>rlopez@irnase.csic.es</t>
  </si>
  <si>
    <t>MADEJON, ENGRACIA/K-8620-2014; Murillo, Jose M/K-6410-2014</t>
  </si>
  <si>
    <t>MADEJON, ENGRACIA/0000-0002-6282-7041; Murillo, Jose M/0000-0001-6937-6426; Moreno, Felix/0000-0002-9768-7659</t>
  </si>
  <si>
    <t>Interministerial Commission for Science and Technology (CICYT) of Spain [AGL2010-22050-C03-03]</t>
  </si>
  <si>
    <t>Interministerial Commission for Science and Technology (CICYT) of Spain</t>
  </si>
  <si>
    <t>Supported by the Interministerial Commission for Science and Technology (CICYT) of Spain (No. AGL2010-22050-C03-03).</t>
  </si>
  <si>
    <t>10.1016/S1002-0160(13)60081-8</t>
  </si>
  <si>
    <t>AC3QX</t>
  </si>
  <si>
    <t>WOS:000332437400006</t>
  </si>
  <si>
    <t>Wang, CH; An, Z; Jairueng, S; Ruekkasaem, L; Jayasudha, M; Singh, BK</t>
  </si>
  <si>
    <t>Wang, Chunhang; An, Zhe; Jairueng, Supalux; Ruekkasaem, Lakkana; Jayasudha, M.; Singh, Bhupesh Kumar</t>
  </si>
  <si>
    <t>Model Optimization of Agricultural Machinery Information Control System Based on Artificial Intelligence</t>
  </si>
  <si>
    <t>JOURNAL OF FOOD QUALITY</t>
  </si>
  <si>
    <t>Agricultural mechanization information in our country has the main problems existing in the management and utilization. The analysis of China's agricultural mechanization management model and related software is presented based on combining modern science and technology as well as the development of agricultural mechanization management information system based on network software to standardize the management information collection, processing, storage and transmission, agricultural mechanization management information science, standardization, automation, etc. According to the analysis, the output target speed after fusion is more stable, and the stability is increased by 59.59% compared with the single-point GNSS velocity measurement data, and by 18.32% compared with the data measured by the binocular vision velocity measurement system. It has realized the goal of accurate speed measurement from low speed to high speed. In particular, it has solved the problems such as vehicles unable to complete positioning and vehicle skidding caused by trees blocking GNSS satellite signals during field operations.</t>
  </si>
  <si>
    <t>[Wang, Chunhang; An, Zhe] Tangshan Vocat &amp; Tech Coll, Tangshan, Hebei, Peoples R China; [Jairueng, Supalux] Phranakhon Rajabhat Univ, Dept Architecture, Bangkok, Thailand; [Ruekkasaem, Lakkana] Phranakhon Rajabhat Univ, Dept Ind Management Technol, Bangkok, Thailand; [Jayasudha, M.] VIT Univ, Chennai Campus, Chennai, Tamil Nadu, India; [Singh, Bhupesh Kumar] Arba Minch Univ, Arba Minch Inst Technol, Arba Minch, Ethiopia</t>
  </si>
  <si>
    <t>Phranakhon Rajabhat University; Phranakhon Rajabhat University; Vellore Institute of Technology (VIT); VIT Chennai; Arba Minch University</t>
  </si>
  <si>
    <t>An, Z (corresponding author), Tangshan Vocat &amp; Tech Coll, Tangshan, Hebei, Peoples R China.;Singh, BK (corresponding author), Arba Minch Univ, Arba Minch Inst Technol, Arba Minch, Ethiopia.</t>
  </si>
  <si>
    <t>zhean69@126.com; dr.bhupeshkumarsingh@amu.edu.et</t>
  </si>
  <si>
    <t>; Singh, Bhupesh/ABE-6882-2020</t>
  </si>
  <si>
    <t>singh, Bhupesh Kumar/0000-0002-3262-1894;</t>
  </si>
  <si>
    <t>0146-9428</t>
  </si>
  <si>
    <t>1745-4557</t>
  </si>
  <si>
    <t>J FOOD QUALITY</t>
  </si>
  <si>
    <t>J. Food Qual.</t>
  </si>
  <si>
    <t>APR 30</t>
  </si>
  <si>
    <t>10.1155/2022/7456650</t>
  </si>
  <si>
    <t>CO7Q4</t>
  </si>
  <si>
    <t>WOS:001126257900001</t>
  </si>
  <si>
    <t>Comer-Warner, SA; Gooddy, DC; Ullaha, S; Glover, L; Percival, A; Kettridge, N; Krause, S</t>
  </si>
  <si>
    <t>Comer-Warner, Sophie A.; Gooddy, Daren C.; Ullaha, Sami; Glover, Luke; Percival, Aishling; Kettridge, Nicholas; Krause, Stefan</t>
  </si>
  <si>
    <t>Seasonal variability of sediment controls of carbon cycling in an agricultural stream</t>
  </si>
  <si>
    <t>Carbon cycling; Greenhouse gas; Streambed; Sediment; Gravel; Sand</t>
  </si>
  <si>
    <t>DISSOLVED ORGANIC-MATTER; TOTAL MICROBIAL ACTIVITY; HYPORHEIC ZONE; METHANE EMISSIONS; AMAZONIAN RIVERS; LAND-USE; DIOXIDE; OXYGEN; GASES; TERRESTRIAL</t>
  </si>
  <si>
    <t>Streams and rivers are 'active pipelines' where high rates of carbon (C) turnover can lead to globally important emissions of carbon dioxide (CO2) and methane (CH4) from surface waters to the atmosphere. Streambed sediments are particularly important in affecting stream chemistry, with rates of biogeochemical activity, and CO2 and CH4 concentrations far exceeding those in surface waters. Despite an increase in research on CO2 and CH4 in streambed sediments there is a lack of knowledge and insight on seasonal dynamics. In this study the seasonally variable effect of sediment type (sand-dominated versus gravel-dominated) on porewater C cycling, including CO2 and CH4 concentrations, was investigated. We found high concentrations of CO2 and CH4 in the streambed of a small agricultural stream. Sand-dominated sediments were characterised by higher microbial activity and CO2 and CH4 concentrations than gravel-dominated sediments, with CH4:CO2 ratios higher in sand-dominated sediments but rates of recalcitrant C uptake highest in gravel-dominated sediments. CO2 and CH4 concentrations were unexpectedly high year-round, with little variation in concentrations among seasons. Our results indicate that small, agricultural streams, which generally receive large amounts of fine sediment and organic matter (OM), may contribute greatly to annual C cycling in freshwater systems. These results should be considered in future stream management plans where the removal of sandy sediments may perform valuable ecosystem services, reducing C turnover, CO2 and CH4 concentrations, and mitigating greenhouse gas (GHG) production. (C) 2019 The Authors. Published by Elsevier B.V.</t>
  </si>
  <si>
    <t>[Comer-Warner, Sophie A.; Ullaha, Sami; Kettridge, Nicholas; Krause, Stefan] Univ Birmingham, Sch Geog Earth &amp; Environm Sci, Birmingham B15 2TT, W Midlands, England; [Gooddy, Daren C.] British Geol Survey, Maclean Bldg, Wallingford OX10 8BB, Oxon, England; [Ullaha, Sami; Glover, Luke; Percival, Aishling] Univ Keele, Sch Geog Geol &amp; Environm, Keele ST5 5BG, Staffs, England; [Percival, Aishling] Dublin Inst Technol, Sch Chem &amp; Pharmaceut Sci, Kevin St, Dublin D08 X622, Ireland</t>
  </si>
  <si>
    <t>University of Birmingham; UK Research &amp; Innovation (UKRI); Natural Environment Research Council (NERC); NERC British Geological Survey; Keele University</t>
  </si>
  <si>
    <t>Comer-Warner, SA (corresponding author), Univ Birmingham, Sch Geog Earth &amp; Environm Sci, Birmingham B15 2TT, W Midlands, England.</t>
  </si>
  <si>
    <t>sxc469@alumni.bham.ac.uk</t>
  </si>
  <si>
    <t>; Kettridge, Nicholas/G-5686-2015; Krause, Stefan/C-4351-2008; Gooddy, Daren/A-7442-2013; Comer-Warner, Sophie/HLW-5629-2023; Ullah, Sami/IAM-8005-2023</t>
  </si>
  <si>
    <t>Krause, Stefan/0000-0003-2521-2248; ULLAH, SAMI/0000-0002-9153-8847; Comer-Warner, Sophie/0000-0003-1260-3151</t>
  </si>
  <si>
    <t>Birmingham Institute of Forest Research; NERC through a Central England NERC Training Alliance Studentship; European Union [734317]; NERC [NE/L004437/1]; NERC [NE/L004437/1, NE/J011541/1, NE/R014752/1, NE/L003872/1, bgs05007] Funding Source: UKRI; Natural Environment Research Council [NE/L003872/1, bgs05007, NE/J011541/1, NE/L004437/1] Funding Source: researchfish; Marie Curie Actions (MSCA) [734317] Funding Source: Marie Curie Actions (MSCA)</t>
  </si>
  <si>
    <t>Birmingham Institute of Forest Research; NERC through a Central England NERC Training Alliance Studentship; European Union(European Union (EU)); NERC(UK Research &amp; Innovation (UKRI)Natural Environment Research Council (NERC)); NERC(UK Research &amp; Innovation (UKRI)Natural Environment Research Council (NERC)); Natural Environment Research Council(UK Research &amp; Innovation (UKRI)Natural Environment Research Council (NERC)); Marie Curie Actions (MSCA)(Marie Curie Actions)</t>
  </si>
  <si>
    <t>The authors would like to thank the Birmingham Institute of Forest Research for their support and use of the study site, Dr. Ben Marchant for his advice on the statistical analysis and Anika Comer-Warner for her role as a field assistant. This work was funded by NERC through a Central England NERC Training Alliance Studentship and grant NE/L004437/1, with additional funding provided by the European Union through the H2020-MSCA-RISE-2016 project 734317. The data supporting the conclusions in this manuscript can be found in NERC's Environmental Information Data Centre, DOI: https://doi.org/10.5285/00601260-285e-4ffa-b381-340b51a7ec50, title: Seasonal streambed carbon and nitrogen cycling (including greenhouse gases) in an agriculturally-impacted stream. Measured at Wood Brook UK, 20162017 and DOI: https://doi.org/10.5285/500193f7-2653-4696-8224-276a734ed6ab, title: Rates of fluorescein diacetate hydrolysis, phenol oxidation and potential denitrification in sand and gravel sediments from an agriculturally-impacted stream.</t>
  </si>
  <si>
    <t>OCT 20</t>
  </si>
  <si>
    <t>10.1016/j.scitotenv.2019.06.317</t>
  </si>
  <si>
    <t>IR6ZG</t>
  </si>
  <si>
    <t>WOS:000481589100075</t>
  </si>
  <si>
    <t>Liang, LL; Eberwein, JR; Allsman, LA; Grantz, DA; Jenerette, GD</t>
  </si>
  <si>
    <t>Liang, L. L.; Eberwein, J. R.; Allsman, L. A.; Grantz, D. A.; Jenerette, G. D.</t>
  </si>
  <si>
    <t>Regulation of CO2 and N2O fluxes by coupled carbon and nitrogen availability</t>
  </si>
  <si>
    <t>CO2; N2O; carbon use efficiency (CUE); nitrogen use efficiency (NUE); greenhouse gases; agricultural ecosystem</t>
  </si>
  <si>
    <t>USE EFFICIENCY; SOIL RESPIRATION; CLIMATE; CYCLE; FEEDBACKS; NORMALITY; WATER; LAND; TIME</t>
  </si>
  <si>
    <t>Carbon (C) and nitrogen (N) interactions contribute to uncertainty in current biogeochemical models that aim to estimate greenhouse gas (GHG, including CO2 and N2O) emissions from soil to atmosphere. In this study, we quantified CO2 and N2O flux patterns and their relationship along with increasing C additions only, N additions only, a C gradient combined with excess N, and an N gradient with excess C via laboratory incubations. Conventional trends, where labile Cor N addition results in higher CO2 or N2O fluxes, were observed. However, at low levels of C availability, saturating N amendments reduced soil CO2 flux while with high C availability N amendments enhanced it. At saturating C conditions increasing N amendments first reduced and then increased CO2 fluxes. Similarly, N2O fluxes were initially reduced by adding labile C under N limited conditions, but additional C enhanced N2O fluxes by more than two orders of magnitude in the saturating N environment. Changes in Cor N use efficiency could explain the altered gas flux patterns and imply a critical level in the interactions between Nand C availability that regulate soil trace gas emissions and biogeochemical cycling. Compared to either N or C amendment alone, the interaction of N and C caused similar to 60 and similar to 5 times the total GHG emission, respectively. Our findings suggested that the response of CO2 and N2O fluxes along stoichiometric gradients in C and N availability should be accounted for interpreting or modeling the biogeochemistry of GHG emissions.</t>
  </si>
  <si>
    <t>[Liang, L. L.; Eberwein, J. R.; Allsman, L. A.; Jenerette, G. D.] Univ Calif Riverside, Dept Bot &amp; Plant Sci, Riverside, CA 92521 USA; [Grantz, D. A.] Univ Calif Riverside, Kearney Agr Ctr, Dept Bot &amp; Plant Sci, Riverside, CA 92521 USA</t>
  </si>
  <si>
    <t>University of California System; University of California Riverside; University of California System; University of California Riverside</t>
  </si>
  <si>
    <t>Liang, LL (corresponding author), Univ Calif Riverside, Dept Bot &amp; Plant Sci, Riverside, CA 92521 USA.</t>
  </si>
  <si>
    <t>lssllyin@gmail.com; darrel.jenerette@ucr.edu</t>
  </si>
  <si>
    <t>Liáng, Lìyǐn/G-4503-2015; Liang, Liyin/G-4503-2015</t>
  </si>
  <si>
    <t>Liang, Liyin/0000-0001-9831-4793; Allsman, Lindy/0000-0002-0190-9086</t>
  </si>
  <si>
    <t>USDA-NIFA Award [2011-67009-30045]; U C Riverside; NIFA [579759, 2011-67009-30045] Funding Source: Federal RePORTER</t>
  </si>
  <si>
    <t>USDA-NIFA Award; U C Riverside; NIFA(United States Department of Agriculture (USDA)National Institute of Food &amp; Agriculture)</t>
  </si>
  <si>
    <t>This work was supported by the USDA-NIFA Award No. 2011-67009-30045, and by U C Riverside. We appreciate logistic collaboration from the staff of the University of California Desert Research and Extension Center for much skillful assistance, especially F Miramontes and F Maciel. Comments from two anonymous reviews substantially improved the manuscripts.</t>
  </si>
  <si>
    <t>10.1088/1748-9326/10/3/034008</t>
  </si>
  <si>
    <t>CD9KB</t>
  </si>
  <si>
    <t>WOS:000351416100010</t>
  </si>
  <si>
    <t>Petersen, V; Markfoged, R; Hafner, SD; Sommer, SG</t>
  </si>
  <si>
    <t>Petersen, V.; Markfoged, R.; Hafner, S. D.; Sommer, S. G.</t>
  </si>
  <si>
    <t>A new slurry pH model accounting for effects of ammonia and carbon dioxide volatilization on solution speciation</t>
  </si>
  <si>
    <t>NUTRIENT CYCLING IN AGROECOSYSTEMS</t>
  </si>
  <si>
    <t>Ammonia; pH; Carbon dioxide; Emission model; Manure slurry</t>
  </si>
  <si>
    <t>CATTLE SLURRY; MANURE; EMISSIONS; DYNAMICS; NITROGEN; LAYERS; WATER; FLUX</t>
  </si>
  <si>
    <t>Ammonia (NH3) emissions from manure constitute a significant loss of fixed nitrogen (N) from agricultural systems and contribute to air pollution and ecosystem degradation. Accurate models of such NH3 emissions will improve our understanding of the factors that control the emissions and allow appropriate mitigation actions to be identified and quantified. Although the importance of manure pH on ammonia emission has been recognized for decades, the physical and chemical interactions that control pH are not fully understood. Here we present a novel mathematical model that includes the dynamic and crucial pH changes in the surface of stored slurry or slurry applied in the field. In the model, slurry pH is calculated by simultaneously determining: (1) speciation of the acid-base reactions, (2) diffusion of each buffer species, and (3) emission of NH3 and CO2. New features of the model include a reduced variable that combines time and location and an analytical approach to solving the resulting system of equations using Mathematica. To evaluate the model, we made measurements of pH at a resolution of 0.1 mm in the top 30 mm of an ammonium bicarbonate solution. These measurements show the creation of a large pH gradient (&gt; 1 pH unit in &lt; 30 mm after 20 h) and its change over time due to simultaneous NH3 and CO2 emission from aqueous solutions. The model was able to accurately predict the development of pH gradients over time, suggesting that our understanding of the factors controlling pH is correct. New developments presented in the model should be useful for future work on understanding and predicting NH3 emission from manure.</t>
  </si>
  <si>
    <t>[Petersen, V.; Hafner, S. D.; Sommer, S. G.] Univ So Denmark, Inst Chem Engn Biotechnol &amp; Environm Engn, Fac Engn, Odense M, Denmark; [Markfoged, R.] Aarhus Univ, Dept Biosci, Aarhus, Denmark</t>
  </si>
  <si>
    <t>University of Southern Denmark; Aarhus University</t>
  </si>
  <si>
    <t>Hafner, SD (corresponding author), Univ So Denmark, Inst Chem Engn Biotechnol &amp; Environm Engn, Fac Engn, Odense M, Denmark.</t>
  </si>
  <si>
    <t>saha@kbm.sdu.dk</t>
  </si>
  <si>
    <t>; Hafner, Sasha/N-3970-2013; Sommer, Sven Gjedde/HPF-3379-2023</t>
  </si>
  <si>
    <t>Sommer, Sven Gjedde/0000-0002-2673-0162; Hafner, Sasha/0000-0003-0955-0327;</t>
  </si>
  <si>
    <t>Gront udviklings- og demonstration program; Aarhus University, Bioscence - European Research Council [267233]; European Research Council (ERC) [267233] Funding Source: European Research Council (ERC)</t>
  </si>
  <si>
    <t>Gront udviklings- og demonstration program; Aarhus University, Bioscence - European Research Council; European Research Council (ERC)(European Research Council (ERC))</t>
  </si>
  <si>
    <t>We thank Gront udviklings- og demonstration program for the financial support (Gylle-IT), Ministeriet for Fodevarer, Landbrug og Fiskeri - NaturErhvervstyrelsen. We thank Lars B Pedersen, Preben Sorensen, and and Niels Peter Revsbech (Aarhus University, Bioscence - European Research Council, Grant No. 267233) for constructing the hock formed temperature sensors and pH electrodes, Steen Bennike Mortensen (NovoZymes) for providing us with the carbonic anhydrase and Henrik Midtiby for valuable comments to the model development.</t>
  </si>
  <si>
    <t>1385-1314</t>
  </si>
  <si>
    <t>1573-0867</t>
  </si>
  <si>
    <t>NUTR CYCL AGROECOSYS</t>
  </si>
  <si>
    <t>Nutr. Cycl. Agroecosyst.</t>
  </si>
  <si>
    <t>10.1007/s10705-014-9637-6</t>
  </si>
  <si>
    <t>AR6ZJ</t>
  </si>
  <si>
    <t>WOS:000343729300005</t>
  </si>
  <si>
    <t>Yadav, GS; Das, A; Lal, R; Babu, S; Meena, RS; Saha, P; Singh, R; Datta, M</t>
  </si>
  <si>
    <t>Yadav, Gulab Singh; Das, Anup; Lal, Rattan; Babu, Subhash; Meena, Ram Swaroop; Saha, Poulami; Singh, Raghavendra; Datta, Mrinmoy</t>
  </si>
  <si>
    <t>Energy budget and carbon footprint in a no-till and mulch based rice mustard cropping system</t>
  </si>
  <si>
    <t>Farm income; System productivity; Upland ecosystem; Energy use efficiency,Conservation agriculture; Cleaner production technology</t>
  </si>
  <si>
    <t>AGRICULTURAL PRODUCTION SYSTEMS; GREENHOUSE-GAS CONTRIBUTIONS; CONSERVATION AGRICULTURE; USE EFFICIENCY; ESTABLISHMENT TECHNIQUES; MANAGEMENT-PRACTICES; PHYSICAL-PROPERTIES; TOMATO PRODUCTION; WINTER-WHEAT; SOIL HEALTH</t>
  </si>
  <si>
    <t>The increase in emission of greenhouse gases (GHGs) due to anthropogenic perturbation in both the agricultural and natural eco-systems are degrading the environmental quality. Conventional tillage (CT) and residue burning/removal exacerbates the land degradation and GHG emission, and the impacts are much more in the upland ecosystem than valley lands. Therefore, the aim of the present study was to evaluate the energy budget, and carbon footprint (CF) of no-till (NT) and mulches under the upland rice (Oryza sativa) mustard (Brassica campestris var. toria) cropping system over CT based system to develop a clean production technology for improving the environmental quality and conservingnatural resources. The novelty of the study is that integrated effect of NT, diverse mulches and cropping system effect has been considered together as a conservation measure for sustainable and clean agricultural practice over those of CT based technologies. The experiment comprised of two tillage systems as the main-plot and four mulch types as the sub-plot treatments under a split-plot design. Two tillage systems included: 1. CT-RI: CF with 100% residue incorporation (RI), and 2. NT-RR: NT with 100% residue retention (RR). Four mulch types included: 1. rice straw mulch (SM), 2. green manure (GM)-Gliricidia sp. (a leguminous shrub) mulch, 3. brown manuring (BM) mulch [cowpea (Vigna unguiculata) grown as an intercrop and killed with a spray of 2, 4-D, 40 days after sowing (DAS)] and 4. no mulch (NM) control. The adoption of NT-RR significantly (p = 0.05) reduced the energy use (16,727 MJ/ha) and the cost of production (INR 54,271/ha, 1 US$ = 64.46 INR) compared with those under CT-RI (27,630 MJ/ha and INR 76,903/ha, respectively). Thus, NT-RR also increased the energy use efficiency (EUE), energy productivity (EP), net returns, and reduced CF of the system compared with those under CT-RI. Use of different mulches also increased the energy use efficiency, system productivity, and net returnscompared with those under NM. The total CO2-e emission (CF) was higher under CT-RI (2307 kg COa-e/ha) as compared to those under NT-RR (2013 kg CO2-e/ha). The savings of fossil fuel from less number of tillage operations and also low emissions associated with energy consumed in manufacture, transport, repair and use of machines contributed to the lowest GWP under NT-RR. Thus, the study supports and recommended that the NT-RR with BM is an environmentally safe and clean production technology for enhancing the energy use efficiency, reducing the CF and cost of production of direct-seeded upland rice-mustard cropping system in India and similar agro-eco-regions elsewhere in the rice based cropping system in the world. (C) 2018 Elsevier Ltd. All rights reserved.</t>
  </si>
  <si>
    <t>[Yadav, Gulab Singh; Saha, Poulami] Tripura Ctr, ICAR Res Complex NEH Reg, Lembucherra 799210, Tripura, India; [Yadav, Gulab Singh; Lal, Rattan; Meena, Ram Swaroop] Ohio State Univ, Carbon Management &amp; Sequestrat Ctr, Columbus, OH 43210 USA; [Das, Anup; Babu, Subhash] ICAR Res Complex NEH Reg, Umiam 793103, Meghalaya, India; [Meena, Ram Swaroop] Banaras Hindu Univ, Inst Agr Sci, Varanasi 221005, Uttar Pradesh, India; [Singh, Raghavendra] Sikkim Ctr, ICAR Res Complex NEH Reg, Tadong 737102, Sikkim, India; [Datta, Mrinmoy] Tripura Univ, Coll Agr, Lembucherra 799210, Tripura, India</t>
  </si>
  <si>
    <t>Indian Council of Agricultural Research (ICAR); ICAR - ICAR Research Complex for NEH Region; University System of Ohio; Ohio State University; Indian Council of Agricultural Research (ICAR); ICAR - ICAR Research Complex for NEH Region; Banaras Hindu University (BHU); Indian Council of Agricultural Research (ICAR); ICAR - ICAR Research Complex for NEH Region; Tripura University</t>
  </si>
  <si>
    <t>Meena, RS (corresponding author), Banaras Hindu Univ, Inst Agr Sci, Dept Agron, Varanasi 221005, Uttar Pradesh, India.</t>
  </si>
  <si>
    <t>meena.8@osu.edu</t>
  </si>
  <si>
    <t>Lal, Rattan/D-2505-2013; Babu, Subhash/AFL-0729-2022; Yadav, Gulab/T-9392-2019; Meena, Vijay/K-9176-2019; Singh, Raghavendra/AFK-7850-2022; Das, Anup/AAD-1517-2019</t>
  </si>
  <si>
    <t>Babu, Subhash/0000-0003-4469-0157; Yadav, Gulab Singh/0000-0002-9607-2492; MEENA, RAM SWAROOP/0000-0002-7119-8646;</t>
  </si>
  <si>
    <t>ICAR Research Complex for NEH Region, Umiam, Meghalaya, India; NICRA (National Innovations on Climate Resilient Agriculture)</t>
  </si>
  <si>
    <t>The authors are thankful to the Director of ICAR Research Complex for NEH Region, Umiam, Meghalaya, India, and NICRA (National Innovations on Climate Resilient Agriculture) for providing necessary facilities and financial support to conduct the study.</t>
  </si>
  <si>
    <t>10.1016/j.jclepro.2018.04.173</t>
  </si>
  <si>
    <t>GJ1WI</t>
  </si>
  <si>
    <t>WOS:000435058200015</t>
  </si>
  <si>
    <t>Teixeira, A; Lefèvre, J</t>
  </si>
  <si>
    <t>Teixeira, Antoine; Lefevre, Julien</t>
  </si>
  <si>
    <t>Global supply chains and domestic climate policy: Addressing the substantial material-related carbon footprint of final consumption in France</t>
  </si>
  <si>
    <t>JOURNAL OF INDUSTRIAL ECOLOGY</t>
  </si>
  <si>
    <t>carbon footprint; industrial ecology; input-output analysis; low carbon strategies; materials production; scenarios analysis</t>
  </si>
  <si>
    <t>CIRCULAR ECONOMY; INTERNATIONAL-TRADE</t>
  </si>
  <si>
    <t>In the Global North, materials production accounts for a limited share of territorial greenhouse gas (GHG) emissions, and national low-carbon strategies typically focus on direct emissions in the energy, transport, buildings, and agricultural sectors. However, GHG emissions from materials production represent a significant portion of global emissions and are predominantly embodied in imports for these countries. This paper estimates and maps the carbon footprint of materials production (CFM) for France, serving as a representative case study of the Global North, for both the current situation and future scenarios. Our findings indicate that in 2015, the CFM accounted for 3 tCO(2)eq per capita, of which almost 90% were indirect emissions embodied in imports, while emissions from domestic materials production accounted for only 0.7 tCO(2)eq per capita. The CFM is notably distributed across all final consumption sectors, including purchased services, with heterogeneous contributions from different material types. Moreover, the latest national net-zero emissions strategy is projected to reduce the total French carbon footprint by only half by 2050, with 60% of the remaining GHG emissions corresponding to an unchanged CFM from 2015 to 2050. Based on a detailed mapping of present and projected carbon footprints across supply chains and trade, we identify critical areas for policy intervention. Beyond standard international collaborations and incentives aimed at reducing the carbon content of imports (e.g., Carbon Border Adjustment Mechanism, climate clubs, and climate finance), domestic policies fostering greater circularity and reindustrialization, coupled with shifts toward lower-demand lifestyles, emerge as essential strategies for effectively diminishing the CFM.</t>
  </si>
  <si>
    <t>[Teixeira, Antoine] Agence Environm Maitrise Energie ADEME, Direct Execut Prospect &amp; Rech DEPR, 20 Av Gresille, F-49000 Angers, France; [Lefevre, Julien] AgroParisTech, Paris, France; [Teixeira, Antoine; Lefevre, Julien] Ctr Int Rech Environm &amp; Dev CIRED, Nogent Sur Marne, France</t>
  </si>
  <si>
    <t>AgroParisTech; Institut Polytechnique de Paris; Ecole Nationale des Ponts et Chaussees; AgroParisTech</t>
  </si>
  <si>
    <t>Teixeira, A (corresponding author), Agence Environm Maitrise Energie ADEME, Direct Execut Prospect &amp; Rech DEPR, 20 Av Gresille, F-49000 Angers, France.</t>
  </si>
  <si>
    <t>antoine.teixeira@ademe.fr</t>
  </si>
  <si>
    <t>LEFEVRE, Julien/IVH-5390-2023</t>
  </si>
  <si>
    <t>Teixeira, Antoine/0000-0002-7788-6490</t>
  </si>
  <si>
    <t>CGDD (Commissariat Gnral au Dveloppement Durable); ADEME; CGDD, Eiffage; SMASH</t>
  </si>
  <si>
    <t>We thank B. Fontaine, G. Le Treut, and F. Vicard for their support and advice. We also thank C. Guivarch for her suggestions to improve the exposition of the method and results. This work was funded by ADEME, CGDD, Eiffage, Imerys and SMASH.</t>
  </si>
  <si>
    <t>1088-1980</t>
  </si>
  <si>
    <t>1530-9290</t>
  </si>
  <si>
    <t>J IND ECOL</t>
  </si>
  <si>
    <t>J. Ind. Ecol.</t>
  </si>
  <si>
    <t>10.1111/jiec.70001</t>
  </si>
  <si>
    <t>3OH1V</t>
  </si>
  <si>
    <t>WOS:001438033800001</t>
  </si>
  <si>
    <t>Ituen, I; Hu, BX</t>
  </si>
  <si>
    <t>Ituen, Ima; Hu, Baoxin</t>
  </si>
  <si>
    <t>A Multisource Data Approach for Change and Disturbance Mapping of Ontario's Clay Belt Toward More Accurate Carbon and Emissions Estimation</t>
  </si>
  <si>
    <t>IEEE JOURNAL OF SELECTED TOPICS IN APPLIED EARTH OBSERVATIONS AND REMOTE SENSING</t>
  </si>
  <si>
    <t>Accuracy; Carbon; Spatial resolution; Land surface; Forests; Earth; MODIS; Landsat; Data models; Classification algorithms; Change detection; classification; Google Earth Engine (GEE); land cover</t>
  </si>
  <si>
    <t>LAND-COVER CLASSIFICATION; FOREST DISTURBANCE; DETECTING TRENDS; BIODIVERSITY; IMAGERY</t>
  </si>
  <si>
    <t>This article is the first of a two-part study on disturbance-informed land use/land cover changes in the Clay Belt region of Northern Ontario, Canada. Despite the drive to convert forests to agricultural land, detailed information on land use changes and the resulting impacts on soil carbon and greenhouse gas (GHG) emissions in the region is lacking. Therefore, this work aims to address the information gap by estimating the amount of land cover changes. The study is driven by the urgent need to develop suitable methodologies for detecting and mapping land cover dynamics in Northern Ontario for forest and agricultural lands. Predominant land cover classes in the study area are mapped in order to quantify the changes from 2002 to 2022. Drawing on nascent technology and tools such as machine learning and Google Earth Engine's cloud computing, the satellite images from Landsat and Sentinel are used to examine the trend of land cover and land use changes. This study proposes a reliable methodology of multisensor fusion with data free of cloud contamination-a method which can be deployed anywhere for large-scale monitoring-yielding high accuracy results for regional or national accounting of ecosystem carbon stocks and GHG emissions.</t>
  </si>
  <si>
    <t>[Ituen, Ima; Hu, Baoxin] York Univ, Dept Earth &amp; Space Sci &amp; Engn, Toronto, ON M3J 1P3, Canada</t>
  </si>
  <si>
    <t>York University - Canada</t>
  </si>
  <si>
    <t>Hu, BX (corresponding author), York Univ, Dept Earth &amp; Space Sci &amp; Engn, Toronto, ON M3J 1P3, Canada.</t>
  </si>
  <si>
    <t>iituen@yorku.ca; baoxin@yorku.ca</t>
  </si>
  <si>
    <t>Hu, Baoxin/0000-0002-1858-6922; Ituen, Ima/0000-0002-7827-551X</t>
  </si>
  <si>
    <t>Dr. Diane Michelangeli Memorial Scholarship; Enbridge Student Award; Ontario Ministry of Agriculture, Food and Rural Affairs (OMAFRA); Natural Sciences and Engineering Research Council of Canada (NSERC)</t>
  </si>
  <si>
    <t>Dr. Diane Michelangeli Memorial Scholarship; Enbridge Student Award; Ontario Ministry of Agriculture, Food and Rural Affairs (OMAFRA); Natural Sciences and Engineering Research Council of Canada (NSERC)(Natural Sciences and Engineering Research Council of Canada (NSERC))</t>
  </si>
  <si>
    <t>This work was supported in part by the Dr. Diane Michelangeli Memorial Scholarship, in part by the Enbridge Student Award, in part by the Ontario Ministry of Agriculture, Food and Rural Affairs (OMAFRA), and in part by the Natural Sciences and Engineering Research Council of Canada (NSERC).</t>
  </si>
  <si>
    <t>1939-1404</t>
  </si>
  <si>
    <t>2151-1535</t>
  </si>
  <si>
    <t>IEEE J-STARS</t>
  </si>
  <si>
    <t>IEEE J. Sel. Top. Appl. Earth Observ. Remote Sens.</t>
  </si>
  <si>
    <t>10.1109/JSTARS.2024.3491804</t>
  </si>
  <si>
    <t>Engineering, Electrical &amp; Electronic; Geography, Physical; Remote Sensing; Imaging Science &amp; Photographic Technology</t>
  </si>
  <si>
    <t>Engineering; Physical Geography; Remote Sensing; Imaging Science &amp; Photographic Technology</t>
  </si>
  <si>
    <t>U1Q3Z</t>
  </si>
  <si>
    <t>WOS:001409622100019</t>
  </si>
  <si>
    <t>Iñamagua-Uyaguari, JP; Fitton, N; Smith, P</t>
  </si>
  <si>
    <t>Inamagua-Uyaguari, Juan Pablo; Fitton, Nuala; Smith, Pete</t>
  </si>
  <si>
    <t>Planting trees in livestock landscapes to protect soil and water also delivers carbon sequestration</t>
  </si>
  <si>
    <t>Silvopastoral; Riparian areas; Steeplands; Ecuador; Tropics</t>
  </si>
  <si>
    <t>GREENHOUSE-GAS EMISSIONS; LAND-USE; FOREST; MITIGATION; EROSION; RUNOFF; DEGRADATION; ADAPTATION; BIOMASS; TRENDS</t>
  </si>
  <si>
    <t>Ecuador has committed to climate change mitigation by reducing greenhouse gas emissions from anthropogenic activities, including livestock production. This sector can also contribute to mitigation by increasing carbon sequestration and storage capacity through increasing tree coverage. Although feasible, tree cover expansion would require agricultural land, creating a conflict with food production, thus appropriate areas need to be selected, and the impacts on livestock production quantified. Following water protection legislation and soil protection guidelines, we use a combination of measurements on 100 farms with land cover datasets to identify suitable areas for increasing tree coverage in livestock landscapes. Land cover classification was performed in 2 km areas around 100 livestock farms in the coastal and Amazon regions in Ecuador. Riparian zones were identified following legislation and steepland pastures identified from a slope map. Pasture in riparian areas or steeplands (slope &gt; 15%) were considered suitable for increasing tree coverage by restoration or silvopastoral systems (SPS). The impact of forest/silvopastoral on biomass production was quantified. Overall, 855 km of rivers were studied, between 1-18% of riparian areas were classified as pastures, whilst from the 85992 ha included in the land cover classification, 41668 ha were identified as steepland, 1-28% of steepland was covered by pastures. We estimate that steepland pasture conversion into forest could offset 1.8-10% of Ecuador's annual GHG emissions from the agricultural sector, but its impacts could represent a decrease &gt; 50% of pasture biomass production at landscape level. Transformation of riparian and steepland pastures into SPS, could deliver important carbon sequestration, with a reduction in pasture biomass production of less than 20%.</t>
  </si>
  <si>
    <t>[Inamagua-Uyaguari, Juan Pablo] Univ Cuenca, Fac Ciencias Agr, Dept Recursos Hidr &amp; Ciencias Ambientales, Ave 12 Octubre &amp; Diego Tapia, Cuenca 010205, Ecuador; [Inamagua-Uyaguari, Juan Pablo; Smith, Pete] Univ Aberdeen, Inst Biol &amp; Environm Sci, Aberdeen AB243UU, Scotland; [Fitton, Nuala] South Pole Consulting, 275 Grays Inn Rd, London WC1X8QB, England</t>
  </si>
  <si>
    <t>Universidad de Cuenca; University of Aberdeen</t>
  </si>
  <si>
    <t>Iñamagua-Uyaguari, JP (corresponding author), Univ Cuenca, Fac Ciencias Agr, Dept Recursos Hidr &amp; Ciencias Ambientales, Ave 12 Octubre &amp; Diego Tapia, Cuenca 010205, Ecuador.;Iñamagua-Uyaguari, JP (corresponding author), Univ Aberdeen, Inst Biol &amp; Environm Sci, Aberdeen AB243UU, Scotland.</t>
  </si>
  <si>
    <t>juan.inamagua@ucuenca.edu.ec; n.fitton@southpole.com; pete.smith@abdn.ac.uk</t>
  </si>
  <si>
    <t>; Smith, Pete/G-1041-2010; Smith, Pete/G-1041-2010; Inamagua, Juan/JPL-0567-2023</t>
  </si>
  <si>
    <t>Iñamagua Uyaguari, Juan Pablo/0000-0001-9975-2138; Smith, Pete/0000-0002-3784-1124; Smith, Pete/0000-0002-3784-1124;</t>
  </si>
  <si>
    <t>Climate Smart Livestock project - Global Environment Facility-GEF; Ministry of Environment of Ecuador-MAE; Ministry of Agriculture and Livestock of Ecuador-MAG; Food and Agriculture Organization of the United Nations-FAO; International Research School in Applied Ecology (IRSAE); University of Aberdeen; Universidad de Cuenca</t>
  </si>
  <si>
    <t>This study was supported by the Climate Smart Livestock project, funded by the Global Environment Facility-GEF, the Ministry of Environment of Ecuador-MAE, the Ministry of Agriculture and Livestock of Ecuador-MAG and the Food and Agriculture Organization of the United Nations-FAO. JPI received a mobility grant from the International Research School in Applied Ecology (IRSAE), an Elphinstone Scholarship for doctoral studies from University of Aberdeen and support from Universidad de Cuenca for doctoral studies</t>
  </si>
  <si>
    <t>0167-4366</t>
  </si>
  <si>
    <t>1572-9680</t>
  </si>
  <si>
    <t>AGROFOREST SYST</t>
  </si>
  <si>
    <t>Agrofor. Syst.</t>
  </si>
  <si>
    <t>10.1007/s10457-023-00857-9</t>
  </si>
  <si>
    <t>Agronomy; Forestry</t>
  </si>
  <si>
    <t>Agriculture; Forestry</t>
  </si>
  <si>
    <t>M0DI1</t>
  </si>
  <si>
    <t>WOS:000994099900002</t>
  </si>
  <si>
    <t>Liu, M; Gao, YB; Li, GC; Guang, XX; Li, ST</t>
  </si>
  <si>
    <t>Liu, Meng; Gao, Yanbin; Li, Guangchun; Guang, Xingxing; Li, Shutong</t>
  </si>
  <si>
    <t>An Improved Alignment Method for the Strapdown Inertial Navigation System (SINS)</t>
  </si>
  <si>
    <t>SENSORS</t>
  </si>
  <si>
    <t>polar alignment; pseudo-frame; decoupling; Kalman filter</t>
  </si>
  <si>
    <t>IN-MOTION ALIGNMENT; INITIAL ALIGNMENT; ALGORITHM; SCHEME; FILTER</t>
  </si>
  <si>
    <t>In this paper, an innovative inertial navigation system (INS) mechanization and the associated Kalman filter (KF) are developed to implement a fine alignment for the strapdown INS (SINS) on stationary base. The improved mechanization is established in the pseudo-geographic frame, which is rebuilt based on the initial position. The new mechanization eliminates the effects of linear movement errors on the heading by decoupling. Compared with the traditional local-level mechanization, it has more advantages. The proposed algorithm requires lower coarse alignment accuracy in both the open-loop and closed-loop KFs and hence can improve the system reliability and decrease the total alignment time. Moreover, for the closed-loop KF, it can decrease oscillation caused by the system errors and improve the closed-loop system stability. In addition, the proposed algorithm can also be applied to polar alignment. The performance of the proposed algorithm is verified by both simulations and experiments and the results exhibit the superior performance of the proposed approach.</t>
  </si>
  <si>
    <t>[Liu, Meng; Gao, Yanbin; Li, Guangchun; Guang, Xingxing; Li, Shutong] Harbin Engn Univ, Coll Automat, Harbin 150001, Peoples R China</t>
  </si>
  <si>
    <t>Harbin Engineering University</t>
  </si>
  <si>
    <t>Li, GC (corresponding author), Harbin Engn Univ, Coll Automat, Harbin 150001, Peoples R China.</t>
  </si>
  <si>
    <t>liumeng_0304@163.com; gaoyanbin@hrbeu.edu.cn; lgc_67@hrbeu.edu.cn; guangxingxing1008@163.com; lishutongst@163.com</t>
  </si>
  <si>
    <t>Meng, Liu/KMY-3656-2024; qi, wang/N-8596-2016</t>
  </si>
  <si>
    <t>qi, wang/0000-0002-1404-582X</t>
  </si>
  <si>
    <t>Ministry of Science and Technology of China [2014DFR10010]</t>
  </si>
  <si>
    <t>Ministry of Science and Technology of China(Ministry of Science and Technology, China)</t>
  </si>
  <si>
    <t>This work is supported by Ministry of Science and Technology of China (grant number 2014DFR10010). The authors also would thank Weiwei Ling and Lianwu Guan for helping edit the language of the paper.</t>
  </si>
  <si>
    <t>1424-8220</t>
  </si>
  <si>
    <t>SENSORS-BASEL</t>
  </si>
  <si>
    <t>Sensors</t>
  </si>
  <si>
    <t>10.3390/s16050621</t>
  </si>
  <si>
    <t>Chemistry, Analytical; Engineering, Electrical &amp; Electronic; Instruments &amp; Instrumentation</t>
  </si>
  <si>
    <t>Chemistry; Engineering; Instruments &amp; Instrumentation</t>
  </si>
  <si>
    <t>DK8CD</t>
  </si>
  <si>
    <t>WOS:000375153900030</t>
  </si>
  <si>
    <t>Kurniawan, TA; Othman, MHD; Liang, X; Goh, HH; Gikas, P; Chong, KK; Chew, KW</t>
  </si>
  <si>
    <t>Kurniawan, Tonni Agustiono; Othman, Mohd Hafiz Dzarfan; Liang, Xue; Goh, Hui Hwang; Gikas, Petros; Chong, Kok-Keong; Chew, Kit Wayne</t>
  </si>
  <si>
    <t>Challenges and opportunities for biochar to promote circular economy and carbon neutrality</t>
  </si>
  <si>
    <t>Biochar; Carbon neutrality; Circular economy; Climate change; Net zero emissions; Resource recovery</t>
  </si>
  <si>
    <t>CONTAMINATED WATER; SOIL; REMOVAL; 4-CHLOROPHENOL; SEQUESTRATION; TETRACYCLINE; DEGRADATION; COMPOSITE; H2O2</t>
  </si>
  <si>
    <t>Biochar, derived from unused biomass, is widely considered for its potential to deal with climate change problems. Global interest in biochar is attributed to its ability to sequester carbon in soil and to remediate aquatic environment from water pollution. As soil conditioner and/or adsorbent, biochar offers opportunity through a circular economy (CE) paradigm. While energy transition continues, progress toward low-emissions materials accelerates their advance towards net-zero emissions. However, none of existing works addresses CE-based biochar management to achieve carbon neutrality. To reflect its novelty, this work provides a critical over-view of challenges and opportunities for biochar to promote CE and carbon neutrality. This article also offers seminal perspectives about strengthening biomass management through CE and resource recovery paradigms, while exploring how the unused biomass can promote net zero emissions in its applications. By consolidating scattered knowledge in the body of literature into one place, this work uncovers new research directions to close the loops by implementing the circularity of biomass resources in various fields. It is conclusive from a literature survey of 113 articles (2003-2023) that biomass conversion into biochar can promote net zero emissions and CE in the framework of the UN Sustainable Development Goals (SDGs). Depending on their physico-chemical properties, biochar can become a suitable feedstock for CE. Biochar application as soil enrichment offsets 12% of CO2 emissions by land use annually. Adding biochar to soil can improve its health and agricultural produc-tivity, while minimizing about 1/8 of CO2 emissions. Biochar can also sequester CO2 in the long-term and prevent the release of carbon back into the atmosphere after its decomposition. This practice could sequester 2.5 gigatons (Gt) of CO2 annually. With the global biochar market reaching USD 368.85 million by 2028, this work facilitates biochar with its versatile characteristics to promote carbon neutrality and CE applications.</t>
  </si>
  <si>
    <t>[Kurniawan, Tonni Agustiono] Xiamen Univ, Coll Environm &amp; Ecol, Xiamen 361102, Peoples R China; [Othman, Mohd Hafiz Dzarfan] Univ Teknol Malaysia UTM, Fac Chem &amp; Energy Engn, Adv Membrane Technol Res Ctr, Skudai 81310, Johor Bahru, Malaysia; [Liang, Xue; Goh, Hui Hwang] Guangxi Univ, Sch Elect Engn, Nanning 530004, Peoples R China; [Gikas, Petros] Tech Univ Crete, Sch Chem &amp; Environm Engn, Khania 73100, Greece; [Chong, Kok-Keong] Univ Tunku Abdul Rahman, Lee Kong Chian Fac Engn &amp; Sci, Kajang 43000, Selangor, Malaysia; [Chew, Kit Wayne] Nanyang Technol Univ, Sch Chem Chem Engn &amp; Biotechnol, Singapore 637459, Singapore</t>
  </si>
  <si>
    <t>Xiamen University; Universiti Teknologi Malaysia; Guangxi University; Technical University of Crete; Universiti Tunku Abdul Rahman (UTAR); Nanyang Technological University</t>
  </si>
  <si>
    <t>Kurniawan, TA (corresponding author), Xiamen Univ, Coll Environm &amp; Ecol, Xiamen 361102, Peoples R China.</t>
  </si>
  <si>
    <t>tonni@xmu.edu.cn</t>
  </si>
  <si>
    <t>Chew, Kit Wayne/R-2427-2019; CHONG, KOK-KEONG/AAD-5818-2020; Liang, Xue/IAN-2498-2023; Chong, Kok-Keong/D-3708-2009; Goh, Hui Hwang/D-6206-2019; Kurniawan, Tonni Agustiono/B-8172-2008; GOH, HUI HWANG/GSD-2553-2022; Othman, Mohd Hafiz Dzarfan/J-8230-2015</t>
  </si>
  <si>
    <t>Chew, Kit Wayne/0009-0006-7562-7133; Chong, Kok-Keong/0000-0002-7350-597X; Goh, Hui Hwang/0000-0003-3220-7631;</t>
  </si>
  <si>
    <t>Universiti Teknologi Malaysia (UTM) [Q.J130000.21A6.00P14, Q. J130000.3809.22H07]; The World Academy of Sciences (TWAS) [FR3240322700]</t>
  </si>
  <si>
    <t>Universiti Teknologi Malaysia (UTM); The World Academy of Sciences (TWAS)</t>
  </si>
  <si>
    <t>The authors thank Universiti Teknologi Malaysia (UTM) for the Research Grants (No. Q.J130000.21A6.00P14 and Q. J130000.3809.22H07) and The World Academy of Sciences (TWAS) through a Fellowship for Visiting Experts (FR3240322700) .</t>
  </si>
  <si>
    <t>APR 15</t>
  </si>
  <si>
    <t>10.1016/j.jenvman.2023.117429</t>
  </si>
  <si>
    <t>9P9EV</t>
  </si>
  <si>
    <t>WOS:000944580400001</t>
  </si>
  <si>
    <t>Morales, RA; Zorogastúa, P; Feliciano, D; de Mendiburu, F; Quiroz, R</t>
  </si>
  <si>
    <t>Morales A, Rodrigo A.; Zorogastua C, Percy; Feliciano, Diana; de Mendiburu D, Felipe; Quiroz, Roberto</t>
  </si>
  <si>
    <t>Combining reference trials, farm surveys and mathematical models to assess carbon footprint and mitigation measures in tropical agriculture</t>
  </si>
  <si>
    <t>ANNALS OF AGRICULTURAL SCIENCES</t>
  </si>
  <si>
    <t>Peru; Emissions; Maize; Sweet potato; Cassava; Fertilizers</t>
  </si>
  <si>
    <t>GREENHOUSE-GAS MITIGATION; LIFE-CYCLE ASSESSMENT; PRODUCTION SYSTEMS; EMISSIONS; OPTIONS; SOILS; N2O; NO; FERTILIZER; FIELDS</t>
  </si>
  <si>
    <t>This study aimed at estimating carbon footprint (CF) and assessing mitigation options for selected tropical crops using excel-based models, parameterized with data collected through closed-ended questions questionnaires, combined with a reference trial (RT). Most of the estimates using structured interviews were similar to those measured in the RT and the literature. Total average emission intensities ranged from 24 to 290 kg CO(2)eq.Mg-1, where the extreme values corresponded to cassava in the RT (24 kg CO(2)eq.Mg-1) and maize in interviewed farmers in Barranca province (290 kg CO(2)eq.Mg-1). Overall, fertilizer production and application contributed to 77% of total greenhouse gas (GHG). Transportation generated emissions comparable to field estimates. Farm emissions can be reduced in 17 to 27% with incorporation of mitigation practices. The methodology used in this study constitute a useful and easily applicable tool to assess ex-ante the impact of policies and decisions on CF under farm conditions. It can also be used by different stakeholders for different purposes; including but not limited to: label products offered in the market with GHG emission estimates, make decisions to regulate the emissions in the agricultural sector, and to enable farmers to negotiate prices and incentives for environmental preservation with quantitative information.</t>
  </si>
  <si>
    <t>[Morales A, Rodrigo A.; de Mendiburu D, Felipe; Quiroz, Roberto] Int Potato Ctr CIP, Crop &amp; Syst Sci Div, POB 1558, Lima 12, Peru; [Zorogastua C, Percy; de Mendiburu D, Felipe] Univ Nacl Agr La Molina, Agron Dept, Lima 456, Peru; [Feliciano, Diana] Univ Aberdeen, Inst Biol &amp; Environm Sci, Aberdeen AB24 2TZ, Scotland; [Morales A, Rodrigo A.] Panamanian Agr Res Inst IDIAP, 6-4391 El Dorado, Panama City 6A, Panama; [Quiroz, Roberto] CATIE Trop Agr Res &amp; Higher Educ Ctr, Cartago Turrialba 30501, Costa Rica</t>
  </si>
  <si>
    <t>CGIAR; International Potato Center (CIP); Universidad Nacional Agraria La Molina; University of Aberdeen; CATIE - Centro Agronomico Tropical de Investigacion y Ensenanza</t>
  </si>
  <si>
    <t>Morales, RA (corresponding author), Panamanian Agr Res Inst IDIAP, 6-4391 El Dorado, Panama City 6A, Panama.</t>
  </si>
  <si>
    <t>rodrigoamoralesa@gmail.com</t>
  </si>
  <si>
    <t>Quiroz, Roberto/AAP-7726-2020; Feliciano, Diana/HPD-8866-2023</t>
  </si>
  <si>
    <t>ZOROGASTÚA CRUZ, PERCY/0000-0002-3591-4457; Feliciano, Diana/0000-0002-5466-4879;</t>
  </si>
  <si>
    <t>CGIAR Research Program on Roots, Tubers and Bananas (RTB); CGIAR Research Program on Climate Change, Agriculture and Food Security (CCAFS); CGIAR Fund; National Secretariat of Science and Technology of Panama (SENACYT, Professional Excellence subprogram); Agricultural Research Institute of Panama (IDIAP)</t>
  </si>
  <si>
    <t>CGIAR Research Program on Roots, Tubers and Bananas (RTB)(CGIAR); CGIAR Research Program on Climate Change, Agriculture and Food Security (CCAFS)(CGIAR); CGIAR Fund(CGIAR); National Secretariat of Science and Technology of Panama (SENACYT, Professional Excellence subprogram); Agricultural Research Institute of Panama (IDIAP)</t>
  </si>
  <si>
    <t>We would like to thank the CGIAR Research Program on Roots, Tubers and Bananas (RTB) and Climate Change, Agriculture and Food Security (CCAFS) and the CGIAR Fund donors for funding this research. For a list of CGIAR Fund donors please see: http://www.cgiar.org/whowe-are/cgiar-fund/fund-donors-2/.The senior author also acknowledges the support from the National Secretariat of Science and Technology of Panama (SENACYT, Professional Excellence subprogram) and the Agricultural Research Institute of Panama (IDIAP).</t>
  </si>
  <si>
    <t>0570-1783</t>
  </si>
  <si>
    <t>2090-8377</t>
  </si>
  <si>
    <t>ANN AGR SCI-CAIRO</t>
  </si>
  <si>
    <t>Ann. Agric. Sci.</t>
  </si>
  <si>
    <t>10.1016/j.aoas.2019.12.002</t>
  </si>
  <si>
    <t>LE7VY</t>
  </si>
  <si>
    <t>Green Submitted, Green Accepted, gold</t>
  </si>
  <si>
    <t>WOS:000526933000008</t>
  </si>
  <si>
    <t>Yin, W; Chai, Q; Guo, Y; Feng, FX; Zhao, C; Yu, AZ; Liu, C; Fan, ZL; Hu, FL; Chen, GD</t>
  </si>
  <si>
    <t>Yin, Wen; Chai, Qiang; Guo, Yao; Feng, Fuxue; Zhao, Cai; Yu, Aizhong; Liu, Chang; Fan, Zhilong; Hu, Falong; Chen, Guodong</t>
  </si>
  <si>
    <t>Reducing carbon emissions and enhancing crop productivity through strip intercropping with improved agricultural practices in an arid area</t>
  </si>
  <si>
    <t>Strip intercropping; Straw retention; Two-year plastic film mulching; Carbon emission; Carbon sequestration; Sustainability</t>
  </si>
  <si>
    <t>SOIL-TEMPERATURE; WHEAT; MAIZE; YIELD; TILLAGE; CONSERVATION; MANAGEMENT; ENVIRONMENT; ROTATION; SYSTEM</t>
  </si>
  <si>
    <t>Intercropping is reported to enhance crop production and be a better use of land, thermal radiation and nutrients in many areas around the world. However, intercropping is always yield-advantageous, but consumes more water. Meanwhile, the intercropping advantage is usually attributed to the high inputs of resources, which lead to increased carbon emissions. It is unclear whether developing an improved agricultural production pattern could relieve this situation and enhance farming productivity in water limited arid areas. A field experiment using an improved system was conducted at an arid oasis region in northwestern China in 2014, 2015, and 2016. No-tillage coupled with two-year plastic film mulching and straw retention measures were integrated into intensified strip intercropping, and the effects on the crop yield, water use, and carbon emissions characteristics were determined. A sustainable evaluation index integrating several key parameters related to yield, water use, and carbon emission was created. We found that a wheat/maize intercropping pattern boosted the grain yield by 12.8 and 131.0% compared to the average yield of maize and wheat monoculture, respectively. The intercropping under no-tillage with straw covering and two-year plastic film mulching treatment (i.e., NTSI2) yielded 17009 kg ha(-1), an increase of 14.9%, in the three studied years compared to an intercropping pattern with conventional treatment (i.e., CTI). The wheat-maize intercrops produced 5.9 and 113.7% more energy yield than monoculture maize and wheat, respectively, and NTSI2 had a 6.6% greater energy yield than CTI. NTSI2 improved the water use efficiency based on the grain and energy yields by 15.5 and 7.1%, respectively, over the CTI treatment. The carbon emissions of wheat/maize intercropping pattern were 18.9% lower than maize monoculture, and NTSI2 treatment reduced carbon emissions over CTI by 14.7%. Compared with maize monoculture, the wheat/maize intercrops had a 27.2% lower water use efficiency based on carbon emissions, and the NTSI2 treatment was reduced by 14.4% compared to CTI. However, wheat/maize intercropping had a greater carbon emission efficiency of 39.9% than monoculture maize, and the NTSI2 treatment was increased by 34.7% in the three studied years than that of CTI. The wheat/maize intercropping pattern achieved the highest evaluation index among the three cropping patterns evaluated, and the NTSI2 treatment had the highest sustainable index among the four intercropping treatments assessed. Therefore, wheat/maize intercropping of no-tillage with two-year plastic film mulching and straw covering is the most sustainable and effective cropping production pattern in arid Oasis regions. (C) 2017 Elsevier Ltd. All rights reserved.</t>
  </si>
  <si>
    <t>[Yin, Wen; Chai, Qiang; Guo, Yao; Feng, Fuxue; Zhao, Cai; Yu, Aizhong; Liu, Chang; Fan, Zhilong; Hu, Falong; Chen, Guodong] Gansu Prov Key Lab Aridland Crop Sci, Lanzhou, Gansu, Peoples R China; [Yin, Wen; Chai, Qiang; Guo, Yao; Zhao, Cai; Yu, Aizhong; Liu, Chang; Fan, Zhilong; Hu, Falong] Gansu Agr Univ, Coll Agron, Lanzhou, Gansu, Peoples R China; [Feng, Fuxue] Gansu Agr Univ, Sch Engn, Lanzhou, Gansu, Peoples R China; [Chen, Guodong] Tarim Univ, Coll Plant Sci, Xinjiang, Peoples R China</t>
  </si>
  <si>
    <t>Gansu Agricultural University; Gansu Agricultural University; Tarim University</t>
  </si>
  <si>
    <t>Chai, Q (corresponding author), Gansu Prov Key Lab Aridland Crop Sci, Lanzhou, Gansu, Peoples R China.</t>
  </si>
  <si>
    <t>chaiq@gsau.edu.cn</t>
  </si>
  <si>
    <t>YU, Aizhong/OVY-3453-2025; Chai, Qiang/MVX-0075-2025</t>
  </si>
  <si>
    <t>Special Fund for Agro-scientific Research in the Public Interest [201503125]; National Key Technology RD Program [2012BAD14B10]; National Natural Science Fund [31360323, 31401350]</t>
  </si>
  <si>
    <t>Special Fund for Agro-scientific Research in the Public Interest; National Key Technology RD Program(National Key Technology R&amp;D Program); National Natural Science Fund(National Natural Science Foundation of China (NSFC))</t>
  </si>
  <si>
    <t>This research was supported by the Special Fund for Agro-scientific Research in the Public Interest (201503125), the National Key Technology R&amp;D Program (2012BAD14B10), and the National Natural Science Fund (31360323, 31401350).</t>
  </si>
  <si>
    <t>10.1016/j.jclepro.2017.07.211</t>
  </si>
  <si>
    <t>FJ3CE</t>
  </si>
  <si>
    <t>WOS:000412607100022</t>
  </si>
  <si>
    <t>Ruhlman, E; Alam, SS; Depcik, C</t>
  </si>
  <si>
    <t>Ruhlman, El; Alam, Shah Saud; Depcik, Christopher</t>
  </si>
  <si>
    <t>Estimation of atmospheric carbon dioxide sequestration by soybean crops for an updated pathway emissions model of soybean biodiesel</t>
  </si>
  <si>
    <t>Soybean biodiesel; Greenhouse gas emissions; Life cycle assessment; Carbon dioxide sequestration; Soil carbon sequestration</t>
  </si>
  <si>
    <t>LEAF-AREA INDEX; ELEVATED CO2; LIFE-CYCLE; PHOTOSYNTHESIS; OZONE; ASSIMILATION; RESPIRATION; IMPACTS; GROWTH; ENERGY</t>
  </si>
  <si>
    <t>Soybean is a key crop for biodiesel production, offering a promising pathway to reduce greenhouse gas (GHG) emissions, particularly carbon dioxide (CO2), in the transportation sector. While the assimilation of atmospheric CO2 during the soybean growth cycle contributes to soil carbon sequestration, this CO2 uptake has not been quantified or incorporated into life cycle assessment (LCA) models. To address this gap, growth characteristic data, such as planting, harvest, and yield, from twelve states were retrieved from the National Agricultural Statistics Service database to estimate net CO2 uptake across the full growth cycle. The uptake values, ranging from 12 to 24 kg CO2 per kilogram of soybeans harvested, were integrated into Argonne National Laboratory's Greenhouse Gases, Regulated Emissions, and Energy Use in Transportation (GREET) model as a farming output. Well-to-Pump (WtP) and Well-to-Wheel (WtW) analyses for a 20 % soybean biodiesel blend used in medium- and heavy-duty vehicles were conducted with the updated model. Incorporating CO2 uptake resulted in carbonnegative WtP emissions and significantly reduced WtW emissions, achieving 76 %-78 % reductions relative to baseline CO2 emissions. The GHG reductions primarily stemmed from CO2 sequestration, with minimal changes observed in other GHG emissions. These findings highlight the importance of accounting for local growing conditions and land management practices to refine soil carbon sequestration estimates in future studies.</t>
  </si>
  <si>
    <t>[Ruhlman, El; Alam, Shah Saud; Depcik, Christopher] Univ Kansas, Dept Mech Engn, 3138 Learned Hall, 1530 W 15th St, Lawrence, KS 66045 USA</t>
  </si>
  <si>
    <t>University of Kansas</t>
  </si>
  <si>
    <t>Depcik, C (corresponding author), Univ Kansas, Dept Mech Engn, 3138 Learned Hall, 1530 W 15th St, Lawrence, KS 66045 USA.</t>
  </si>
  <si>
    <t>el-ruhlman@proton.me; dr.shah.saud.alam@gmail.com; depcik@ku.edu</t>
  </si>
  <si>
    <t>10.1016/j.jclepro.2025.147114</t>
  </si>
  <si>
    <t>E7141</t>
  </si>
  <si>
    <t>WOS:001622815000001</t>
  </si>
  <si>
    <t>de Oliveira, CLB; Cassimiro, JB; Silveira, DD; Belisario, MP; Heinrichs, R; Cassim, BMAR; Batista, MA; Moro, E</t>
  </si>
  <si>
    <t>de Oliveira, Clayton Luis Baravelli; Cassimiro, Juliana Bonfim; Silveira, Daniel da Silva; Belisario, Matheus Parra; Heinrichs, Reges; Cassim, Bruno Maia Abdo Rahmen; Batista, Marcelo Augusto; Moro, Edemar</t>
  </si>
  <si>
    <t>Potential of enhanced efficiency nitrogen fertilizers in reducing nitrogen and carbon losses in a sandy soil integrated crop-livestock system</t>
  </si>
  <si>
    <t>Greenhouse effect; Sustainable agriculture; Urea formaldehyde; Urease inhibitor</t>
  </si>
  <si>
    <t>GREENHOUSE-GAS EMISSIONS; AMMONIA VOLATILIZATION; CO2 EFFLUX; RESPIRATION; TEMPERATURE; DEPOSITION; DYNAMICS; UREASE; DECOMPOSITION; AVAILABILITY</t>
  </si>
  <si>
    <t>The demand for food is increasing, which poses significant challenges to humanity's sustainable and sufficient food production. Using fertilizers with new technologies with a low environmental impact is becoming increasingly necessary. In this context, the industry has been creating alternatives to optimize the use of nitrogen (N) fertilizers, with the improvement of urea being crucial for sustainable agricultural production. The objective of this study was to assess the use of fertilizers with integrated technology, specifically urea NBPT + Duromide and formaldehyde urea, aiming to reduce N losses through ammonia (NH3-N) volatilization and, consequently, mitigate carbon dioxide (CO2) emissions in the integrated crop-livestock system (ICLS), thereby addressing the impacts of global warming. Evaluations were conducted over three agricultural years (2020/2021, 2021/2022, and 2022/2023). The pasture used was Urochloa Brizhanta cv. marandu, and soybeans (Glycine max L) were cultivated. The experimental design was a randomized complete block with four replications in a 3 x 4 factorial arrangement. The treatments consisted of three N sources: conventional urea (UrConv) for immediate release, formaldehyde urea (UrFormaldehyde) for slow release, and urea with urease inhibitor and Duromide technology (UrDuromide), combined with four rates (0, 100, 200, and 400 kg ha-1 of N). NH3-N volatilization data were subjected to nonlinear regression using a logistic model. NH3-N volatilization losses varied according to the rate and fertilizer, reaching up to 33% in UrConv. UrDuromide exhibited reduced efficiency over the evaluated years compared to UrConv, reducing losses by 52% in the first year, 46% in the second, and only 5% in the third. UrFormaldehyde showed less variability, ranging between 57% and 45% reduction in NH3-N losses. The effects on TOC and CO2 emissions followed similar trends, with UrConv causing the highest CO2 emissions and more significant TOC accumulation. UrFormaldehyde reduced CO2 by up to 8% compared to UrConv, while UrDuromide reduced it by 6% compared to UrConv in greenhouse gas emissions and consequently lower soil organic carbon accumulation. In conclusion, using technology to enhance efficiency in nitrogen fertilizers showed promising results in reducing greenhouse gas emissions, offering hope for a sustainable future and making it a viable alternative to conventional urea sources.</t>
  </si>
  <si>
    <t>[de Oliveira, Clayton Luis Baravelli; Cassimiro, Juliana Bonfim; Silveira, Daniel da Silva; Belisario, Matheus Parra; Moro, Edemar] Sao Paulo Western Univ, Dept Agron, Raposo Tavares Highway,Km 572, BR-19067175 Presidente Prudente, SP, Brazil; [Heinrichs, Reges] Sao Paulo State Univ Unesp, Dept Crop Sci, Rodovia SP 294,km 651, BR-17900095 Dracena, SP, Brazil; [Cassim, Bruno Maia Abdo Rahmen] Univ Sao Paulo, Luiz Queiroz Coll Agr, Dept Soil Sci, Av Padua Dias 11, BR-13418900 Piracicaba, SP, Brazil; [Batista, Marcelo Augusto] Univ Estadual Maringa, Dept Agron, Colombo Ave,5790,Zone 07, BR-87020900 Maringa, PR, Brazil</t>
  </si>
  <si>
    <t>Universidade Estadual Paulista; Universidade de Sao Paulo; Universidade Estadual de Maringa</t>
  </si>
  <si>
    <t>de Oliveira, CLB (corresponding author), Sao Paulo Western Univ, Dept Agron, Raposo Tavares Highway,Km 572, BR-19067175 Presidente Prudente, SP, Brazil.</t>
  </si>
  <si>
    <t>claytonbaravelli@gmail.com</t>
  </si>
  <si>
    <t>Batista, Marcelo/D-2831-2013; Maia Abdo Rahmen Cassim, Bruno/AGK-0600-2022; Cassim, Bruno/AGK-0600-2022; Oliveira, Clayton/KTI-4177-2024; Heinrichs, Reges/E-6838-2012; Heinrichs, Reges/E-6838-2012; Moro, Edemar/N-7881-2013</t>
  </si>
  <si>
    <t>Baravelli de Oliveira, Clayton Luis/0000-0001-7623-5197; Maia Abdo Rahmen Cassim, Bruno/0000-0003-3346-4007; Bonfim Cassimiro, Juliana/0000-0001-7508-9386; Heinrichs, Reges/0000-0001-9461-9661; Heinrichs, Reges/0000-0001-9461-9661;</t>
  </si>
  <si>
    <t>Brazilian National Council for Scientific and Technological Development (CNPq) [140635/2020-3]; Fundacao de Amparo a Pesquisa do Estado de Sao Paulo (FAPESP) [2022/07574-1]</t>
  </si>
  <si>
    <t>Brazilian National Council for Scientific and Technological Development (CNPq)(Conselho Nacional de Desenvolvimento Cientifico e Tecnologico (CNPQ)); Fundacao de Amparo a Pesquisa do Estado de Sao Paulo (FAPESP)(Fundacao de Amparo a Pesquisa do Estado de Sao Paulo (FAPESP))</t>
  </si>
  <si>
    <t>For the funding, we thank the Brazilian National Council for Scientific and Technological Development (CNPq) , which provided the student scholarship of C. L. B. de Oliveira (grant #140635/2020-3) . B.M.A. R. Cassim thanks Fundacao de Amparo a Pesquisa do Estado de Sao Paulo (FAPESP) for the doctoral fellowship (grant number #2022/07574-1) .</t>
  </si>
  <si>
    <t>10.1016/j.jenvman.2024.122898</t>
  </si>
  <si>
    <t>L9E3Z</t>
  </si>
  <si>
    <t>WOS:001353677200001</t>
  </si>
  <si>
    <t>Ding, CX; Zhou, ZF; Wang, C; Kong, J; Wang, YB; Xie, RK</t>
  </si>
  <si>
    <t>Ding, Caixia; Zhou, Zhongfa; Wang, Cui; Kong, Jie; Wang, Yanbi; Xie, Rukai</t>
  </si>
  <si>
    <t>Multi-scenario simulation of LULC and carbon dynamics in karst regions using the PLUS model</t>
  </si>
  <si>
    <t>LULC change; carbon source and sink; multi-scenario simulation; pingzhai reservoir basin; karst mountainous area</t>
  </si>
  <si>
    <t>LAND; STORAGE</t>
  </si>
  <si>
    <t>Land cover change is an important cause of carbon source/sink changes in terrestrial ecosystems. Studying the relationship between land use transition and carbon sources/sinks is of great significance for optimizing regional land use planning, achieving sustainable development, and the double carbon goals. Land cover change significantly impacts carbon sources and sinks in terrestrial ecosystems, making the study of land use transition crucial for optimizing regional planning and achieving sustainable development and carbon neutrality goals. This research analyzes carbon effects of land use changes in Pingzhai Reservoir watershed (2010-2020) using carbon effect coefficient method, and employs PLUS model to simulate 2030 scenarios (natural development, cropland protection, economic priority). Results show net carbon emissions increased 64.92% (from 121,558.73 to 200,477.90 tons), with built-up land becoming the main carbon source (167% growth) while forests contributed over 90% of carbon sequestration. All scenarios predict rising emissions by 2030, suggesting the need to control production land expansion, accelerate agricultural innovation, and promote low-carbon development. The study applies PLUS model to karst mountain areas, quantifying land use-carbon emission relationships through scenario simulations to support ecological conservation and low-carbon strategies in fragile regions.</t>
  </si>
  <si>
    <t>[Ding, Caixia; Zhou, Zhongfa; Wang, Cui; Kong, Jie; Wang, Yanbi; Xie, Rukai] Guizhou Normal Univ, Sch Karst Sci, Guiyang, Peoples R China; [Ding, Caixia; Zhou, Zhongfa; Kong, Jie; Wang, Yanbi; Xie, Rukai] Guizhou Normal Univ, State Key Lab Incubat Base Karst Mt Ecol Environm, Guiyang, Peoples R China; [Zhou, Zhongfa; Wang, Cui] Guizhou Normal Univ, Sch Geog &amp; Environm Sci, Guiyang, Peoples R China</t>
  </si>
  <si>
    <t>Guizhou Normal University; Guizhou Normal University; Guizhou Normal University</t>
  </si>
  <si>
    <t>Zhou, ZF (corresponding author), Guizhou Normal Univ, Sch Karst Sci, Guiyang, Peoples R China.;Zhou, ZF (corresponding author), Guizhou Normal Univ, State Key Lab Incubat Base Karst Mt Ecol Environm, Guiyang, Peoples R China.;Zhou, ZF (corresponding author), Guizhou Normal Univ, Sch Geog &amp; Environm Sci, Guiyang, Peoples R China.</t>
  </si>
  <si>
    <t>fa6897@gznu.edu.cn</t>
  </si>
  <si>
    <t>National Natural Science Foundation of China [42161048]; Guizhou Provincial Science and Technology Plan Project - Research on the Carbon Cycle Mechanism of Karst Cave Systems (Qiankehe Jichu [2020]) [1Y154]; Academic New Seedling Fund Project of Guizhou Normal University [23]</t>
  </si>
  <si>
    <t>National Natural Science Foundation of China(National Natural Science Foundation of China (NSFC)); Guizhou Provincial Science and Technology Plan Project - Research on the Carbon Cycle Mechanism of Karst Cave Systems (Qiankehe Jichu [2020]); Academic New Seedling Fund Project of Guizhou Normal University</t>
  </si>
  <si>
    <t>The author(s) declare that financial support was received for the research and/or publication of this article. This study was supported financially by National Natural Science Foundation of China (42161048); Guizhou Provincial Science and Technology Plan Project - Research on the Carbon Cycle Mechanism of Karst Cave Systems (Qiankehe Jichu [2020] 1Y154); Academic New Seedling Fund Project of Guizhou Normal University (Qianshi Xinmiao [2022] No. 23).</t>
  </si>
  <si>
    <t>JUL 29</t>
  </si>
  <si>
    <t>10.3389/fenvs.2025.1640766</t>
  </si>
  <si>
    <t>5YJ6Y</t>
  </si>
  <si>
    <t>WOS:001547288500001</t>
  </si>
  <si>
    <t>Magagula, LP; Masemola, CM; Motaung, TE; Moloto, N; Linganiso-Dziike, EC</t>
  </si>
  <si>
    <t>Magagula, Lindokuhle P.; Masemola, Clinton M.; Motaung, Tshwafo E.; Moloto, Nosipho; Linganiso-Dziike, Ella C.</t>
  </si>
  <si>
    <t>Synthesis of Cellulose-Based Fluorescent Carbon Dots for the Detection of Fe(III) in Aqueous Solutions</t>
  </si>
  <si>
    <t>cellulose; carbon quantum dots; chemosensor; Fe3+; fluorescence quenching</t>
  </si>
  <si>
    <t>METAL-ORGANIC FRAMEWORKS; GRAPHENE QUANTUM DOTS; SELECTIVE DETECTION; SENSITIVE DETECTION; FE3+ IONS; CHEMOSENSOR; NITROGEN; PROBE; WASTE</t>
  </si>
  <si>
    <t>The need for eco-friendly, cost-effective, and scalable methods to synthesize carbon quantum dots (CQDs) remains a critical goal in nanotechnology. In this work, nitrogen-doped carbon quantum dots (N-CQDs) were successfully synthesized using cellulose nanocrystals (CNCs) derived from microcrystalline cellulose (MCC) and urea through a rapid one-step microwave-assisted method. The use of renewable cellulose as a precursor aligns with sustainable practices, offering a pathway to transform agricultural waste into valuable nanomaterials. Characterized by TEM, XRD, Raman, XPS, and PL spectroscopy, the N-CQDs demonstrated outstanding optical properties, including strong excitation-dependent fluorescence with an emission maximum at 420 nm. The N-CQDs exhibited exceptional selectivity and sensitivity toward Fe3+, achieving a detection limit of 75 nM. Additionally, the pH-dependent fluorescence and stability in diverse conditions highlight the N-CQDs' versatility in environmental monitoring. This study establishes a foundation for using agricultural waste to produce high-performance nanostructures for sensing applications, advancing green nanotechnology and environmental solutions.</t>
  </si>
  <si>
    <t>[Magagula, Lindokuhle P.; Masemola, Clinton M.; Moloto, Nosipho; Linganiso-Dziike, Ella C.] Univ Witwatersrand, Mol Sci Inst, Sch Chem, Private Bag 3, ZA-2050 Johannesburg, South Africa; [Motaung, Tshwafo E.; Linganiso-Dziike, Ella C.] Sefako Makgatho Hlth Sci Univ, Dept Chem, POB 94,Medunsa, ZA-0204 Pretoria, South Africa</t>
  </si>
  <si>
    <t>University of Witwatersrand; Sefako Makgatho Health Sciences University</t>
  </si>
  <si>
    <t>Linganiso-Dziike, EC (corresponding author), Univ Witwatersrand, Mol Sci Inst, Sch Chem, Private Bag 3, ZA-2050 Johannesburg, South Africa.;Linganiso-Dziike, EC (corresponding author), Sefako Makgatho Hlth Sci Univ, Dept Chem, POB 94,Medunsa, ZA-0204 Pretoria, South Africa.</t>
  </si>
  <si>
    <t>cebisa.linganiso@wits.ac.za</t>
  </si>
  <si>
    <t>masemola, clinton/0000-0003-1129-0958; Linganiso, Ella/0000-0002-7158-0941</t>
  </si>
  <si>
    <t>National Research Foundation of South Africa Africa; University of the Witwatersrand; WITS Chancellor's Female Academic Leaders Fellowship; [129532]</t>
  </si>
  <si>
    <t>National Research Foundation of South Africa Africa; University of the Witwatersrand; WITS Chancellor's Female Academic Leaders Fellowship;</t>
  </si>
  <si>
    <t>This research was funded the National Research Foundation of South Africa Africa (Thuthuka grant number 129532) and the University of the Witwatersrand. This work is based on the research supported in part by the WITS Chancellor's Female Academic Leaders Fellowship.</t>
  </si>
  <si>
    <t>10.3390/pr13010257</t>
  </si>
  <si>
    <t>T5X9R</t>
  </si>
  <si>
    <t>WOS:001405740800001</t>
  </si>
  <si>
    <t>Zhong, SH; Chen, J</t>
  </si>
  <si>
    <t>Zhong, Shihu; Chen, Jie</t>
  </si>
  <si>
    <t>How Environmental Beliefs Affect Consumer Willingness to Pay for the Greenness Premium of Low-Carbon Agricultural Products in China: Theoretical Model and Survey-Based Evidence</t>
  </si>
  <si>
    <t>low-carbon products; environmental beliefs; willingness to pay; premium level</t>
  </si>
  <si>
    <t>BEHAVIOR; ATTITUDES; FOOD; SUSTAINABILITY; ADDRESS; ENERGY; MARKET</t>
  </si>
  <si>
    <t>The increase in the supply of low-carbon agricultural products is crucial to reduce carbon emissions, but the production of such products incurs additional input costs and thus the crux of the low-carbon agricultural products market development lies in how such cost can be shared in a reasonable manner. The increase of consumer willingness to pay and the premium level that consumers would pay for green products hold the key to address this challenge. For that reason, this paper first constructs a behavioral game model to explore how environmental beliefs would affect consumer willingness to pay for the greenness premium. Then, the paper proceeds with empirical analyses on factors influencing consumer willingness to pay for the greenness premium by using micro-survey data of Chinese consumers when facing the choices of low-carbon rice in the cities of central China. The empirical research suggests that, although the average greenness premium that Chinese consumers are willing to pay for low-carbon agricultural products is low, the greenness premium will be stronger when consumers have higher environmental beliefs. We also find the impacts of environmental beliefs on the willingness to pay as well as the greenness premium levels that consumers are willing to pay for low-carbon agricultural products increase with education attainment and family income, but do not change with age. Findings in this study carry several important policy implications. To encourage green consumption that facilitates green production, the government should devote attempts to promote consumers' environmental beliefs and also apply differentiated public policy that targeting at different types of consumers.</t>
  </si>
  <si>
    <t>[Zhong, Shihu] Shanghai Univ Finance &amp; Econ, Sch Publ Econ &amp; Adm, Shanghai 200433, Peoples R China; [Chen, Jie] SJTU, CIUG, Shanghai 200000, Peoples R China; [Chen, Jie] SJTU, SIPA, Shanghai 200000, Peoples R China</t>
  </si>
  <si>
    <t>Shanghai University of Finance &amp; Economics; Shanghai Jiao Tong University; Shanghai Jiao Tong University</t>
  </si>
  <si>
    <t>Chen, J (corresponding author), SJTU, CIUG, Shanghai 200000, Peoples R China.;Chen, J (corresponding author), SJTU, SIPA, Shanghai 200000, Peoples R China.</t>
  </si>
  <si>
    <t>zhongshihu@163.sufe.edu.cn; chenjie100@sjtu.edu.cn</t>
  </si>
  <si>
    <t>Chen, Jie/D-5868-2018; Zhong, Shihu/HLQ-4961-2023</t>
  </si>
  <si>
    <t>Chen, Jie/0000-0002-9254-4413;</t>
  </si>
  <si>
    <t>NSFC-ESRC [NSF71661137004]; National Natural Science Foundation of China [NSF71573166]; Fundamental Research Funds for the Central Universities [CXJJ-2018-361]</t>
  </si>
  <si>
    <t>NSFC-ESRC; National Natural Science Foundation of China(National Natural Science Foundation of China (NSFC)); Fundamental Research Funds for the Central Universities(Fundamental Research Funds for the Central Universities)</t>
  </si>
  <si>
    <t>This research is supported by the NSFC-ESRC Joint Funding (NSF71661137004), the National Natural Science Foundation of China (NSF71573166) and the Fundamental Research Funds for the Central Universities (CXJJ-2018-361).</t>
  </si>
  <si>
    <t>10.3390/su11030592</t>
  </si>
  <si>
    <t>HL7NY</t>
  </si>
  <si>
    <t>WOS:000458929500037</t>
  </si>
  <si>
    <t>Kang, YH; He, S; Ni, TF; Wang, JC; Liu, L</t>
  </si>
  <si>
    <t>Kang, Yinhong; He, Shuai; Ni, Tiefeng; Wang, Jiachi; Liu, Li</t>
  </si>
  <si>
    <t>Analysis of water-energy-carbon coupling and influencing factors in food production</t>
  </si>
  <si>
    <t>JOURNAL OF WATER AND CLIMATE CHANGE</t>
  </si>
  <si>
    <t>coupling degree; coupling coordination degree; path analysis; water-energy-carbon</t>
  </si>
  <si>
    <t>RESOURCE; EMISSION; NEXUS; CHINA</t>
  </si>
  <si>
    <t>Water, energy, and carbon are important factors that determine crop production efficiency. This paper applies the footprint theory to calculate the water, energy, and carbon footprint of food crops in Sichuan Province from 2011 to 2020, evaluates water-energy-carbon interactions and closeness, and employs path analysis to analyse factors influencing the coupling degree and the coupling coordination degree. The results indicate that (1) the annual average green water footprint (WF) exceeds the combined contribution of blue and grey WFs, accounting for 54.69% of the total. Energy inputs and carbon emissions (CEs) increased by 15.3 and 0.23%, respectively. (2) Food production from 2011 to 2020 is at a relatively high coupling stage, as indicated by the average coupling degree of 0.88; however, the average coupling coordination degree is only 0.37, explaining a mild incoordination. (3) The rural Engel's coefficient and average temperature are the largest contributing and inhibiting factors affecting the coupling degree; the agricultural economic level and agricultural planting structure are the largest contributing and inhibiting factors affecting the coupling coordination degree. This study can provide reference for reducing water and energy consumption and CEs as a response to resource scarcity and climate change.</t>
  </si>
  <si>
    <t>[Kang, Yinhong; He, Shuai; Ni, Tiefeng; Wang, Jiachi; Liu, Li] Sichuan Agr Univ, Coll Water Conservancy &amp; Hydropower Engn, Yaan 625000, Peoples R China</t>
  </si>
  <si>
    <t>Sichuan Agricultural University</t>
  </si>
  <si>
    <t>Kang, YH (corresponding author), Sichuan Agr Univ, Coll Water Conservancy &amp; Hydropower Engn, Yaan 625000, Peoples R China.</t>
  </si>
  <si>
    <t>kangyinhong@sicau.edu.cn</t>
  </si>
  <si>
    <t>IWA PUBLISHING</t>
  </si>
  <si>
    <t>REPUBLIC-EXPORT BLDG, UNITS 1 04 &amp; 1 05, 1 CLOVE CRESCENT, LONDON, ENGLAND</t>
  </si>
  <si>
    <t>2040-2244</t>
  </si>
  <si>
    <t>2408-9354</t>
  </si>
  <si>
    <t>J WATER CLIM CHANGE</t>
  </si>
  <si>
    <t>J. Water Clim. Chang.</t>
  </si>
  <si>
    <t>10.2166/wcc.2024.516</t>
  </si>
  <si>
    <t>Water Resources</t>
  </si>
  <si>
    <t>Q7C5E</t>
  </si>
  <si>
    <t>WOS:001376665100001</t>
  </si>
  <si>
    <t>Zhang, J; Li, PK; Li, L; Zhao, MN; Yan, PS; Liu, Y; Li, W; Ding, SY; Zhao, QH</t>
  </si>
  <si>
    <t>Zhang, Jian; Li, Peikun; Li, Lin; Zhao, Mina; Yan, Peisen; Liu, Yuan; Li, Wei; Ding, Shengyan; Zhao, Qinghe</t>
  </si>
  <si>
    <t>Soil respiration and carbon sequestration response to short-term fertilization in wheat-maize cropping system in the North China Plain</t>
  </si>
  <si>
    <t>Fertilization; Soil respiration; Carbon emission efficiency; Agricultural ecosystem</t>
  </si>
  <si>
    <t>NITROGEN ADDITION; TEMPERATURE SENSITIVITY; ORGANIC-CARBON; HETEROTROPHIC RESPIRATION; MINERAL FERTILIZER; PHOSPHORUS FERTILIZATION; AUTOTROPHIC RESPIRATION; TERRESTRIAL ECOSYSTEMS; N FERTILIZATION; ATMOSPHERIC CO2</t>
  </si>
  <si>
    <t>Fertilization significantly influences the soil physicochemical properties and crop growth in agricultural ecosystems, yet our understanding of its impact on soil respiration remains limited. To bridge this knowledge gap, we conducted a comprehensive study in the winter wheat-summer maize rotation system of the North China Plain. We examined the driving factors and processes governing soil respiration, and its temperature sensitivity (Q10), in response to various fertilization treatments, including an unfertilized control (CK), organic fertilizer (OM), organic fertilizer in combination with mineral fertilizer (OMNPK), and mineral fertilizer (NPK). Our findings revealed significant changes in Q10 values under different treatments. In maize, Q10 values increased by 4.4 % in OM, 19.9 % in OMNPK, and 15.5 % in NPK treatments. Conversely, in wheat, Q10 values decreased by 9.9 %, 9.6 %, and 7.7 % under OM, OMNPK, and NPK treatments, respectively. Fertilization led to a substantial increase in mean soil respiration of both maize (6.6 %-12.7 %) and wheat (10.1 %-21.3 %). Moreover, fertilization significantly enhanced crop yield, stem biomass, and root biomass. In maize, soil respiration exhibited a linear increase with rising soil pH value, ammonium nitrogen and available potassium content, and crop biomass. Similarly, wheat soil respiration showed a linear trend with increasing soil pH value, total phosphorus, and soil organic carbon content. Structural equation modeling highlighted key factors contributing to variations in soil respiration. For maize, available potassium content, soil temperature, soil water content, and crop height explained 89 % of the variation. In wheat, pH value, total phosphorus, and total potassium content, soil temperature, soil water content, crop height, and crop biomass collectively accounted for 93 % of the variation of soil respiration. Fertilizer application significantly enhanced crop yield and carbon emission efficiency, specifically in wheat. Fertilized plots exhibited carbon emission efficiency 0.78-2.06 times higher than unfertilized plots in wheat. Among all treatments, OMNPK treatment maintained high yield, carbon emission efficiency, and net carbon sequestration in wheat. In summary, during winter wheat cultivation in the North China Plain, the practice of organic fertilizer combined with mineral fertilizer emerges as a superior strategy. This approach not only sustains crop yields but also augments carbon sequestration in crops, demonstrating its significant potential for agricultural carbon management.</t>
  </si>
  <si>
    <t>[Zhang, Jian; Li, Peikun; Li, Lin; Zhao, Mina; Yan, Peisen; Liu, Yuan; Li, Wei; Ding, Shengyan; Zhao, Qinghe] Henan Univ, Key Lab Geospatial Technol Middle &amp; Lower Yellow R, Minist Educ, Kaifeng 475004, Peoples R China; [Zhang, Jian; Li, Peikun; Li, Lin; Zhao, Mina; Yan, Peisen; Liu, Yuan; Li, Wei; Ding, Shengyan; Zhao, Qinghe] Henan Univ, Coll Geog &amp; Environm Sci, Kaifeng 475004, Henan, Peoples R China</t>
  </si>
  <si>
    <t>Henan University; Henan University</t>
  </si>
  <si>
    <t>Li, PK; Ding, SY; Zhao, QH (corresponding author), Henan Univ, Key Lab Geospatial Technol Middle &amp; Lower Yellow R, Minist Educ, Kaifeng 475004, Peoples R China.</t>
  </si>
  <si>
    <t>zj_0305@henu.edu.cn; pkli@henu.edu.cn; LL1231@henu.edu.cn; MinaZhao@henu.edu.cn; ypsen@henu.edu.cn; Liu0197@henu.edu.cn; Lw104753@henu.edu.cn; syding@henu.edu.cn; zhaoqinghe@henu.edu.cn</t>
  </si>
  <si>
    <t>; Zhao, Qinghe/GPX-6525-2022</t>
  </si>
  <si>
    <t>Yan, Peisen/0009-0004-7002-3934;</t>
  </si>
  <si>
    <t>National Natural Science Foun-dation of China [42171091]</t>
  </si>
  <si>
    <t>National Natural Science Foun-dation of China(National Natural Science Foundation of China (NSFC))</t>
  </si>
  <si>
    <t>The research was supported by the National Natural Science Foun-dation of China (42171091) . We would like to thank Dr. Savannah Grace at the University of Florida for her assistance with English language and grammatical editing of the manuscript.</t>
  </si>
  <si>
    <t>10.1016/j.still.2025.106536</t>
  </si>
  <si>
    <t>0HA9C</t>
  </si>
  <si>
    <t>WOS:001447185200001</t>
  </si>
  <si>
    <t>Xiao, C; Zhang, FC; Li, Y; Fan, JL; Ji, QY; Jiang, FC; He, ZJ</t>
  </si>
  <si>
    <t>Xiao, Chao; Zhang, Fucang; Li, Yi; Fan, Junliang; Ji, Qingyuan; Jiang, Fuchang; He, Zijian</t>
  </si>
  <si>
    <t>Optimizing drip irrigation and nitrogen fertilization regimes to reduce greenhouse gas emissions, increase net ecosystem carbon budget and reduce carbon footprint in saline cotton fields</t>
  </si>
  <si>
    <t>Cotton production; Net ecosystem carbon budget; Carbon footprint; Soil inorganic carbon; Environmental cost</t>
  </si>
  <si>
    <t>SOIL ORGANIC-CARBON; CLIMATE-CHANGE; CO2 EMISSIONS; N2O EMISSIONS; WATER; CHINA; MANAGEMENT; STOCKS; MATTER; YIELD</t>
  </si>
  <si>
    <t>The arid and semi-arid regions of northwest China play a crucial role in ensuring the national cotton production. Soil water potential (SWP)-based deficit irrigation is potentially an effective irrigation strategy in maintaining agricultural productivity in these regions. However, the impact of various SWP thresholds and nitrogen application rates on carbon balance and environmentally friendly economic benefits in cotton systems remains unclear. A two-year field experiment was conducted to investigate the effects of three SWP thresholds (W1, W2 and W3: -30, -20 and -10 kPa) and three nitrogen rates (F1, F2 and F3: 200, 300 and 400 kg ha- 1) on greenhouse gas (GHG) emissions, seed cotton yield, carbon storage, and economic benefits in drip-fertigated saline cotton fields. The results showed that increasing nitrogen rate significantly increased N2O emission, while higher irrigation level reduced the soil's capacity to absorb CH4. Moreover, increasing irrigation level and nitrogen rate led to higher soil CO2 emission. The W3F3 obtained the highest seed cotton yield, ranging from 6529.6 to 6804.6 kg ha- 1. Nitrogen application increased soil organic carbon storage by 5.6-12.5 %, whereas excessive nitrogen fertilization resulted in significant losses in soil inorganic carbon, ranging from 20.7 % to 34.9 %. The W2F2 enhanced net ecosystem carbon budget accumulation by increasing the input efficiency of carbon and reducing GHG emissions, and excessive GHG emissions limited the net ecosystem carbon budget of highfertilization treatments. Meanwhile, the increased fertilizer and environmental costs reduced net ecosystem economic benefit. Fertilizer was identified as the major contributor to the ecosystem carbon footprint, accounting for more than 22.9 %. In conclusion, the W2F2 not only obtained the optimal soil carbon sequestration and carbon balance in the system, but also generated economic profits comparable to those of the high-fertilization treatments while producing lower direct GHG emissions. These findings highlight the significance of rational drip irrigation and nitrogen fertilization in maintaining high productivity and carbon sustainability in saline cotton fields.</t>
  </si>
  <si>
    <t>[Xiao, Chao; Zhang, Fucang; Li, Yi; Fan, Junliang; Ji, Qingyuan; Jiang, Fuchang; He, Zijian] Minist Educ, Key Lab Agr Soil &amp; Water Engn Arid &amp; Semiarid Area, Yangling 712100, Peoples R China; [Xiao, Chao; Zhang, Fucang; Li, Yi; Fan, Junliang; Ji, Qingyuan; Jiang, Fuchang; He, Zijian] Northwest Agr &amp; Forestry Univ, Yangling 712100, Peoples R China; [Xiao, Chao] Univ Helsinki, Dept Agr Sci, POB 27, Helsinki 00014, Finland</t>
  </si>
  <si>
    <t>Northwest A&amp;F University - China; University of Helsinki</t>
  </si>
  <si>
    <t>Zhang, FC; Li, Y; Fan, JL (corresponding author), Minist Educ, Key Lab Agr Soil &amp; Water Engn Arid &amp; Semiarid Area, Yangling 712100, Peoples R China.;Zhang, FC; Li, Y; Fan, JL (corresponding author), Northwest Agr &amp; Forestry Univ, Yangling 712100, Peoples R China.</t>
  </si>
  <si>
    <t>Zhangfc@nwsuaf.edu.cn; liyi@nwafu.edu.cn; nwwfjl@163.com</t>
  </si>
  <si>
    <t>Fan, Junliang/E-2534-2017; He, Zijian/MXK-7882-2025; Zhang, Fucang/E-3066-2018</t>
  </si>
  <si>
    <t>张, 富仓/0000-0002-6659-3262;</t>
  </si>
  <si>
    <t>National Key Research and Development Program of China [2022YFD1900401]; National Natural Science Foundation of China [52079114, 51979231]</t>
  </si>
  <si>
    <t>This research was jointly supported by the National Key Research and Development Program of China (2022YFD1900401) , the National Natural Science Foundation of China (No. 52079114, 51979231) , and</t>
  </si>
  <si>
    <t>10.1016/j.agee.2024.108912</t>
  </si>
  <si>
    <t>NA8R7</t>
  </si>
  <si>
    <t>WOS:001197814200001</t>
  </si>
  <si>
    <t>Muhammad, A; Rather, SU; Umar, M; Bamufleh, H; Ali, AM; Youssef, TE</t>
  </si>
  <si>
    <t>Muhammad, Ayyaz; Rather, Sami Ullah; Umar, Muhammad; Bamufleh, Hisham; Ali, Arshid Mahmood; Youssef, Tamer Ezzat</t>
  </si>
  <si>
    <t>Carbon Dioxide (CO2) Capture in Alkanolamines Impregnated Activated Carbon Developed from Date Stones</t>
  </si>
  <si>
    <t>SCIENCE OF ADVANCED MATERIALS</t>
  </si>
  <si>
    <t>Carbon Dioxide; Activated Carbon; Amines; Adsorption; Desorption; Green System</t>
  </si>
  <si>
    <t>ADSORPTION</t>
  </si>
  <si>
    <t>The concern to reduce global carbon emissions has significantly improved the development of efficient solid sorbents such as activated carbon (AC). In this study, AC is developed from date stones which is one of the abundantly found agricultural waste material in gulf region. The AC was completely characterized in terms of pore volume, surface area, stability test, volatile carbon and fixed carbon contents. Impregnation of AC was performed by three different alkanolamines, namely Diethylene triamine (DETA), Pentaethylene hexamine (PEHA) and Di-ethanol amine (DEA). The alkanolamine impregnated sorbents were utilized for CO2 adsorption at temperatures of 25, 30, 40, 50, 60, 70 and 100 degrees C and carbon dioxide (CO2) concentrations of 10, 30, 50, 70 and 92% in helium. The adsorption phenomenon was evaluated by Langmuir isotherms for all the studied adsorbents. The AC developed from date stones provided high adsorption loading capacity of CO2 i.e., 89.79 mg/g of AC at 25 degrees C. Thermodynamic parameters showed that the adsorption was endothermic and spontaneous in nature. Moreover, desorption profiles reveal that DETA-AC samples provided most favorable characteristics with respect to the value of desorption constant.</t>
  </si>
  <si>
    <t>[Muhammad, Ayyaz; Rather, Sami Ullah; Umar, Muhammad; Bamufleh, Hisham; Ali, Arshid Mahmood; Youssef, Tamer Ezzat] King Abdulaziz Univ, Dept Chem &amp; Mat Engn, Fac Engn, Jeddah 21589, Saudi Arabia; [Muhammad, Ayyaz] Univ Punjab, Inst Chem Engn &amp; Technol, Lahore 54590, Pakistan</t>
  </si>
  <si>
    <t>King Abdulaziz University; University of Punjab</t>
  </si>
  <si>
    <t>Muhammad, A (corresponding author), King Abdulaziz Univ, Dept Chem &amp; Mat Engn, Fac Engn, Jeddah 21589, Saudi Arabia.;Muhammad, A (corresponding author), Univ Punjab, Inst Chem Engn &amp; Technol, Lahore 54590, Pakistan.</t>
  </si>
  <si>
    <t>anawaz@kau.edu.sa; rathersami@kau.edu.sa</t>
  </si>
  <si>
    <t>Ali, Arshid/L-9645-2014; Umar, Muhammad/AAV-5884-2020; Rather, Sami-ullah/J-9766-2013</t>
  </si>
  <si>
    <t>Ali, Arshid/0000-0002-1017-6347;</t>
  </si>
  <si>
    <t>Deanship of Scientific Research (DSR), King Abdulaziz University, Jeddah, Saudi Arabia [492-135-1434]; DSR</t>
  </si>
  <si>
    <t>Deanship of Scientific Research (DSR), King Abdulaziz University, Jeddah, Saudi Arabia(King Abdulaziz University); DSR</t>
  </si>
  <si>
    <t>This work was funded by the Deanship of Scientific Research (DSR), King Abdulaziz University, Jeddah, Saudi Arabia under grant No. 492-135-1434. The authors, therefore, acknowledge with thanks DSR technical and financial support.</t>
  </si>
  <si>
    <t>AMER SCIENTIFIC PUBLISHERS</t>
  </si>
  <si>
    <t>VALENCIA</t>
  </si>
  <si>
    <t>26650 THE OLD RD, STE 208, VALENCIA, CA 91381-0751 USA</t>
  </si>
  <si>
    <t>1947-2935</t>
  </si>
  <si>
    <t>1947-2943</t>
  </si>
  <si>
    <t>SCI ADV MATER</t>
  </si>
  <si>
    <t>Sci. Adv. Mater.</t>
  </si>
  <si>
    <t>10.1166/sam.2021.3835</t>
  </si>
  <si>
    <t>Nanoscience &amp; Nanotechnology; Materials Science, Multidisciplinary; Physics, Applied</t>
  </si>
  <si>
    <t>Science &amp; Technology - Other Topics; Materials Science; Physics</t>
  </si>
  <si>
    <t>RC5NQ</t>
  </si>
  <si>
    <t>WOS:000632848200012</t>
  </si>
  <si>
    <t>Belton, B; Win, MT; Zhang, XB; Filipski, M</t>
  </si>
  <si>
    <t>Belton, Ben; Win, Myat Thida; Zhang, Xiaobo; Filipski, Mateusz</t>
  </si>
  <si>
    <t>The rapid rise of agricultural mechanization in Myanmar</t>
  </si>
  <si>
    <t>Agricultural mechanization; Outsourcing services; Smallholder; Asia; Myanmar</t>
  </si>
  <si>
    <t>MACHINERY SERVICES; SMALL FARMS; SCALE; SMALLHOLDERS; ADOPTION; RETURNS; IMPACTS; SYSTEMS; AFRICA</t>
  </si>
  <si>
    <t>The past decade has seen a resurgence of interest in the role of mechanization in agricultural development. This literature has given rise to debates over the design of institutions and policies to facilitate accelerated mechanization, the role of outsourcing services in overcoming problems of access to machinery, and questions regarding the future of smallholder agriculture. We contribute to these debates using two pairs of complementary demand side (farm household) and supply side (agricultural machinery retailer) surveys, implemented in Myanmar in 2016 and 2017 across two major agro-ecological zones. Our analysis provides evidence that extremely rapid agricultural mechanization took place during the period of political and economic reforms from 2011 to 2020. In both zones surveyed, use of machinery for land preparation, harvesting, and threshing was close to scale-neutral due to a dynamic outsourcing services market. Rather than representing a single transformational change, mechanization's broad appeal to farm households results from an accumulation of incremental, overlapping, complementary advantages. These include labor savings, reduced drudgery, convenience, increased speed and timeliness of operations, improved ability to manage weather-related risks, and reduced loss of grain during harvesting. We provide examples of policies on trade, finance, and land tenure that contributed to this transformation with practical implications for ongoing policy debates on mechanization in other countries, and suggest some generalizable lessons.</t>
  </si>
  <si>
    <t>[Belton, Ben; Win, Myat Thida] Michigan State Univ, Dept Agr Food &amp; Resource Econ, E Lansing, MI 48824 USA; [Belton, Ben] WorldFish, Jalan Batu Maung, Bayan Lepas 11960, Pulau Pinang, Malaysia; [Zhang, Xiaobo; Filipski, Mateusz] Int Food Policy Res Inst, 1201 Eye St NW, Washington, DC 20005 USA; [Zhang, Xiaobo] Peking Univ, Natl Sch Dev, Beijing, Peoples R China; [Filipski, Mateusz] Univ Georgia, Dept Agr &amp; Resource Econ, Athens, GA 30602 USA</t>
  </si>
  <si>
    <t>Michigan State University; CGIAR; Worldfish; CGIAR; International Food Policy Research Institute (IFPRI); Peking University; University System of Georgia; University of Georgia</t>
  </si>
  <si>
    <t>Belton, B (corresponding author), Michigan State Univ, Dept Agr Food &amp; Resource Econ, E Lansing, MI 48824 USA.</t>
  </si>
  <si>
    <t>beltonbe@msu.edu</t>
  </si>
  <si>
    <t>Filipski, Mateusz/0000-0002-8997-0980; Win, Myat Thida/0000-0003-3386-1029</t>
  </si>
  <si>
    <t>Livelihoods and Food Security Trust Fund (LIFT) [R1.4/029/2014]; United States Agency for International Development (USAID) [AID-482-LA-14-00003]; Myanmar Agricultural Policy Support Activity (MAPSA) [069033]</t>
  </si>
  <si>
    <t>Livelihoods and Food Security Trust Fund (LIFT); United States Agency for International Development (USAID)(United States Agency for International Development (USAID)CGIARNorwegian Agency for Development Cooperation - NORAD); Myanmar Agricultural Policy Support Activity (MAPSA)</t>
  </si>
  <si>
    <t>This research was made possible by financial assistance from the Livelihoods and Food Security Trust Fund (LIFT) Grant Support Agreement Number: R1.4/029/2014 for the project ''Agrifood Value Chain Development in Myanmar: Implications for Livelihoods of the Rural Poor, and the support of the United States Agency for International Development (USAID) funded ''Food Security Policy Project (Associate Award No. AID-482-LA-14-00003). Writing the paper was undertaken as part of the Myanmar Agricultural Policy Support Activity (MAPSA, grant number MTO No. 069033). This work is a contribution to the CGIAR Research Program on Policies, Institutions, and Markets. The contents are the responsibility of study authors and do not reflect the views of USAID, the United States Government, or the LIFT donors. We thank research staff of the Center for Economic and Social Development, Ellen Payongayon (MSU) and Peixun Fang (IFPRI) for support with survey implementation, Kedir Jamal Mekamu (IFPRI) for preparing the maps, and Eric Abaidoo (MSU) for analytical support. We also thank the anonymous reviewers and the editor for their constructive comments. We are grateful to Curtis Slover for his constant encouragement, interest, and support for this work.</t>
  </si>
  <si>
    <t>10.1016/j.foodpol.2021.102095</t>
  </si>
  <si>
    <t>MAY 2021</t>
  </si>
  <si>
    <t>TE9IP</t>
  </si>
  <si>
    <t>WOS:000670320200004</t>
  </si>
  <si>
    <t>Ti, JS; Zheng, Y; Duan, WD; Zhao, HB; Qin, YQ; Yin, GT; Xie, LW; Dong, WS; Lu, XC; Song, ZP</t>
  </si>
  <si>
    <t>Ti, Jinsong; Zheng, Yu; Duan, Weidong; Zhao, Haobin; Qin, Yanqing; Yin, Guangting; Xie, Liangwen; Dong, Wenshuai; Lu, Xiaochong; Song, Zhaopeng</t>
  </si>
  <si>
    <t>Carbon footprint of tobacco production in China through Life-cycle-assessment: Regional compositions, spatiotemporal changes and driving factors</t>
  </si>
  <si>
    <t>Flue-cured tobacco production; Carbon emission; Carbon footprint; Life cycle assessment; Low-carbon agriculture</t>
  </si>
  <si>
    <t>ENVIRONMENTAL IMPACTS; RICE PRODUCTION; EMISSION; PROVINCE; DECOMPOSITION; MANAGEMENT; DYNAMICS; OVERUSE</t>
  </si>
  <si>
    <t>The global contribution of cigarette production to greenhouse gas emissions is substantial, with tobacco agricultural production being a major source. Based on statistical data, this research employs a Life-Cycle Assessment (LCA) method to comprehensively evaluate China's flue-cured tobacco production carbon footprint (CF) from 2004 to 2020, detailing its components, spatiotemporal dynamics, and driving factors. The study reveals that the average CF per hectare for China's tobacco production (CFr) amounted to 12576.46 kg CO(2)eq center dot ha(-1). Regionally, the CFr was 10799.55 kg CO(2)eq center dot ha(-1) in Northern China, 14517.00 kg CO(2)eq center dot ha(-1) in Southeastern China, 11788.82 kg CO(2)eq center dot ha(-1) in the lower Yellow/Huai River region, 13138.70 kg CO(2)eq center dot ha(-1) in the mid-Yangtze River and 12415.56 kg CO(2)eq center dot ha(-1) in Southwestern China. Over the study period, Southwest China's CFr exhibited an upward trend with an annual growth rate of 121.81 kg CO(2)eq center dot ha(-1). At the micro-level, coal use contributes more than 60 % of carbon emissions, followed by curing power consumption. On a macro scale, economic activities significantly elevated the CF, whereas factors like carbon emission intensity, production efficiencies, and structural shifts contributed to its reduction. This research indicates that employing clean energy in curing barns, reducing agricultural film usage, and enhancing fertilizer utilization rates represent effective strategies for achieving low-carbon tobacco production. The results of this study have certain reference value for the policy formulation of low-carbon tobacco production and sustainable agriculture in China.</t>
  </si>
  <si>
    <t>[Ti, Jinsong; Zheng, Yu; Dong, Wenshuai; Lu, Xiaochong; Song, Zhaopeng] Henan Agr Univ, Coll Tobacco Sci, Zhengzhou 450002, Peoples R China; [Duan, Weidong; Yin, Guangting] China Tobacco Henan Ind Co LTD, Zhengzhou 450016, Peoples R China; [Zhao, Haobin] China Natl Tobacco Corp Henan Prov Co, Zhengzhou 450018, Peoples R China; [Qin, Yanqing; Xie, Liangwen] Sichuan Prov Co, China Natl Tobacco Corp, Chengdu 610000, Peoples R China</t>
  </si>
  <si>
    <t>Henan Agricultural University; China National Tobacco Corporation; China National Tobacco Corporation; China National Tobacco Corporation</t>
  </si>
  <si>
    <t>Lu, XC; Song, ZP (corresponding author), Henan Agr Univ, Coll Tobacco Sci, Zhengzhou 450002, Peoples R China.</t>
  </si>
  <si>
    <t>buwangchuxin12@henau.edu.cn; ycszp@henau.edu.cn</t>
  </si>
  <si>
    <t>Wenshuai, Dong/KHX-9737-2024</t>
  </si>
  <si>
    <t>Science and Technology Projects Henan Tobacco Company [2023410000240027]; Science and Technol-ogy Projects of Yunnan Tobacco Company [2023530000241024]; China Tobacco Henan Industrial Co. LTD [2021410000340261, 2022410000340099]</t>
  </si>
  <si>
    <t>Science and Technology Projects Henan Tobacco Company; Science and Technol-ogy Projects of Yunnan Tobacco Company; China Tobacco Henan Industrial Co. LTD</t>
  </si>
  <si>
    <t>This research was funded by Science and Technology Projects Henan Tobacco Company (2023410000240027) , Science and Technol-ogy Projects of Yunnan Tobacco Company (2023530000241024) China Tobacco Henan Industrial Co. LTD Funded Project (2021410000340261, 2022410000340099) .</t>
  </si>
  <si>
    <t>10.1016/j.ecolind.2024.112216</t>
  </si>
  <si>
    <t>XT1A8</t>
  </si>
  <si>
    <t>WOS:001263825900001</t>
  </si>
  <si>
    <t>Zhang, N; Sun, FC; Hu, YL</t>
  </si>
  <si>
    <t>Zhang, Na; Sun, Fangcheng; Hu, Yuling</t>
  </si>
  <si>
    <t>Carbon emission efficiency of land use in urban agglomerations of Yangtze River Economic Belt, China: Based on three-stage SBM-DEA model</t>
  </si>
  <si>
    <t>Urban agglomerations; Land use carbon emission efficiency (LUCE); Three-stage SBM-DEA model; Total factor productivity (TFP)</t>
  </si>
  <si>
    <t>ENVELOPMENT; SEQUESTRATION</t>
  </si>
  <si>
    <t>Exploring regional differences in land use carbon emission efficiency (LUCE) and the path of collaborative emission reduction in the Yangtze River Economic Belt (YREB) are of immense importance to achieve the sustainable regional development. Firstly, based on the estimation method of land use carbon emissions, this paper scientifically calculates the carbon emission of land use of the Yangtze River Delta urban agglomeration (YRD), the middle reaches of the Yangtze River urban agglomeration (MRYR), and the Chengdu-Chongqing urban agglomeration (CC) from 2010 to 2021 in the YREB. And the carbon emission of land use of each city in urban agglomerations was obtained, which was regarded as the unexpected output in the efficiency evaluation index system. Secondly, the three-stage SBM-DEA model was used to reveal the LUCE and its spatiotemporal characteristics in different regions from a static perspective. The empirical results of the second stage SFA showed that the level of economic development, urbanization rate, industrial structure, non-agricultural conversion rate of agricultural land, the level of scientific and technological innovation and government intervention had significant effects on LUCE. By comparing the efficiency values and their decompositions in the first and third stage of various urban agglomerations, it was found that after eliminating environmental and random factors, the average ranking of comprehensive technical efficiency (TE) of land use carbon emission changed from YRD &gt; MRYR &gt; CC to YRD &gt; CC &gt; MRYR due to the cross influence of pure technical efficiency (PTE) and scale efficiency (SE). Thirdly, Malmquist index model was used to analyze the change of total factor productivity index (TFPch) and its spatiotemporal pattern from a dynamic perspective. It was found that the TFPch, technological progress index (TC), pure technical efficiency index (PEC) and scale efficiency index (SEC) of land use carbon emission of the three major urban agglomerations all showed varying degrees of increase after adjustment. Finally, to further analyze the impact of technological progress, PTE and SE on LUCE, a regression model was constructed with LUCE of each city in urban agglomeration as the dependent variable, and TC, PEC and SEC as independent variables. It was concluded that technological progress was the main factor to promote the improvement of LUCE in the whole YREB. The trend of changes of LUCE in various urban agglomerations was closely related to its management level, technology level and factor structure adjustment. The above conclusions provide support for the coordinated emission reduction path of urban agglomerations in the YREB from the perspective of land use, which is conducive to actively and steadily promoting the realization of carbon peak and carbon neutrality goals.</t>
  </si>
  <si>
    <t>[Zhang, Na; Sun, Fangcheng] Chongqing Technol &amp; Business Univ, Inst Chengdu Chongqing Econ Zone Dev, Chongqing 400067, Peoples R China; [Hu, Yuling] Lanzhou Univ, Sch Econ, Lanzhou 730000, Gansu, Peoples R China</t>
  </si>
  <si>
    <t>Chongqing Technology &amp; Business University; Lanzhou University</t>
  </si>
  <si>
    <t>Zhang, N (corresponding author), Chongqing Technol &amp; Business Univ, Inst Chengdu Chongqing Econ Zone Dev, Chongqing 400067, Peoples R China.</t>
  </si>
  <si>
    <t>Zn1510468077@163.com</t>
  </si>
  <si>
    <t>Zhang, Na/KMA-6967-2024</t>
  </si>
  <si>
    <t>Zhang, Na/0009-0007-1638-8045</t>
  </si>
  <si>
    <t>National Social Science Fund of China [23AJY017, 22BJY033]; Chongqing Graduate Student Research Innovation Project [CYB23261]</t>
  </si>
  <si>
    <t>National Social Science Fund of China; Chongqing Graduate Student Research Innovation Project</t>
  </si>
  <si>
    <t>This work is supported by The National Social Science Fund of China [Grant numbers 23AJY017, 22BJY033] ; Chongqing Graduate Student Research Innovation Project [Grant numbers CYB23261] .</t>
  </si>
  <si>
    <t>10.1016/j.ecolind.2024.111922</t>
  </si>
  <si>
    <t>QC2J9</t>
  </si>
  <si>
    <t>WOS:001218612700001</t>
  </si>
  <si>
    <t>Masson, T</t>
  </si>
  <si>
    <t>Masson, Timothe</t>
  </si>
  <si>
    <t>'Carbon farming': what are the challenges for sugar beet and sugarcane growers?</t>
  </si>
  <si>
    <t>SUGAR INDUSTRY INTERNATIONAL</t>
  </si>
  <si>
    <t>carbon farming; sugarcane; sugar beet; produc- tion costs; profitability</t>
  </si>
  <si>
    <t>Farmers are fully aware of climate change: they are the first to suffer its effects. As citizens and producers, they are also mindful that they have a role in reducing their greenhouse gas (GHG) emissions. To this end, an increasing number of agricultural practices aimed at reducing these emissions or storing carbon have been identified and recently grouped under the term ' carbon farming'. Through this survey of 21 members, the World Association of Sugar Beet and Cane Growers (WABCG) sheds light on its vision of carbon farming. What techniques are available? What funding is available? What are the hopes and fears of independent growers? ' Carbon farming' is gaining traction amongst sugar beet and cane growers because it is perceived as a potential source of additional income for the grower. With a few exceptions, this rarely proves to be the case, especially as there seems to be a movement to compulsory (not just legally but also commercially) implement certain crop production practices. Yet these practices come with costs, not only in terms of production, but also reduced productivity, impacting competitiveness.</t>
  </si>
  <si>
    <t>[Masson, Timothe] WABCG World Assoc Beet &amp; Cane Growers, 29 Rue Gen Foy, F-75008 Paris, France</t>
  </si>
  <si>
    <t>Masson, T (corresponding author), WABCG World Assoc Beet &amp; Cane Growers, 29 Rue Gen Foy, F-75008 Paris, France.</t>
  </si>
  <si>
    <t>tmasson@cgb-france.fr</t>
  </si>
  <si>
    <t>VERLAG DR ALBERT BARTENS</t>
  </si>
  <si>
    <t>BERLIN 38</t>
  </si>
  <si>
    <t>LUCKHOFFSTRASSE 16, D-14129 BERLIN 38, GERMANY</t>
  </si>
  <si>
    <t>2941-749X</t>
  </si>
  <si>
    <t>SUGAR IND INT</t>
  </si>
  <si>
    <t>Sugar Ind. Int.</t>
  </si>
  <si>
    <t>10.36961/si32433</t>
  </si>
  <si>
    <t>L4W9L</t>
  </si>
  <si>
    <t>WOS:001350747400082</t>
  </si>
  <si>
    <t>Wang, CJ; Lv, MS; Li, L</t>
  </si>
  <si>
    <t>Wang, Chengjun; Lv, Mengshan; Li, Lei</t>
  </si>
  <si>
    <t>Towards a Win-Win Solution for Dietary Health and Carbon Reduction-Evidence from the Yangtze River Delta in China</t>
  </si>
  <si>
    <t>two-stage Engel-QUAIDS model; food consumption; carbon emissions; nutrient intake; policy simulation</t>
  </si>
  <si>
    <t>ENVIRONMENTAL IMPACTS; FOOD-CONSUMPTION; DEMAND</t>
  </si>
  <si>
    <t>Considering the contradiction between the need to change the food consumption structure of Chinese residents and the constraints of resources and the environment, as well as the changes in the consumption structure of Chinese residents in the Yangtze River Delta, we explore the path to achieve environmental sustainability while maintaining residents' dietary health. Based on 1995-2019 Yangtze River Delta food consumption data, this paper uses the two-stage Engel-QUAIDS model to conduct an empirical analysis of the food consumption and carbon emissions of urban and rural residents in the Yangtze River Delta and simulates the impact of income growth and food price changes on per capita food consumption carbon emissions and nutrient intake. The results show that the residents of the Yangtze River Delta consume too much meat and poultry, and the carbon emissions are high; the consumption of eggs and fruits is obviously insufficient, and the carbon emissions are low. With an increase in income, the increase in food carbon emissions among rural residents (0.406%) is greater than that among urban residents (0.247%); higher prices of meat, poultry, and aquatic products can significantly reduce food carbon emissions, and higher prices of fruits will promote food carbon emissions. The nutritional intake of residents can still be guaranteed under the low-carbon policy. It is worth mentioning that after the price adjustment simulation, residents' fat intake will be significantly reduced within the recommended range, which is also beneficial to residents' health. Therefore, appropriately regulating food prices and increasing people's income would not only ensure nutritional health but also contribute to reducing carbon emissions and creating a sustainable agricultural food system.</t>
  </si>
  <si>
    <t>[Wang, Chengjun; Lv, Mengshan; Li, Lei] Zhejiang A&amp;F Univ, Coll Econ &amp; Management, Hangzhou 311300, Peoples R China; [Wang, Chengjun; Li, Lei] Zhejiang A&amp;F Univ, Inst Rural Revitalizat, Hangzhou 311300, Peoples R China; [Wang, Chengjun; Li, Lei] Zhejiang A&amp;F Univ, Inst Carbon Neutral, Hangzhou 311300, Peoples R China</t>
  </si>
  <si>
    <t>Zhejiang A&amp;F University; Zhejiang A&amp;F University; Zhejiang A&amp;F University</t>
  </si>
  <si>
    <t>Li, L (corresponding author), Zhejiang A&amp;F Univ, Coll Econ &amp; Management, Hangzhou 311300, Peoples R China.;Li, L (corresponding author), Zhejiang A&amp;F Univ, Inst Rural Revitalizat, Hangzhou 311300, Peoples R China.;Li, L (corresponding author), Zhejiang A&amp;F Univ, Inst Carbon Neutral, Hangzhou 311300, Peoples R China.</t>
  </si>
  <si>
    <t>lileicem@zafu.edu.cn</t>
  </si>
  <si>
    <t>Li, Lei/KPY-6353-2024</t>
  </si>
  <si>
    <t>Key project of National Social Science Fund of China [18AGL015]; National Natural Science Foundation of China [42177463]; Major Humanities and Social Sciences Research Projects in Zhejiang higher education institutions [2023QN096]; General Scientific Research Project of Zhejiang Education Department [Y202147255]; Research Development Fund Project of Zhejiang AF University [2021FR014, JBKYF0201]</t>
  </si>
  <si>
    <t>Key project of National Social Science Fund of China; National Natural Science Foundation of China(National Natural Science Foundation of China (NSFC)); Major Humanities and Social Sciences Research Projects in Zhejiang higher education institutions; General Scientific Research Project of Zhejiang Education Department; Research Development Fund Project of Zhejiang AF University</t>
  </si>
  <si>
    <t>This research was funded by Key project of National Social Science Fund of China (18AGL015); National Natural Science Foundation of China (42177463); Major Humanities and Social Sciences Research Projects in Zhejiang higher education institutions (2023QN096); General Scientific Research Project of Zhejiang Education Department (Y202147255); Research Development Fund Project of Zhejiang A&amp;F University (2021FR014; JBKYF0201).</t>
  </si>
  <si>
    <t>10.3390/su15043530</t>
  </si>
  <si>
    <t>9L3KH</t>
  </si>
  <si>
    <t>WOS:000941450700001</t>
  </si>
  <si>
    <t>Grover, SP; Butterly, CR; Wang, XJ; Gleeson, DB; Macdonald, LM; Hall, D; Tang, CX</t>
  </si>
  <si>
    <t>Grover, Samantha P.; Butterly, Clayton R.; Wang, Xiaojuan; Gleeson, Deirdre B.; Macdonald, Lynne M.; Hall, David; Tang, Caixian</t>
  </si>
  <si>
    <t>An agricultural practise with climate and food security benefits: Claying with kaolinitic clay subsoil decreased soil carbon priming and mineralisation in sandy cropping soils</t>
  </si>
  <si>
    <t>Soil organic matter; Climate change; Food production; Clay; Priming; Microbial community</t>
  </si>
  <si>
    <t>EXTRACTABLE ORGANIC-CARBON; WATER REPELLENT SANDS; PLANT INPUTS; MATTER; DECOMPOSITION; NITROGEN; RESPIRATION; CELLULOSE; DYNAMICS; SORPTION</t>
  </si>
  <si>
    <t>As the agricultural sector seeks to feed a growing global population, climate-smart agriculture offers opportunities to concurrently mitigate climate change by reducing greenhouse gas emissions and/or increasing carbon storage in soils. This study examined the potential for clay addition to reduce CO2 emissions from plant residues and soil organic matter in a sandy soil. Soils were sourced from a 15-year-old field trial where claying (200 t ha(-1)) had already demonstrated improvements in water infiltration, grain yield and profits. Isotopically labelled plant residues (wheat, canola, or pea) were used to separate residue-derived and soil-derived CO2 sources from a nil-clay control, a historically clayed, and two freshly created soils with either high (10%) or low (3%) subsoil clay additions. Laboratory incubations demonstrated that historically clayed soils released less CO2 from plant residues and soil organic matter. Clay addition also decreased the priming effect of adding fresh residue to soils. The results from clay experimentally added in the laboratory varied. Differences in chemical and biological indicators (pH, microbial biomass C and N, extractable organic C and N, NO3-, NH4+, abundance of bacterial, archaeal, fungal, LMCO, GH48 and CbhI genes) did not correlate with patterns of CO2 emissions across treatments. While claying practices have previously demonstrated benefits to crop productivity, this research demonstrates long-term changes in carbon-cycling that could promote greater carbon sequestration. (C) 2019 Elsevier B.V. All rights reserved.</t>
  </si>
  <si>
    <t>[Grover, Samantha P.; Butterly, Clayton R.; Wang, Xiaojuan; Tang, Caixian] La Trobe Univ, Ctr AgriBiosci, Dept Anim Plant &amp; Soil Sci, AgriBio, Melbourne Campus, Bundoora, Vic 3086, Australia; [Butterly, Clayton R.] Univ Melbourne, Fac Vet &amp; Agr Sci, Sch Agr &amp; Food, Parkville, Vic 3010, Australia; [Gleeson, Deirdre B.] Univ Western Australia, Sch Agr &amp; Environm, Crawley, WA 6009, Australia; [Macdonald, Lynne M.] CSIRO Agr &amp; Food, Glen Osmond, SA 5064, Australia; [Hall, David] Western Australian Dept Primary Ind &amp; Reg Dev, Esperance, WA 6450, Australia</t>
  </si>
  <si>
    <t>La Trobe University; University of Melbourne; University of Western Australia; Commonwealth Scientific &amp; Industrial Research Organisation (CSIRO); CSIRO Agriculture &amp; Food</t>
  </si>
  <si>
    <t>Grover, SP (corresponding author), RMIT Univ, Appl Chem &amp; Environm Sci, Melbourne, Vic 3000, Australia.</t>
  </si>
  <si>
    <t>samantha.grover@rmit.edu.au</t>
  </si>
  <si>
    <t>Butterly, Clayton/E-6266-2011; Tang, Caixian/S-8702-2019; Macdonald, Lynne/D-6969-2013; gleeson, deire/F-9894-2011; Gleeson, Deirdre/F-9894-2011</t>
  </si>
  <si>
    <t>Butterly, Clayton/0000-0002-2576-1223; gleeson, deire/0000-0002-9069-7723; Grover, Samantha/0000-0002-8836-4815;</t>
  </si>
  <si>
    <t>Australian Government Department of Agriculture and Water Resources; Grains Research and Development Corporation</t>
  </si>
  <si>
    <t>Australian Government Department of Agriculture and Water Resources(Australian Government); Grains Research and Development Corporation(Grains R&amp;D Corp)</t>
  </si>
  <si>
    <t>This research was supported by the Australian Government Department of Agriculture and Water Resources as part of the Filling the Research Gap II Program (FtRG). Kaien Ra and Leanne Lisle assisted with laboratory analyses and Hazel Gaza contributed qPCR data. The Grains Research and Development Corporation funded the establishment and maintenance of the long-term claying trial.</t>
  </si>
  <si>
    <t>10.1016/j.scitotenv.2019.134488</t>
  </si>
  <si>
    <t>KJ8BS</t>
  </si>
  <si>
    <t>WOS:000512281700002</t>
  </si>
  <si>
    <t>Montelongo-Reyes, MM; Otazo-Sánchez, EM; Romo-Gómez, C; Gordillo-Martínez, AJ; Galindo-Castillo, E</t>
  </si>
  <si>
    <t>Montelongo-Reyes, M. M.; Otazo-Sanchez, E. M.; Romo-Gomez, C.; Gordillo-Martinez, A. J.; Galindo-Castillo, E.</t>
  </si>
  <si>
    <t>GHG and black carbon emission inventories from Mezquital Valley: The main energy provider for Mexico Megacity</t>
  </si>
  <si>
    <t>GHG; Emission inventory; Non-CO2 gases; Black carbon; Mezquital Valley</t>
  </si>
  <si>
    <t>AIR-QUALITY; IMPACTS; PARTICLE; CLIMATE; POLLUTION; AEROSOLS; VEHICLES; TRENDS; CHINA; PM2.5</t>
  </si>
  <si>
    <t>The greenhouse gases and black carbon emission inventory from IPCC key category Energy was accomplished for the Mezquital Valley, one of the most polluted regions in Mexico, as the Mexico City wastewater have been continuously used in agricultural irrigation for more than a hundred years. In addition, thermoelectric, refinery, cement and chemistry industries are concentrated in the southern part of the valley, near Mexico City. Several studies have reported air, soil, and water pollution data and its main sources for the region. Paradoxically, these sources contaminate the valley, but boosted its economic development. Nevertheless, no research has been done concerning GHG emissions, or climate change assessment. This paper reports inventories performed by the 1996 IPCC methodology for the baseline year 2005. Fuel consumption data were derived from priority sectors such as electricity generation, refineries, manufacturing &amp; cement industries, transportation, and residential use. The total CO2 emission result was 13,894.9 Gg, which constituted three-quarters of Hidalgo statewide energy category. The principal CO2 sources were energy transformation (69%) and manufacturing (19%). Total black carbon emissions were estimated by a bottom-up method at 0.66 Gg. The principal contributor was on-road transportation (37%), followed by firewood residential consumption (26%) and cocked brick manufactures (22%). Non-CO2 gas emissions were also significant, particularly SO2 (255.9 Gg), which accounts for 80% of the whole Hidalgo State emissions. Results demonstrated the negative environmental impact on Mezquital Valley, caused by its role as a Megacity secondary fuel and electricity provider, as well as by the presence of several cement industries. (C) 2015 Elsevier B.V. All rights reserved.</t>
  </si>
  <si>
    <t>[Montelongo-Reyes, M. M.; Otazo-Sanchez, E. M.; Romo-Gomez, C.; Gordillo-Martinez, A. J.; Galindo-Castillo, E.] Univ Autonoma Estado Hidalgo, Mineral De La Reforma 42183, Hidalgo, Mexico</t>
  </si>
  <si>
    <t>Universidad Autonoma del Estado de Hidalgo</t>
  </si>
  <si>
    <t>Otazo-Sánchez, EM (corresponding author), Univ Autonoma Estado Hidalgo, Calle Carretera Pachuca Tulancingo, Mineral De La Reforma 42183, Hidalgo, Mexico.</t>
  </si>
  <si>
    <t>Otazo Sanchez, Elena María/A-3874-2012; Sanchez, Elena Maria/A-3874-2012</t>
  </si>
  <si>
    <t>Otazo Sanchez, Elena María/0000-0001-9324-8926; Claudia, Romo Gómez/0000-0001-7826-4557; Gordillo-Martínez, Alberto José/0000-0002-5266-5982</t>
  </si>
  <si>
    <t>CONACyT-Mexico (The National Council of Science and Technology); Environmental Quality Network project PROMEP/UAEH; Secretary for Environment and Natural Resources of Hidalgo State Government; Mexican Secretary of Public Education (SEP)</t>
  </si>
  <si>
    <t>MMMR would like to thank CONACyT-Mexico (The National Council of Science and Technology) for the doctoral scholarship program awarded for this research and the institutional support from Hidalgo State Autonomous University. The authors also acknowledge and express their appreciation of PROMEP funding from the Environmental Quality Network project PROMEP/UAEH, as well as federal funds provided from the Secretary for Environment and Natural Resources of Hidalgo State Government and the Mexican Secretary of Public Education (SEP). We are grateful to Kenneth Clark for his comments and the English review of the manuscript.</t>
  </si>
  <si>
    <t>10.1016/j.scitotenv.2015.03.129</t>
  </si>
  <si>
    <t>CK4WY</t>
  </si>
  <si>
    <t>WOS:000356225300049</t>
  </si>
  <si>
    <t>Jia, L; Meng, Y; Liang, HZ</t>
  </si>
  <si>
    <t>Jia, Lei; Meng, Yuan; Liang, Hanzhong</t>
  </si>
  <si>
    <t>Efficacy of China's low-carbon agricultural pilot policy: a company-farmer analysis from the middle and lower yangtze river basin, China</t>
  </si>
  <si>
    <t>low-carbon agricultural pilot policy; environmental expenditures; farmers' net income; propensity score matching -difference in differences; China's agriculture and food industries; policy-implementation gap</t>
  </si>
  <si>
    <t>IMPLEMENTATION GAP; CLIMATE-CHANGE; CREDIT</t>
  </si>
  <si>
    <t>China's central government introduced the low-carbon agricultural pilot (LCAP) policy to curb carbon emissions and foster sustainable growth. While most research has centered on macro-level impacts (provinces and cities), this study uniquely examines the LCAP policy's influence on agricultural companies' environmental expenditures and farmers' net income. Given the LCAP's weak-constraining nature, its effectiveness at the company and farmer level remains intriguing. We apply the Propensity Score Matching-Difference in Differences (PSM-DID) method, which excels in mitigating sample selection bias, focusing on the 2011-2020 LCAP phase involving 34 listed companies in China's agriculture and food sectors. Further, we analyzed data from 410 rice farmers in Hubei, Zhejiang, and Shanghai, assessing the LCAP's effects on their income. Results reveal that companies in LCAP cities decrease their environmental spending by 0.91 points (1% significance). On the farming front, non-participation leads to a potential 28-thousand-yuan income reduction. Organic fertilizers, compost, and recycling cultivation waste prove impactful, promoting income and ecological sustainability. However, the effectiveness of high-cost, long-payback energy-saving machinery subsidies appears limited under current implementation conditions. These findings suggest a potential misalignment between policy design and implementation outcomes, highlighting the challenges associated with non-mandatory environmental policies such as the LCAP in achieving their intended objectives.</t>
  </si>
  <si>
    <t>[Jia, Lei] Shanghai Acad Agr Sci, Inst Informat Agr Sci &amp; Technol, Shanghai, Peoples R China; [Meng, Yuan] Mitsubishi Electr Corp, Nakatsugawa Works, Gifu, Japan; [Liang, Hanzhong] Kirin Holdings Co Ltd, Kirin Cent Res Inst, Fujisawa, Kanagawa, Japan</t>
  </si>
  <si>
    <t>Shanghai Academy of Agricultural Sciences; Mitsubishi International Corporation (MIC); Mitsubishi Electric Corporation; Kirin Holdings Co Ltd</t>
  </si>
  <si>
    <t>Liang, HZ (corresponding author), Kirin Holdings Co Ltd, Kirin Cent Res Inst, Fujisawa, Kanagawa, Japan.</t>
  </si>
  <si>
    <t>Hanzhong_Liang@kirin.co.jp</t>
  </si>
  <si>
    <t>The author(s) declare that no financial support was received for the research and/or publication of this article.</t>
  </si>
  <si>
    <t>MAY 9</t>
  </si>
  <si>
    <t>10.3389/fenvs.2025.1581752</t>
  </si>
  <si>
    <t>2WR1D</t>
  </si>
  <si>
    <t>WOS:001493099700001</t>
  </si>
  <si>
    <t>Zhen, W; Qin, QD; Kuang, YQ; Huang, NS</t>
  </si>
  <si>
    <t>Zhen, Wei; Qin, Quande; Kuang, Yaoqiu; Huang, Ningsheng</t>
  </si>
  <si>
    <t>Investigating low-carbon crop production in Guangdong Province, China (1993-2013): a decoupling and decomposition analysis</t>
  </si>
  <si>
    <t>Carbon footprint; Crop production; Decoupling; LMDI; Guangdong Province</t>
  </si>
  <si>
    <t>LIFE-CYCLE ASSESSMENT; ENERGY-CONSUMPTION; EMISSIONS; FOOTPRINT; CO2; AGRICULTURE; MITIGATION; INTENSITY; GROWTH; FLUX</t>
  </si>
  <si>
    <t>Low-carbon crop production is a way of raising yield gains in an ecologically and ethically responsible manner in the agricultural sector. Guangdong Province, one of China's major commodity grain production bases, is confronted with considerable challenges in promoting crop production while developing a low-carbon economy with limited croplands. Based on a decoupling index and decoupling stability analysis, this study investigated the dynamic variations of low-carbon development in a crop production system. The Logarithmic Mean Divisia Index method is employed to explore the drivers of the carbon footprint of Guangdong's crop production system from 1993 to 2013. The results indicated the following: (1) increased crop production output is not always positively correlated with an increased carbon footprint; (2) weak decoupling is the main tendency between carbon footprint and crop production; (3) the decoupling stability coefficients show that the threat of high-carbon-emission crop production does exist; and (4) the agricultural economy level is the determining factor for the growth of the carbon footprint in crop production, but agricultural investment, urbanization and technical progress contribute to the reduction of the carbon footprint in Guangdong Province. This study decomposed and quantified the driving factors of the total carbon footprint of a crop production system and provided insights into the potential for low-carbon crop production in Guangdong Province. (C) 2016 Elsevier Ltd. All rights reserved.</t>
  </si>
  <si>
    <t>[Zhen, Wei; Kuang, Yaoqiu; Huang, Ningsheng] Chinese Acad Sci, Guangzhou Inst Geochem, Key Lab Marginal Sea Geol, Guangzhou 510640, Guangdong, Peoples R China; [Zhen, Wei] Univ Chinese Acad Sci, Beijing 100049, Peoples R China; [Qin, Quande] Shenzhen Univ, Dept Management Sci, Shenzhen 518060, Peoples R China; [Qin, Quande] Beijing Inst Technol, Ctr Energy &amp; Environm Policy Res, Beijing 100081, Peoples R China</t>
  </si>
  <si>
    <t>Chinese Academy of Sciences; Guangzhou Institute of Geochemistry, CAS; Chinese Academy of Sciences; University of Chinese Academy of Sciences, CAS; Shenzhen University; Beijing Institute of Technology</t>
  </si>
  <si>
    <t>Qin, QD (corresponding author), Shenzhen Univ, Dept Management Sci, Shenzhen 518060, Peoples R China.</t>
  </si>
  <si>
    <t>qinquande@gmail.com</t>
  </si>
  <si>
    <t>; Qin, Quande/NLO-0556-2025</t>
  </si>
  <si>
    <t>Zhen, Wei/0000-0002-7211-5355; Qin, Quande/0000-0003-0943-9151;</t>
  </si>
  <si>
    <t>National Natural Science Foundation of China [71402103]; Natural Science Foundation of Guangdong Province [2015A030313556, 2014A030309008]; MOE Youth Foundation Project of Humanities and Social Sciences at Universities in China [13YJC630123]; Youth Foundation Project of Humanities and Social Sciences in Shenzhen University [14QNFC28]; China Postdoctoral Science Foundation Funded Project [2015M580053]</t>
  </si>
  <si>
    <t>National Natural Science Foundation of China(National Natural Science Foundation of China (NSFC)); Natural Science Foundation of Guangdong Province(National Natural Science Foundation of Guangdong Province); MOE Youth Foundation Project of Humanities and Social Sciences at Universities in China; Youth Foundation Project of Humanities and Social Sciences in Shenzhen University; China Postdoctoral Science Foundation Funded Project(China Postdoctoral Science Foundation)</t>
  </si>
  <si>
    <t>The authors thank two anonymous referees and an editor of this journal for their valuable comments. This is GIGCAS contribution No.IS-2233. The work is partly supported by National Natural Science Foundation of China (No. 71402103), Natural Science Foundation of Guangdong Province (No. 2015A030313556 and NO. 2014A030309008), the MOE Youth Foundation Project of Humanities and Social Sciences at Universities in China (No. 13YJC630123), the Youth Foundation Project of Humanities and Social Sciences in Shenzhen University (No. 14QNFC28) and China Postdoctoral Science Foundation Funded Project (No. 2015M580053).</t>
  </si>
  <si>
    <t>10.1016/j.jclepro.2016.05.022</t>
  </si>
  <si>
    <t>WOS:000397368000008</t>
  </si>
  <si>
    <t>Faezi, A; Poursadegh, M; Barati, R</t>
  </si>
  <si>
    <t>Faezi, Ahmad; Poursadegh, Mehrdad; Barati, Reza</t>
  </si>
  <si>
    <t>The Water-Energy-Carbon nexus in Agriculture: A comprehensive field study on groundwater use in Iran</t>
  </si>
  <si>
    <t>Water-Energy-Carbon Nexus; Groundwater Irrigation; Energy Intensity; Pumping Efficiency; Carbon Footprint</t>
  </si>
  <si>
    <t>MANAGEMENT; EMISSIONS</t>
  </si>
  <si>
    <t>Groundwater irrigation is essential for agriculture, especially in arid and semi-arid regions. This study examines the water-energy-carbon nexus (WECN) of groundwater-irrigated agriculture in Razavi Khorasan, Iran, analyzing data from over 10,000 registered wells. It evaluates energy efficiency, energy intensity (EI), and associated carbon emissions across different irrigation methods and pumping technologies. Results indicate that 88.4 % of wells are powered by electricity, with an average EI of 1.42 kWh/m3 and a pumping efficiency of 27.8 %. Drip irrigation increases energy consumption by 5.2 % (1.62 kWh/m3) compared to flood irrigation (1.54 kWh/m3), primarily due to pressure losses in tubes and the irrigation system layout. Submersible pumps show a 13.7 % lower EI (1.45 kWh/m3) and a 14 % higher efficiency (28.5 %) compared to shaft and sleeve (vertical pumping) systems. Carbon emissions per cubic meter of water withdrawn are calculated as 759.3 gCO2/m3 for electric wells and 339.8 gCO2/m3 for diesel wells, highlighting the environmental inefficiency of the electric grid. Total carbon emissions from groundwater irrigation in Iran are estimated at 18.01-18.99 million metric tons, accounting for 2.53 %-2.67 % of Iran's total emissions. The findings of this study provide policymakers with valuable insights to make informed decisions on groundwater irrigation, addressing the challenges of water scarcity, carbon emissions, and sustainable agricultural practices in similar regions worldwide.</t>
  </si>
  <si>
    <t>[Faezi, Ahmad] Ferdowsi Univ Mashhad, Fac Engn, Dept Mech Engn, Mashhad, Iran; [Poursadegh, Mehrdad] Univ Nebraska, Durham Sch Architectural Engn &amp; Construct, Lincoln, NE USA; [Barati, Reza] Tarbiat Modares Univ, Coll Engn, Tehran, Iran</t>
  </si>
  <si>
    <t>Ferdowsi University Mashhad; University of Nebraska System; University of Nebraska Lincoln; Tarbiat Modares University</t>
  </si>
  <si>
    <t>Barati, R (corresponding author), Tarbiat Modares Univ, Coll Engn, Tehran, Iran.</t>
  </si>
  <si>
    <t>reza.barati@modares.ac.ir</t>
  </si>
  <si>
    <t>; Barati, Reza/D-3702-2015</t>
  </si>
  <si>
    <t>Faezi, Ahmad/0009-0009-3500-331X; Barati, Reza/0000-0003-2362-2227</t>
  </si>
  <si>
    <t>10.1016/j.seta.2025.104333</t>
  </si>
  <si>
    <t>2ET1W</t>
  </si>
  <si>
    <t>WOS:001480906600001</t>
  </si>
  <si>
    <t>Pereira, BD; Cecilio, AB; La Scala, N ; de Figueiredo, EB</t>
  </si>
  <si>
    <t>Pereira, Breno de Jesus; Cecilio Filho, Arthur Bernardes; La Scala, Newton, Jr.; de Figueiredo, Eduardo Barretto</t>
  </si>
  <si>
    <t>Greenhouse gas emissions and carbon footprint of collard greens, spinach and chicory production systems in Southeast of Brazil</t>
  </si>
  <si>
    <t>vegetables; global warming potential; intercropping; direct and indirect emissions; carbon footprint</t>
  </si>
  <si>
    <t>LIFE-CYCLE ASSESSMENT; VARIABILITY; CULTIVATION; IMPACTS; LETTUCE</t>
  </si>
  <si>
    <t>Food production in sustainable agricultural systems is one of the main challenges of modern agriculture. Vegetable intercropping may be a strategy to mitigate greenhouse gas (GHG) emissions, replacing monoculture systems. The objective is to identify the main emissions sources and to estimate GHG emissions of intercropping and monoculture production of collard greens, New Zealand spinach and chicory. Four scenarios were evaluated: ICS - intercropping collard greens and spinach; MCS - monoculture collard greens and spinach; ICC - intercropping collard greens and chicory; MCC - monoculture collard greens and chicory. The boundaries' reach from cradle-to-gate and the calculation of GHG emissions were performed using IPCC methodology and specific factors (Tier 2). The total GHG emitted was standardized as CO2 equivalent (CO(2)eq). The GHG emissions in ICS and ICC scenarios were approximately 31% lower than in MCS and MCC scenarios. Carbon footprint in ICS (0.030 kg CO(2)eq kg(-1) vegetables year(-1)) and ICC (0.033 kg CO(2)eq kg(-1) vegetables year(-1)) scenarios were also lower than in MCS (0.082 kg CO(2)eq kg(-1) vegetables year(-1)) and MCC (0.071 kg CO(2)eq kg(-1) vegetables year(-1)) scenarios. Fertilizers, fuel (diesel) and irrigation were the main contributing sources for total GHG emitted and carbon footprint in all evaluated scenarios. The results suggest that intercropping systems may reduce GHG emissions associated with the production of vegetables evaluated as compared with monoculture.</t>
  </si>
  <si>
    <t>[Pereira, Breno de Jesus; Cecilio Filho, Arthur Bernardes; La Scala, Newton, Jr.] Sao Paulo State Univ, Sao Paulo State Univ UNESP, Coll Agr &amp; Vet Sci, Sao Paulo, Brazil; [de Figueiredo, Eduardo Barretto] Fed Univ Sao Carlos UFSCar, Dept Rural Dev, Sao Paulo, Brazil</t>
  </si>
  <si>
    <t>Universidade Estadual Paulista; Universidade Federal de Sao Carlos</t>
  </si>
  <si>
    <t>Cecilio, AB (corresponding author), Sao Paulo State Univ, Sao Paulo State Univ UNESP, Coll Agr &amp; Vet Sci, Sao Paulo, Brazil.</t>
  </si>
  <si>
    <t>rutra@fcav.unesp.br</t>
  </si>
  <si>
    <t>Filho, Arthur/D-7237-2012; de Jesus Pereira, Breno/AAD-9570-2021; de Figueiredo, Eduardo/KHW-1388-2024; La Scala, Newton/C-4398-2012</t>
  </si>
  <si>
    <t>Barretto de Figueiredo, Eduardo/0000-0003-3232-0933;</t>
  </si>
  <si>
    <t>10.3389/fpls.2022.1015307</t>
  </si>
  <si>
    <t>6H7UL</t>
  </si>
  <si>
    <t>WOS:000885639400001</t>
  </si>
  <si>
    <t>Gong, XY; Kung, CC; Zhang, LG</t>
  </si>
  <si>
    <t>Gong, Xiaoyu; Kung, Chih-Chun; Zhang, Liguo</t>
  </si>
  <si>
    <t>An economic evaluation on welfare distribution and carbon sequestration under competitive pyrolysis technologies</t>
  </si>
  <si>
    <t>ENERGY EXPLORATION &amp; EXPLOITATION</t>
  </si>
  <si>
    <t>Crop residuals; emission offset; lifecycle assessment; renewable energy; sustainable development</t>
  </si>
  <si>
    <t>RICE STRAW; BIOCHAR APPLICATION; MAIZE YIELD; BIO-OIL; BIOMASS; ENERGY; GASIFICATION; PRODUCTS; SOIL; CHALLENGES</t>
  </si>
  <si>
    <t>Pyrolysis and gasification are considered as a means of producing renewable energy and improving energy sustainability, which has become attractive renewable technologies to many countries. Unlike other studies that are conducted in small scale, this study aims to aggregate the economic and environmental effects such as agricultural benefits, energy sale, and carbon sequestration to provide more detailed information to decision-makers before these projects are widely employed. This study first employs a lifecycle assessment to investigate the feasibility, profitability, and emission reduction of four major pyrolysis and gasification technologies using crop residuals, and then conducts a sensitive analysis to examine the most influential factors. The results indicate that the intermediate pyrolysis with rice straw and slow pyrolysis from corn stover could offset the carbon dioxide the most. However, the pyrolysis value is also sensitive to production of the feedstock used. Value adding of stover-based biochar under fast pyrolysis improves profitability but other technologies do not have such patterns. Additionally, while gasification can generate considerable amount of renewable electricity, it yields almost zero percent of biochar that can be used as a soil amendment, and thus its contribution to agricultural sector is trivial.</t>
  </si>
  <si>
    <t>[Gong, Xiaoyu; Kung, Chih-Chun; Zhang, Liguo] Jiangxi Univ Finance &amp; Econ, Sch Econ, Nanchang 330013, Jiangxi, Peoples R China</t>
  </si>
  <si>
    <t>Kung, CC (corresponding author), Jiangxi Univ Finance &amp; Econ, Sch Econ, Nanchang 330013, Jiangxi, Peoples R China.</t>
  </si>
  <si>
    <t>cckung78@jxufe.edu.csn</t>
  </si>
  <si>
    <t>Kung, Chih-Chun/0000-0003-2951-8711</t>
  </si>
  <si>
    <t>National Natural Science Foundation [41861042, 71864013, 71663025]; Distinguished Young Scholar Program of Jiangxi Province [20171BCB23047]; Science Program of Jiangxi Bureau of Education [GJJ190275]; University Social Science Foundation of Jiangxi [JC17205]</t>
  </si>
  <si>
    <t>National Natural Science Foundation(National Natural Science Foundation of China (NSFC)); Distinguished Young Scholar Program of Jiangxi Province; Science Program of Jiangxi Bureau of Education; University Social Science Foundation of Jiangxi</t>
  </si>
  <si>
    <t>The author(s) disclosed receipt of the following financial support for the research, authorship, and/or publication of this article: The authors thank for the support from the National Natural Science Foundation (41861042; 71864013; 71663025), Distinguished Young Scholar Program of Jiangxi Province (20171BCB23047), Science Program of Jiangxi Bureau of Education (GJJ190275), and University Social Science Foundation of Jiangxi (JC17205).</t>
  </si>
  <si>
    <t>SAGE PUBLICATIONS INC</t>
  </si>
  <si>
    <t>THOUSAND OAKS</t>
  </si>
  <si>
    <t>2455 TELLER RD, THOUSAND OAKS, CA 91320 USA</t>
  </si>
  <si>
    <t>0144-5987</t>
  </si>
  <si>
    <t>2048-4054</t>
  </si>
  <si>
    <t>ENERG EXPLOR EXPLOIT</t>
  </si>
  <si>
    <t>Energy Explor. Exploit.</t>
  </si>
  <si>
    <t>10.1177/0144598719900279</t>
  </si>
  <si>
    <t>JAN 2020</t>
  </si>
  <si>
    <t>QS3BH</t>
  </si>
  <si>
    <t>WOS:000507183400001</t>
  </si>
  <si>
    <t>Boettcher, R; Zappe, AL; de Oliveira, PF; Machado, EL; Lawisch-Rodriguez, AD; Rodriguez-Lopez, DA</t>
  </si>
  <si>
    <t>Boettcher, Ricardo; Zappe, Ana Leticia; de Oliveira, Priscila Fernandes; Machado, Enio Leandro; Lawisch-Rodriguez, Adriane de Assis; Rodriguez-Lopez, Diosnel Antonio</t>
  </si>
  <si>
    <t>Carbon Footprint of agricultural production and processing of tobacco (Nicotiana tabacum) in southern Brazil</t>
  </si>
  <si>
    <t>Carbon Footprint; Tobacco production; Life cycle assessment; Greenhouse gas</t>
  </si>
  <si>
    <t>LIFE-CYCLE ASSESSMENT; ENVIRONMENTAL-IMPACT ASSESSMENT; PRODUCTION SYSTEMS; ASSESSMENT LCA; FERTILIZER; METHODOLOGY; COMBUSTION; EMISSIONS; GROWTH</t>
  </si>
  <si>
    <t>One of the main agricultural crops in Brazil is the tobacco (Nicotiana tabacum) production, currently the second largest producer of this commodity of the world. Its production extends across the three southern states of the country and accounts for important interactions with the environment. Thus, the study of the relationship between tobacco cultivation and the environment should be evaluated in order to reduce its impacts. This study uses a life cycle assessment (LCA) to evaluate the Carbon Footprint (CF) of Virginia (VA) and Burley (BU) tobacco varieties produced in southern Brazil, using the dataset of 14,409 tobacco farmers. The LCA results showed that the use of nitrogen fertilizer in the crop stages of both the tobacco varieties is the main contributor to greenhouse gas (GHG) emissions. The CF was 1398.5 kg CO2 -eg/ton of dry VA tobacco, compared to the 1829.7 kg CO2-eg/ton of dry BU tobacco. The seedling and industrial processing stages of both tobacco varieties account for less than 13% of the overall CF. (C) 2020 Elsevier B.V. All rights reserved.</t>
  </si>
  <si>
    <t>[Boettcher, Ricardo; Zappe, Ana Leticia; de Oliveira, Priscila Fernandes; Machado, Enio Leandro; Lawisch-Rodriguez, Adriane de Assis; Rodriguez-Lopez, Diosnel Antonio] Univ Santa Cruz do Sul, Postgrad Program Environm Technol PPGTA, Av Independencia 2293, BR-96815900 Santa Cruz Do Sul, RS, Brazil</t>
  </si>
  <si>
    <t>Universidade de Santa Cruz do Sul</t>
  </si>
  <si>
    <t>Rodriguez-Lopez, DA (corresponding author), Univ Santa Cruz do Sul, Postgrad Program Environm Technol PPGTA, Av Independencia 2293, BR-96815900 Santa Cruz Do Sul, RS, Brazil.</t>
  </si>
  <si>
    <t>dlopez@unisc.br</t>
  </si>
  <si>
    <t>Lopez, Diosnel/AAF-8680-2020; Machado, Ênio Leano/H-5120-2013; Machado, Ê./H-5120-2013; Roiguez Lopez, Diosnel Antonio/E-6764-2016</t>
  </si>
  <si>
    <t>Machado, Ênio Leano/0000-0003-0140-4966; de Assis Lawisch Roiguez, Aiane/0000-0003-2923-6677; Roiguez Lopez, Diosnel Antonio/0000-0002-4620-715X</t>
  </si>
  <si>
    <t>Coordenacao de Aperfeicoamento de Pessoal de Nivel Superior'' (CAPES-BRAZIL)</t>
  </si>
  <si>
    <t>Coordenacao de Aperfeicoamento de Pessoal de Nivel Superior'' (CAPES-BRAZIL)(Coordenacao de Aperfeicoamento de Pessoal de Nivel Superior (CAPES))</t>
  </si>
  <si>
    <t>We would like to thank the ``Coordenacao de Aperfeicoamento de Pessoal de Nivel Superior'' (CAPES-BRAZIL) for the assignment of the second and third author masters and doctoral scholarships.</t>
  </si>
  <si>
    <t>10.1016/j.eti.2020.100625</t>
  </si>
  <si>
    <t>LL6EQ</t>
  </si>
  <si>
    <t>WOS:000531651100015</t>
  </si>
  <si>
    <t>Hamilton, TGA; Kelly, S</t>
  </si>
  <si>
    <t>Hamilton, Thomas Gerard Adam; Kelly, Scott</t>
  </si>
  <si>
    <t>Low carbon energy scenarios for sub-Saharan Africa: An input-output analysis on the effects of universal energy access and economic growth</t>
  </si>
  <si>
    <t>Africa; Energy; Emissions; Economic growth; Input-Output</t>
  </si>
  <si>
    <t>CONSUMPTION</t>
  </si>
  <si>
    <t>Meeting Sub-Saharan African (SSA) human development goals will require economic development to be the priority over the coming decades, but economic development 'at all cost' may not be acceptable across these goals. This paper aims to explore five development scenarios for the five largest economies in SSA to understand the implications to CO2-equivalent emissions (CO2-e) and off-grid energy modernisation in 2030. Within this scope GDP growth; economic structure; availability of energy resources; international trade; and, the development of distributed generation for remote locations are considered. Regional CO2 emissions were studied using a Multi-Regional Input-Output Model for Africa. Under the scenarios analysed all five nations will be unable to reduce 2030 CO2-e emissions below 2012 levels, whilst simultaneously achieving forecast GDP growth and universal access to modernised energy services. 100% off-grid modernisation is estimated to require a three-fold increase in Primary Energy Supply and a 26% (1317 Mt) increase in 2030 CO2-e emissions. Total regional CO2-e emissions could be reduced from 45% to 35% by meeting a 50% renewable energy supply target by 2030. Climate Change policy would need to focus on multi-sector reform to reduce regional emissions as the agricultural sector is the largest emitter in Nigeria, Ethiopia and Kenya.</t>
  </si>
  <si>
    <t>[Hamilton, Thomas Gerard Adam] Univ Cambridge, Dept Engn, Ctr Sustainable Dev, Trumpington St, Cambridge CB2 1PZ, England; [Kelly, Scott] Univ Cambridge, Cambridge Judge Business Sch, Ctr Risk Studies, Trumpingtion St, Cambridge CB2 1QA, England; [Kelly, Scott] Univ Technol Sydney, Inst Sustainable Futures, Level 11,Bldg 10,235 Jones St Ultimo,2007 POB 123, Sydney, NSW, Australia</t>
  </si>
  <si>
    <t>University of Cambridge; University of Cambridge; University of Technology Sydney</t>
  </si>
  <si>
    <t>Hamilton, TGA (corresponding author), Univ Cambridge, Dept Engn, Ctr Sustainable Dev, Trumpington St, Cambridge CB2 1PZ, England.</t>
  </si>
  <si>
    <t>adam.hamilton@cantab.net; scott.kelly@cantab.net</t>
  </si>
  <si>
    <t>Kelly, Scott/ABC-7526-2020; Kelly, Scott/F-8774-2011</t>
  </si>
  <si>
    <t>Kelly, Scott/0000-0002-8454-6144</t>
  </si>
  <si>
    <t>Centre for Sustainable Development in the Department of Engineering at the University of Cambridge; Centre of Risk Studies in Cambridge Judge Business School at the University of Cambridge</t>
  </si>
  <si>
    <t>This research is jointly supported by the Centre for Sustainable Development in the Department of Engineering and Centre of Risk Studies in Cambridge Judge Business School at the University of Cambridge. We would like thank Prof. Peter Guthrie, Dr Richard Fenner, Dr Heather Cruickshank and Sian Owen at the Centre for Sustainable Development for the institutional backing of this research.</t>
  </si>
  <si>
    <t>10.1016/j.enpol.2017.02.012</t>
  </si>
  <si>
    <t>ET8EY</t>
  </si>
  <si>
    <t>WOS:000400532900030</t>
  </si>
  <si>
    <t>Norli, U; Kartini, ABN; Cheng, SF</t>
  </si>
  <si>
    <t>Norli, U.; Kartini, A. B. Nor; Cheng, S. F.</t>
  </si>
  <si>
    <t>SYNTHESIS, CHARACTERISATION AND APPLICATION OF ACTIVATED CARBON AS A SMOKE FILTER</t>
  </si>
  <si>
    <t>JOURNAL OF TROPICAL FOREST SCIENCE</t>
  </si>
  <si>
    <t>Activated carbon; agricultural waste; coconut shell; palm kernel shell; smoke filter</t>
  </si>
  <si>
    <t>PALM KERNEL SHELL; COCONUT SHELL; PHYSICAL ACTIVATION; CHEMICAL ACTIVATION; HEAVY-METALS; BIOMASS; PYROLYSIS; ZNCL2</t>
  </si>
  <si>
    <t>Activated carbon (AC) synthesis and application have been extensively studied. However, reports on its deployment in smoke particle filters are limited. The present study synthesised AC from two agricultural wastes, namely coconut shell (CS) and palm kernel shell (PKS). The AC was incorporated into a custom-made smoke muffler to filter smoke from paddy straw combustion. Phosphoric acid, potassium hydroxide and zinc chloride were employed to produce the AC via a physicochemical method. CS and PKS were subjected to microwave radiation, a one-to-one (1:1) activation ratio, 30 min of impregnation time, and 4 min of radiation. Background studies were conducted on the starting materials, including lignocellulosic content and proximal and ultimate evaluations. The AC samples procured were characterised with Fourier Transform infrared (FTIR), Brunauer, Emmett, and Teller (BET) surface area, and field emission scanning electron microscope (FESEM) analyses. The zinc chloride-activated CS (MZCS) produced the optimal AC under minimal conditions, documenting a 391.26 m2 g-1 BET surface area. Based on FESEM results, the MZCS distributed smoke particles evenly, demonstrating smoke adsorbent abilities. The results also indicated a favourable physical interaction between the surface and smoke particles. Conclusively, the MZCS possesses potential as a smoke filter.</t>
  </si>
  <si>
    <t>[Norli, U.; Cheng, S. F.] Univ Malaya, Fac Sci, Chem Dept, Unit Res Lipids URL, Kuala Lumpur 50603, Malaysia; [Kartini, A. B. Nor] Univ Malaya, Fac Sci, Chem Dept, Kuala Lumpur 50603, Malaysia</t>
  </si>
  <si>
    <t>Universiti Malaya; Universiti Malaya</t>
  </si>
  <si>
    <t>Kartini, ABN (corresponding author), Univ Malaya, Fac Sci, Chem Dept, Kuala Lumpur 50603, Malaysia.</t>
  </si>
  <si>
    <t>kartini@um.edu.my</t>
  </si>
  <si>
    <t>CHENG, SIT FOON/B-8371-2010</t>
  </si>
  <si>
    <t>University of Malaya Impact-Oriented Interdisciplinary Research Grant Programme (IIRG) [IIRG002A-19SAH]</t>
  </si>
  <si>
    <t>University of Malaya Impact-Oriented Interdisciplinary Research Grant Programme (IIRG)</t>
  </si>
  <si>
    <t>This study was financially supported by the University of Malaya Impact-Oriented Interdisciplinary Research Grant Programme (IIRG) No. IIRG002A-19SAH.</t>
  </si>
  <si>
    <t>FOREST RESEARCH INST MALAYSIA</t>
  </si>
  <si>
    <t>KUALA LUMPUR</t>
  </si>
  <si>
    <t>PUBLICATION UNIT, KEPONG, KUALA LUMPUR 52109, MALAYSIA</t>
  </si>
  <si>
    <t>0128-1283</t>
  </si>
  <si>
    <t>2521-9847</t>
  </si>
  <si>
    <t>J TROP FOR SCI</t>
  </si>
  <si>
    <t>J. Trop. For. Sci.</t>
  </si>
  <si>
    <t>10.26525/jtfs2024.36.4.379</t>
  </si>
  <si>
    <t>N0A1X</t>
  </si>
  <si>
    <t>WOS:001361054300003</t>
  </si>
  <si>
    <t>Salinas-Melgoza, MA; Skutsch, M; Lovett, JC; Borrego, A</t>
  </si>
  <si>
    <t>Salinas-Melgoza, Miguel Angel; Skutsch, Margaret; Lovett, Jon C.; Borrego, Armonia</t>
  </si>
  <si>
    <t>Carbon emissions from dryland shifting cultivation: a case study of Mexican tropical dry forest</t>
  </si>
  <si>
    <t>SILVA FENNICA</t>
  </si>
  <si>
    <t>slash-and-burn; swidden cultivation; carbon stocks; REDD; land sparing; Borlaug hypothesis</t>
  </si>
  <si>
    <t>SOIL ORGANIC-CARBON; LAND-USE; SECONDARY FORESTS; BIOMASS; DEFORESTATION; INTENSIFICATION; DYNAMICS; DEGRADATION; DIVERSITY; STOCKS</t>
  </si>
  <si>
    <t>The article considers the relation of shifting cultivation to deforestation and degradation, and hence its impacts in terms of carbon emissions and sequestration potential. There is a need to understand these relationships better in the context of international policy on Reduced Emissions from Deforestation and Forest Degradation (REDD+). The article reviews the way in which shifting cultivation has been incorporated in global and national estimations of carbon emissions, and assembles the available information on shifting cultivation in Tropical Dry Forests (TDF) in Mexico, where it is widely practiced. It then takes the case of two villages, Tonaya and El Temazcal, which lie within the basin of the River Ayuquila in Jalisco, Mexico. Field data for the typical carbon stocks and fluxes associated with shifting cultivation are compared with stocks and fluxes associated with more intensive agricultural production in the same dry tropical forest area to highlight the carbon sequestration dynamics associated with the shortening and potential lengthening of the fallow cycles. The biomass density in the shifting cultivation system observed can reach levels similar to that of old growth forests, with old fallows (&gt;20 years) having higher carbon stocks than old growth forests. Per Mg of maize produced, the biomass-related emissions from shifting cultivation in the traditional 12 year cycle are about three times those from permanent cultivation. We did not, however, take into account the additional emissions from inputs that result from the use of fertilizers and pesticides in the case of permanent agriculture. Shortening of the fallow cycle, which is occurring in the study area as a result of government subsidies, results in higher remaining stocks of carbon and lower emissions at the landscape level.</t>
  </si>
  <si>
    <t>[Salinas-Melgoza, Miguel Angel] Univ Twente, Drienerlolaan 5, NL-7522 NB Enschede, Netherlands; [Skutsch, Margaret] Univ Nacl Autonoma Mexico CIGA UNAM, Antigua Carretera Patzcuaro 8701,Campus Morelia, Michoacan 58190, Mexico; [Lovett, Jon C.] Univ Leeds, Leeds LS2 9JT, W Yorkshire, England; [Borrego, Armonia] CONACYT, Ctr Invest Geog Ambiental, Antigua Carretera Patzcuaro 8701,Campus Morelia, Michoacan 58190, Mexico</t>
  </si>
  <si>
    <t>University of Twente; Universidad Nacional Autonoma de Mexico; University of Leeds; Consejo Nacional de Ciencia y Tecnologia (CONACyT)</t>
  </si>
  <si>
    <t>Salinas-Melgoza, MA (corresponding author), Univ Twente, Drienerlolaan 5, NL-7522 NB Enschede, Netherlands.</t>
  </si>
  <si>
    <t>ma.masm@gmail.com</t>
  </si>
  <si>
    <t>Salinas-Melgoza, Miguel/B-4901-2016</t>
  </si>
  <si>
    <t>Salinas-Melgoza, Miguel/0000-0003-3209-1659</t>
  </si>
  <si>
    <t>Netherlands Organisation for Scientific Research (NWO) - Science for Global Development (WOTRO)</t>
  </si>
  <si>
    <t>Netherlands Organisation for Scientific Research (NWO) - Science for Global Development (WOTRO)(Netherlands Organization for Scientific Research (NWO))</t>
  </si>
  <si>
    <t>This study was funded by The Netherlands Organisation for Scientific Research (NWO) - Science for Global Development (WOTRO) through project titled Linking local action to international climate agreements in the tropical dry forests of Mexico. We also thank Ernesto Vega Pena for his advice on the statistical analysis; Hilda Rivas Solorzano and Rosa Isela Salinas Espinoza for helping in soil sample preparation.</t>
  </si>
  <si>
    <t>FINNISH SOC FOREST SCIENCE-NATURAL RESOURCES INST FINLAND</t>
  </si>
  <si>
    <t>VANTAA</t>
  </si>
  <si>
    <t>PO BOX 18, FI-01301 VANTAA, FINLAND</t>
  </si>
  <si>
    <t>0037-5330</t>
  </si>
  <si>
    <t>2242-4075</t>
  </si>
  <si>
    <t>SILVA FENN</t>
  </si>
  <si>
    <t>Silva. Fenn.</t>
  </si>
  <si>
    <t>1B</t>
  </si>
  <si>
    <t>10.14214/sf.1553</t>
  </si>
  <si>
    <t>EN3GI</t>
  </si>
  <si>
    <t>WOS:000395896600004</t>
  </si>
  <si>
    <t>Mirzaei, M; Saunders, M; Murphy, R; Richards, K; Mousavi, SMN; Aghamir, F; Horak, J; Mancinelli, R; Li, Y; Radicetti, E</t>
  </si>
  <si>
    <t>Mirzaei, Morad; Saunders, Matthew; Murphy, Rachael; Richards, Karl; Mousavi, Seyed Mohammad Nasir; Aghamir, Fateme; Horak, Jan; Mancinelli, Roberto; Li, Yuan; Radicetti, Emanuele</t>
  </si>
  <si>
    <t>Integrating organic fertilizers in maize-mung bean intercropping: implications for soil carbon dynamics and greenhouse gas reduction</t>
  </si>
  <si>
    <t>Sustainable agriculture; Semiarid cropping system; Climate change mitigation; Agroecological approach</t>
  </si>
  <si>
    <t>NITROUS-OXIDE EMISSIONS; AGRICULTURAL SOILS; N2O EMISSIONS; NITRIFICATION; TEMPERATURE; TILLAGE; LEGUME; MATTER</t>
  </si>
  <si>
    <t>Organic fertilizers have great potential to improve crop production while reducing greenhouse gas (GHG) emissions in agroecosystems. To study their effect on GHG emissions, a field experiment over a two-year period (2021 and 2022) was carried out to quantify carbon dioxide (CO2) and nitrous oxide (N2O) emissions. Experimental treatments included: (i) two types of organic fertilizers [wheat residue (WR) and sheep manure (SM)]; and (ii) three cropping systems [monocropping of maize (Zea mays L., Ma) and mung bean (Vigna radiata (L.) R. Wilczek, Mu), and their intercropping (Ma + Mu)]. Total crop biomass and its carbon (C) and nitrogen (N) content, soil CO2 and N2O emissions, soil temperature and moisture were measured. The results showed that Ma + Mu_WR significantly reduced cumulative CO2 emissions by 36% and 28% compared to the Ma_WR and Mu_WR, respectively. Similarly, Ma + Mu_SM reduced soil CO2 emissions by 38% and 70% compared to Ma_SM and Mu_SM, respectively. In addition, Ma + Mu_WR had 69% and 71% lower cumulative N2O emissions than Ma_WR and Mu_WR, respectively, while Ma + Mu_SM showed 48% and 55% lower emissions than Ma_SM and Mu_SM, respectively. WR application significantly increased C input and the C input/output. In the Mu, WR fertilizer led to a significant reduction in both C output and total C emitted, whereas in Ma + Mu, these parameters were not affected by the type of organic fertilizers. In Ma, C output was higher under WR than SM, but total C emitted remained unaffected. This study suggests that integrating organic fertilizer into an intercropping system provides a sustainable and environmentally friendly approach to effective GHG mitigation.</t>
  </si>
  <si>
    <t>[Mirzaei, Morad; Saunders, Matthew] Trinity Coll Dublin, Sch Nat Sci, Bot Discipline, Dublin, Ireland; [Mirzaei, Morad; Murphy, Rachael] Teagasc Environm Soils &amp; Land Use Dept, Johnstown Castle, Wexford, Ireland; [Richards, Karl] TEAGASC, Climate Ctr, Johnstown Castle, Wexford, Ireland; [Mousavi, Seyed Mohammad Nasir] Dalhousie Univ, Fac Agr, Dept Plant Food &amp; Environm Sci, Halifax, NS B2N 5E3, Canada; [Mousavi, Seyed Mohammad Nasir] Univ Debrecen, Inst Land Use Engn &amp; Prec Farming Technol, Fac Agr &amp; Food Sci &amp; Environm Management, 138 Boszormeny St, H-4032 Debrecen, Hungary; [Aghamir, Fateme] Shahid Beheshti Univ, Environm Sci Res Inst, Tehran, Iran; [Horak, Jan] Slovak Univ Agr, Inst Landscape Engn, Fac Hort &amp; Landscape Engn, Hospodarska 7, Nitra 94976, Slovakia; [Mancinelli, Roberto] Univ Tuscia, Dept Agr &amp; Forest Sci DAFNE, I-01100 Viterbo, Italy; [Li, Yuan] Nat Resources Inst Finland, Prod Syst Unit, Grasslands &amp; Sustainable Farming, Halolantie 31A, FI-71750 Kuopio, Finland; [Radicetti, Emanuele] Univ Ferrara, Dept Chem Pharmaceut &amp; Agr Sci Docpas, I-44121 Ferrara, Italy</t>
  </si>
  <si>
    <t>Trinity College Dublin; Teagasc; Dalhousie University; University of Debrecen; Shahid Beheshti University; Slovak University of Agriculture Nitra; Tuscia University; Natural Resources Institute Finland (Luke); University of Ferrara</t>
  </si>
  <si>
    <t>Mirzaei, M (corresponding author), Trinity Coll Dublin, Sch Nat Sci, Bot Discipline, Dublin, Ireland.;Mirzaei, M (corresponding author), Teagasc Environm Soils &amp; Land Use Dept, Johnstown Castle, Wexford, Ireland.</t>
  </si>
  <si>
    <t>mirzaeim@tcd.ie</t>
  </si>
  <si>
    <t>; Mancinelli, Roberto/K-6427-2014; Richards, Karl/A-5606-2010; Horak, Jan/V-4106-2019; Mousavi, Seyed Meysam/HKO-5293-2023; Radicetti, Emanuele/O-4326-2019</t>
  </si>
  <si>
    <t>Radicetti, Emanuele/0000-0001-8654-3177; Richards, Karl/0000-0002-3703-3450; Li, Yuan/0000-0003-1047-0690;</t>
  </si>
  <si>
    <t>10.1007/s10705-024-10394-1</t>
  </si>
  <si>
    <t>0SA0R</t>
  </si>
  <si>
    <t>WOS:001376278200001</t>
  </si>
  <si>
    <t>Sosulski, T; Szara, E; Szymanska, M; Stepien, W</t>
  </si>
  <si>
    <t>Sosulski, Tomasz; Szara, Ewa; Szymanska, Magdalena; Stepien, Wojciech</t>
  </si>
  <si>
    <t>N2O emission and nitrogen and carbon leaching from the soil in relation to long-term and current mineral and organic fertilization - a laboratory study</t>
  </si>
  <si>
    <t>PLANT SOIL AND ENVIRONMENT</t>
  </si>
  <si>
    <t>short-term fertilization; gas emission; macronutrient; denitrification; nitrification; nitrate</t>
  </si>
  <si>
    <t>OXIDE EMISSIONS; NITRATE; DENITRIFICATION; MANURES; CO2</t>
  </si>
  <si>
    <t>The paper presents the results of a laboratory experiment aimed at the assessment of N2O emissions, NO3-, NH4+ and carbon (C) leaching from agricultural soils subjected to long-term mineral and organic fertilization. Our results show that long- term treatment impacts the N2O emissions from loamy-sand Luvisols to a greater extent than the recent single application of mineral or organic fertilizers. The N2O fluxes from soils with higher C-org content that results from long- term organic fertilization exceed those from soils with lower Corg content subsequent to long- term mineral fertilization. Our research confirms previous reports that the intensity of N2O emission is related to soil moisture. The NO3- leaching depended on the recent application of fertilizers with a stronger influence of single application of NH4NO3 than farmyard manure. Long-term fertilization did not impact the NO3- leaching.</t>
  </si>
  <si>
    <t>[Sosulski, Tomasz; Szara, Ewa; Szymanska, Magdalena; Stepien, Wojciech] Warsaw Univ Life Sci SGGW, Dept Soil Environm Sci, Warsaw, Poland</t>
  </si>
  <si>
    <t>Warsaw University of Life Sciences</t>
  </si>
  <si>
    <t>Sosulski, T (corresponding author), Warsaw Univ Life Sci SGGW, Dept Soil Environm Sci, Warsaw, Poland.</t>
  </si>
  <si>
    <t>tomasz_sosulski@sggw.pl</t>
  </si>
  <si>
    <t>; Szara, Ewa/AAE-9120-2019; Szymańska, Magdalena/L-1032-2019; Sosulski, Tomasz/AAF-1017-2019</t>
  </si>
  <si>
    <t>Sosulski, Tomasz/0000-0001-6364-571X; Szymańska, Magdalena/0000-0002-1302-6950;</t>
  </si>
  <si>
    <t>1214-1178</t>
  </si>
  <si>
    <t>1805-9368</t>
  </si>
  <si>
    <t>PLANT SOIL ENVIRON</t>
  </si>
  <si>
    <t>Plant Soil Environ.</t>
  </si>
  <si>
    <t>10.17221/205/2016-PSE</t>
  </si>
  <si>
    <t>EQ4ST</t>
  </si>
  <si>
    <t>WOS:000398069400001</t>
  </si>
  <si>
    <t>Sun, T; Li, HJ; Wang, CX; Li, R; Zhao, ZC; Guo, B; Yao, L; Gao, XH</t>
  </si>
  <si>
    <t>Sun, Tao; Li, Hongjie; Wang, Congxin; Li, Ran; Zhao, Zichao; Guo, Bing; Yao, Li; Gao, Xinhao</t>
  </si>
  <si>
    <t>The Carbon Footprint and Influencing Factors of the Main Grain Crops in the North China Plain</t>
  </si>
  <si>
    <t>carbon footprint; lifecycle assessment; LMDI model; carbon emission reduction; influence factor</t>
  </si>
  <si>
    <t>GREENHOUSE-GAS EMISSIONS; FOOD SECURITY; ENVIRONMENTAL-QUALITY; CLIMATE-CHANGE; MANAGEMENT; FERTILIZER; DECOMPOSITION; PRODUCTIVITY; MITIGATION; BENEFITS</t>
  </si>
  <si>
    <t>The North China Plain (NCP) serves as a critical grain-producing region in China, playing a pivotal role in ensuring the nation's food security. A comprehensive analysis of the carbon footprint (CF) related to the cultivation of major grain crops within this region and the proposal of strategies to reduce emissions through low-carbon production methods are crucial for advancing sustainable agricultural practices in China. This study employed the lifecycle assessment (LCA) method to estimate the CF of wheat, maize, and rice crops over a period from 2013 to 2022, based on statistical data collected from five key provinces and cities in the NCP: Beijing, Tianjin, Hebei, Shandong, and Henan. Additionally, the Logarithmic Mean Divisia Index (LMDI) model was utilized to analyze the influencing factors. The results indicated that the carbon footprints per unit area (CFA) of maize, wheat, and rice increased between 2013 and 2022. Rice had the highest carbon footprint per unit yield (CFY), averaging 1.1 kg CO2-eq kg-1, with significant fluctuations over time. In contrast, the CFY of wheat and maize remained relatively stable from 2013 to 2022. Fertilizers contributed the most to CF composition, accounting for 48.8%, 48.0%, and 25.9% of the total carbon inputs for wheat, maize, and rice, respectively. The electricity used for irrigation in rice production was 31.8%, which was much higher than that of wheat (6.8%) and maize (7.1%). The LMDI model showed that the labor effect was a common suppressing factor for the carbon emissions of maize, wheat, and rice in the NCP, while the agricultural structure effect and the economic development effect were common driving factors. By improving the efficiency of fertilizer and pesticide utilization, cultivating new varieties, increasing the mechanical operation efficiency, the irrigation efficiency, and policy support, the CF of grain crop production in the NCP can be effectively reduced. These efforts will contribute to the sustainable development of agricultural practices in the NCP and support China's efforts to achieve its double carbon target.</t>
  </si>
  <si>
    <t>[Sun, Tao; Li, Ran; Zhao, Zichao; Guo, Bing; Yao, Li; Gao, Xinhao] Shandong Acad Agr Sci, State Key Lab Nutrient Use &amp; Management, Key Lab Wastes Matrix Utilizat, Inst Agr Resources &amp; Environm,Minist Agr &amp; Rural A, Jinan 250100, Peoples R China; [Li, Hongjie] Dezhou Acad Agr Sci, Dezhou 253015, Peoples R China; [Wang, Congxin] Linshu Agr &amp; Rural Bur, Agr Technol Extens Ctr, Linshu 276700, Peoples R China</t>
  </si>
  <si>
    <t>Shandong Academy of Agricultural Sciences</t>
  </si>
  <si>
    <t>Sun, T; Gao, XH (corresponding author), Shandong Acad Agr Sci, State Key Lab Nutrient Use &amp; Management, Key Lab Wastes Matrix Utilizat, Inst Agr Resources &amp; Environm,Minist Agr &amp; Rural A, Jinan 250100, Peoples R China.</t>
  </si>
  <si>
    <t>suntao1007@126.com; lihj515@163.com; wcx219598@163.com; lran0507@163.com; 2008zzc@163.com; guo321bing@163.com; nkyyaoli@163.com; nkygxh@163.com</t>
  </si>
  <si>
    <t>Sun, Tao/0000-0003-4163-8716</t>
  </si>
  <si>
    <t>Natural Science Foundation of the Shandong Province [ZR2023QC064]; Agricultural Scientific and Technological Innovation Project of the Shandong Academy of Agricultural Sciences [CXGC2024A06, CXGC2024F04]; National Key RD Plan Project [2023YFD1902701-2, 2021YFD1900190306]; Technical System of Ecological Agriculture of Modern Agricultural Technology System in the Shandong Province [SDAIT-30-01]; Smart Fertilization Project [5]; Key R&amp;D Plan of the Shandong Province [2022TZXD0039-3]</t>
  </si>
  <si>
    <t>Natural Science Foundation of the Shandong Province(Natural Science Foundation of Shandong Province); Agricultural Scientific and Technological Innovation Project of the Shandong Academy of Agricultural Sciences; National Key RD Plan Project; Technical System of Ecological Agriculture of Modern Agricultural Technology System in the Shandong Province; Smart Fertilization Project; Key R&amp;D Plan of the Shandong Province</t>
  </si>
  <si>
    <t>This research was supported by the Natural Science Foundation of the Shandong Province (grant no. ZR2023QC064), the Agricultural Scientific and Technological Innovation Project of the Shandong Academy of Agricultural Sciences (grant no. CXGC2024A06, CXGC2024F04), the National Key R&amp;D Plan Project (grant no. 2023YFD1902701-2,2021YFD1900190306), the Technical System of Ecological Agriculture of Modern Agricultural Technology System in the Shandong Province (SDAIT-30-01), the Smart Fertilization Project (grant no. 5), and the Key R&amp;D Plan of the Shandong Province (grant no. 2022TZXD0039-3).</t>
  </si>
  <si>
    <t>10.3390/agronomy14081720</t>
  </si>
  <si>
    <t>E8W7N</t>
  </si>
  <si>
    <t>WOS:001305753200001</t>
  </si>
  <si>
    <t>Wu, HY; Yan, WQ; Zheng, XJ; Zhou, L; Ma, JS; Liu, L; Meng, Y</t>
  </si>
  <si>
    <t>Wu, Haoyue; Yan, Wanqi; Zheng, Xiangjiang; Zhou, Lei; Ma, Jinshan; Liu, Lu; Meng, Yue</t>
  </si>
  <si>
    <t>Carbon-Emission Density of Crop Production in China: Spatiotemporal Characteristics, Regional Disparities, and Convergence</t>
  </si>
  <si>
    <t>carbon emissions; crop production; carbon footprint; spatiotemporal characteristics; convergence test; spatial econometric model</t>
  </si>
  <si>
    <t>GREENHOUSE-GAS EMISSIONS; FOOTPRINT; FLUXES</t>
  </si>
  <si>
    <t>An analysis of carbon emissions of crop production provides paths for global warming mitigation. Existing studies have focused on the magnitude of the carbon emissions from crop production, which is unreasonable for inter-location comparison due to neglecting regional variations in cultivation technologies and planting scale. Different from the conventional idea, this paper estimated the carbon-emission density of crop production (CEDCP) based on carbon emissions per hectare of crop production. With the 30 Chinese provinces between 2000 and 2020 as the study area, temporal dynamics and spatial patterns of the CEDCP were explored, regional disparities of the CEDCP were discussed based on the Theil index, and the possibility of regional coordinated optimization for the CEDCP was explored by relying on the convergence tests. The results show that the average annual CEDCP in China was 1.462 t/hm(2), reaching a peak of 1.576 t/hm(2) in 2015. The national carbon-emission densities of agricultural materials, rice fields, soil management, and straw burning were 0.492 t/hm(2), 0.390 t/hm(2), 0.189 t/hm(2), and 0.391 t/hm(2), respectively. In many provinces, the CEDCP increased first and then decreased, presenting a spatial pattern of high in the eastern region and low in the western region. Regional disparities of CEDCP shrank early but expanded later, and the disparities within the western region had always contributed considerably to the overall disparities. The CEDCP had shown sigma- and beta- convergence in both national and regional scales, and the convergence process had positive spillover effects. These findings suggest that inter-provincial cooperation may facilitate the CEDCP to converge.</t>
  </si>
  <si>
    <t>[Wu, Haoyue; Zheng, Xiangjiang; Zhou, Lei; Ma, Jinshan; Liu, Lu] Southwest Univ Sci &amp; Technol, Sch Life Sci &amp; Engn, Mianyang 621010, Peoples R China; [Yan, Wanqi; Meng, Yue] Sichuan Agr Univ, Coll Business &amp; Tourism, Chengdu 611830, Peoples R China</t>
  </si>
  <si>
    <t>Southwest University of Science &amp; Technology - China; Sichuan Agricultural University</t>
  </si>
  <si>
    <t>Meng, Y (corresponding author), Sichuan Agr Univ, Coll Business &amp; Tourism, Chengdu 611830, Peoples R China.</t>
  </si>
  <si>
    <t>wuhaoyue@swust.edu.cn; yanwanqi@stu.sicau.edu.cn; zhengxiangjiang@swust.edu.cn; zhoulei@swust.edu.cn; majinshan@swust.edu.cn; liulu@swust.edu.cn; mengyue@sicau.edu.cn</t>
  </si>
  <si>
    <t>Doctoral Foundation of Southwest University of Science and Technology [22zx7148]; Sichuan Science and Technology Program [2022JDTD0022]; Sichuan Center for Rural Development Research Project [CR2106]</t>
  </si>
  <si>
    <t>Doctoral Foundation of Southwest University of Science and Technology; Sichuan Science and Technology Program; Sichuan Center for Rural Development Research Project</t>
  </si>
  <si>
    <t>This research was funded the Doctoral Foundation of Southwest University of Science and Technology (22zx7148), Sichuan Science and Technology Program (2022JDTD0022), and Sichuan Center for Rural Development Research Project (CR2106).</t>
  </si>
  <si>
    <t>APR 26</t>
  </si>
  <si>
    <t>10.3390/agriculture13050951</t>
  </si>
  <si>
    <t>H2FK6</t>
  </si>
  <si>
    <t>WOS:000994172600001</t>
  </si>
  <si>
    <t>Takakai, F; Nakagawa, S; Sato, K; Kon, K; Sato, T; Kaneta, Y</t>
  </si>
  <si>
    <t>Takakai, Fumiaki; Nakagawa, Shinpei; Sato, Kensuke; Kon, Kazuhiro; Sato, Takashi; Kaneta, Yoshihiro</t>
  </si>
  <si>
    <t>Net Greenhouse Gas Budget and Soil Carbon Storage in a Field with Paddy-Upland Rotation with Different History of Manure Application</t>
  </si>
  <si>
    <t>carbon dioxide; methane; nitrous oxide; paddy-upland rotation; preceding compost application; rice; soybean</t>
  </si>
  <si>
    <t>GRAY LOWLAND SOIL; NITROUS-OXIDE EMISSIONS; DIRECT N2O EMISSIONS; AGRICULTURAL SOILS; RICE; HOKKAIDO; MODEL; DIOXIDE; RESIDUE; SYSTEMS</t>
  </si>
  <si>
    <t>Methane (CH4) and nitrous oxide (N2O) fluxes were measured from paddy-upland rotation (three years for soybean and three years for rice) with different soil fertility due to preceding compost application for four years (i.e., 3 kg FW m(-2) year(-1) of immature or mature compost application plots and a control plot without compost). Net greenhouse gas (GHG) balance was evaluated by integrating CH4 and N2O emissions and carbon dioxide (CO2) emissions calculated from a decline in soil carbon storage. N2O emissions from the soybean upland tended to be higher in the immature compost plot. CH4 emissions from the rice paddy increased every year and tended to be higher in the mature compost plot. Fifty-two to 68% of the increased soil carbon by preceding compost application was estimated to be lost during soybean cultivation. The major component of net GHG emission was CO2 (82-94%) and CH4 (72-84%) during the soybean and rice cultivations, respectively. Net GHG emissions during the soybean and rice cultivations were comparable. Consequently, the effects of compost application on the net GHG balance from the paddy-upland rotation should be carefully evaluated with regards to both advantages (initial input to the soil) and disadvantages (following increases in GHG).</t>
  </si>
  <si>
    <t>[Takakai, Fumiaki; Sato, Takashi; Kaneta, Yoshihiro] Akita Prefectural Univ, Fac Bioresource Sci, 241-438 Aza Kaidobata Nishi, Akita 0100195, Japan; [Nakagawa, Shinpei; Sato, Kensuke; Kon, Kazuhiro] Akita Prefectural Agr Expt Stn, 34-1 Aza Genpachizawa, Akita 341, Japan</t>
  </si>
  <si>
    <t>Akita Prefectural University</t>
  </si>
  <si>
    <t>Takakai, F (corresponding author), Akita Prefectural Univ, Fac Bioresource Sci, 241-438 Aza Kaidobata Nishi, Akita 0100195, Japan.</t>
  </si>
  <si>
    <t>takakai@akita-pu.ac.jp; Nakagawa-Shinpei@pref.akita.lg.jp; Sa-Ke@pref.akita.lg.jp; kon-kazuhiro-085@pref.akita.lg.jp; t_sato@akita-pu.ac.jp; ykaneta@akita-pu.ac.jp</t>
  </si>
  <si>
    <t>Takakai, Fumiaki/0000-0002-6653-035X</t>
  </si>
  <si>
    <t>10.3390/agriculture7060049</t>
  </si>
  <si>
    <t>EZ1DK</t>
  </si>
  <si>
    <t>WOS:000404449400003</t>
  </si>
  <si>
    <t>Li, F; Chen, L; Jia, ZJ; Zhang, JB; Zhao, ZH; Han, YL; Wang, Y</t>
  </si>
  <si>
    <t>Li, Fang; Chen, Lin; Jia, Zhongjun; Zhang, Jiabao; Zhao, Zhanhui; Han, Yanlai; Wang, Yi</t>
  </si>
  <si>
    <t>Core microbial taxonomies that maintain high organic carbon content in upland soil</t>
  </si>
  <si>
    <t>Soil carbon accumulation; CO2 emissions; CO2 fixation; Microbial community; Functional redundancy; Isotope labeling</t>
  </si>
  <si>
    <t>FUNCTIONAL REDUNDANCY; RESPIRATION; BIOMASS; MATTER; TAXA; FLUX</t>
  </si>
  <si>
    <t>The accumulation of soil carbon (C) is crucial for the productivity and ecological function of farmland ecosystems. The balance between microbial carbon dioxide (CO2) emission and fixation determines the sustained accumulation potential of C in soil. Microorganisms involved in this process are highly obscure, thus hindering identification and further application of microorganisms with fertile soil function. In this study, a series of typical upland farmland soils were collected from 29 regions and their microbial community structure and soil C fractions were analyzed. Additionally, the rates of CO2 emission and fixation in each soil were measured. The results showed that the correlation between soil CO 2 emissions and the SOC concentration was logarithmic, while that between CO 2 fixation and SOC was linear. Bacterial and fungal diversity showed an upward trend with increasing soil C, and their alpha diversity was significantly correlated with CO 2 fixation, but not correlated with CO 2 emission. Fungi were more associated with soil C than bacteria, and the strength of linkage with soil C varied among the different phyla of microorganisms. Furthermore, the core microbial taxa in soils with low, medium and high SOC levels were identified by discarding redundant amplicon sequence variants, and their community differentiation was significantly driven by soil CO 2 emission and fixation based on Mantel analysis. The high abundance of Chloroflexi, Nitrospirota, Actinobacteria, and Mortierellomycota in core taxa might indicate a high level of SOC level. This study highlights that SOC fluctuations are mainly driven by the core microbial taxa, rather than all microbial taxa in the agricultural system. Our research sheds light on the targeted regulation of the soil microbial community structure in upland farmland for soil fertility enhancement.</t>
  </si>
  <si>
    <t>[Li, Fang; Han, Yanlai; Wang, Yi] Henan Agr Univ, Coll Resources &amp; Environm, Zhengzhou 450002, Peoples R China; [Chen, Lin; Zhang, Jiabao] Chinese Acad Sci, Inst Soil Sci, State Key Lab Soil &amp; Sustainable Agr, Nanjing 210008, Peoples R China; [Jia, Zhongjun] Chinese Acad Sci, Northeast Inst Geog &amp; Agroecol, Changchun 130102, Peoples R China; [Zhao, Zhanhui] Henan Univ Urban Construct, Sch Survey &amp; Urban Spatial Informat, Pingdingshan 467021, Peoples R China; [Han, Yanlai; Wang, Yi] Henan Agr Univ, Coconstruct State Key Lab Wheat &amp; Maize Crop Sci, Zhengzhou 450002, Peoples R China</t>
  </si>
  <si>
    <t>Henan Agricultural University; Chinese Academy of Sciences; Nanjing Institute of Soil Science, CAS; Chinese Academy of Sciences; Northeast Institute of Geography &amp; Agroecology, CAS; Henan University of Urban Construction; Henan Agricultural University</t>
  </si>
  <si>
    <t>Han, YL; Wang, Y (corresponding author), Henan Agr Univ, Coconstruct State Key Lab Wheat &amp; Maize Crop Sci, Zhengzhou 450002, Peoples R China.</t>
  </si>
  <si>
    <t>hyanlai@henau.edu.cn; wangyi@henau.edu.cn</t>
  </si>
  <si>
    <t>Jia, Zhongjun/B-9770-2011</t>
  </si>
  <si>
    <t>National Natural Science Foundation of China [42377334]; Henan Province Excellent Youth Science Fund [242300421147]; National Key Research and Development Program of China [2022YFD0200203]</t>
  </si>
  <si>
    <t>National Natural Science Foundation of China(National Natural Science Foundation of China (NSFC)); Henan Province Excellent Youth Science Fund; National Key Research and Development Program of China(National Key Research &amp; Development Program of China)</t>
  </si>
  <si>
    <t>The authors acknowledge and the National Natural Science Foundation of China (42377334), Henan Province Excellent Youth Science Fund (242300421147), and the National Key Research and Development Program of China (2022YFD0200203). We would like to thank MogoEdit (https://www.mogoedit.com) for its English editing during the preparation of this manuscript.</t>
  </si>
  <si>
    <t>10.1016/j.scitotenv.2024.173300</t>
  </si>
  <si>
    <t>UU9X6</t>
  </si>
  <si>
    <t>WOS:001250705100002</t>
  </si>
  <si>
    <t>Zheng, XX; Liao, WM</t>
  </si>
  <si>
    <t>Zheng, Xixian; Liao, Wenmei</t>
  </si>
  <si>
    <t>Coupling coordination between agricultural carbon emission efficiency and food security in China: The spatial-temporal evolution and prediction</t>
  </si>
  <si>
    <t>Addressing climate change and food insecurity is crucial for achieving the Sustainable Development Goals (SDGs), with the enhancement of Agricultural Carbon Emission Efficiency (ACEE) and the assurance of Food Security (FS) playing pivotal roles. This study conducts a comprehensive evaluation of the coordination between ACEE and FS across 31 Chinese provinces from 2007 to 2021. The methodology employs the Super Slack-Based Model (SBM) and the Entropy- Weighted Technique for Order Preference by Similarity to Ideal Solution (EW-TOPSIS) for ACEE and FS assessments, respectively, while utilizing the Coupling Coordination Degree Model (CCDM) to gauge their coordination. This research applies Global spatial autocorrelation (GA), Local Indicators of Spatial Association (LISA) clustering, and Markov chain analysis to investigate the spatial correlation characteristics and dynamic evolutionary probability of Coupling Coordination Degree (CCD). Additionally, a Combination Forecasting Model predicts CCD trends through 2030. The findings indicate positive trends in both ACEE and FS, albeit with significant regional disparities and a notable lag of FS behind ACEE improvement. The evolution of China's CCD from barely coordinated towards primary coordination is evident, with the northeastern and central regions outperforming their western and eastern counterparts. Spatial analysis reveals pronounced clustering of CCD, indicating the impact of spatial spillover effects. Markov chain analysis shows that provinces have at least a 71.4% probability of maintaining their current CCD status, revealing substantial system inertia. Projections point to increasing CCD levels across various regions, with the northeastern region expected to reach 0.827 by 2030 (a 5.72% increase from 2021), followed by the central (0.742), western (0.659), and eastern regions (0.638); however, regional imbalances persist, highlighting the need for concentrated efforts in areas experiencing CCD stagnation or decline. The study concludes with a call for region-specific development strategies, enhanced resource allocation and technological support, and a comprehensive policy framework that accounts for the long-term and spatial dimensions, aiming to facilitate equitable advancements in reducing agricultural carbon emissions and enhancing food security.</t>
  </si>
  <si>
    <t>[Zheng, Xixian; Liao, Wenmei] Jiangxi Agr Univ, Sch Econ &amp; Management, Nanchang, Peoples R China; [Liao, Wenmei] Jiangxi Agr Univ, Res Ctr Three Rural Issues, Nanchang, Peoples R China; [Liao, Wenmei] Jiangxi Agr Univ, Inst Rural Econ, Nanchang, Peoples R China</t>
  </si>
  <si>
    <t>Jiangxi Agricultural University; Jiangxi Agricultural University; Jiangxi Agricultural University</t>
  </si>
  <si>
    <t>Liao, WM (corresponding author), Jiangxi Agr Univ, Sch Econ &amp; Management, Nanchang, Peoples R China.;Liao, WM (corresponding author), Jiangxi Agr Univ, Res Ctr Three Rural Issues, Nanchang, Peoples R China.;Liao, WM (corresponding author), Jiangxi Agr Univ, Inst Rural Econ, Nanchang, Peoples R China.</t>
  </si>
  <si>
    <t>liaowenmei@126.com</t>
  </si>
  <si>
    <t>Liao, Wenmei/AIA-6003-2022</t>
  </si>
  <si>
    <t>National Natural Science Foundation of China [72263017, 71934003]; Jiangxi Provincial Key Laboratory of Conservation Biology [2023SSY02081]; Jiangxi Provincial Forestry Bureau (Innovation Special Project [2023]) [9]; Major Social Science Projects of Jiangxi Province [23ZK07]; Postgraduate Innovation Special Funding Project of School of Economics and Management, Jiangxi Agricultural University [JG2024003]</t>
  </si>
  <si>
    <t>National Natural Science Foundation of China(National Natural Science Foundation of China (NSFC)); Jiangxi Provincial Key Laboratory of Conservation Biology; Jiangxi Provincial Forestry Bureau (Innovation Special Project [2023]); Major Social Science Projects of Jiangxi Province; Postgraduate Innovation Special Funding Project of School of Economics and Management, Jiangxi Agricultural University</t>
  </si>
  <si>
    <t>This research was funded by the National Natural Science Foundation of China (72263017, 71934003), Jiangxi Provincial Key Laboratory of Conservation Biology (No. 2023SSY02081), the Jiangxi Provincial Forestry Bureau (Innovation Special Project [2023] No. 9), Major Social Science Projects of Jiangxi Province (23ZK07), and the Postgraduate Innovation Special Funding Project of School of Economics and Management, Jiangxi Agricultural University (JG2024003).</t>
  </si>
  <si>
    <t>e0325026</t>
  </si>
  <si>
    <t>10.1371/journal.pone.0325026</t>
  </si>
  <si>
    <t>4NH6V</t>
  </si>
  <si>
    <t>WOS:001522088600001</t>
  </si>
  <si>
    <t>Gabetto, FP; Tenelli, S; Netto-Ferreira, JB; Junior, JM; Almeida, OAC; Cosenza, ML; Strauss, M; Carvalho, JLN</t>
  </si>
  <si>
    <t>Gabetto, Fernanda Palmeira; Tenelli, Sarah; Netto-Ferreira, Julia Barra; Martins Junior, Joaquim; Almeida, Octavio Augusto Costa; Cosenza, Marcela Lamas; Strauss, Mathias; Carvalho, Joao Luis Nunes</t>
  </si>
  <si>
    <t>Biochar from crop residues mitigates N2O emissions and increases carbon content in tropical soils</t>
  </si>
  <si>
    <t>scanning electron microscopy; functional groups; XPS; high-throughput sequencing; MEV</t>
  </si>
  <si>
    <t>STABILITY; BIOMASS; STRAW; SANDY</t>
  </si>
  <si>
    <t>The application of biochar may offer a cost-effective solution to decrease nitrous oxide (N2O) emissions in agriculture soils while having the potential to enhance soil carbon (C) accumulation. Biochar can be produced primarily from a range of agricultural and woody residual biomass, potentially resulting in biochar types with distinct properties. This study evaluated the effects of four different biochar types on soil N2O emissions, C storage, and diversity of the soil microbial community in a tropical environment. A greenhouse experiment with sugarcane plants was conducted with six treatments: soil only (CTR); soil + N fertilizer (NF); NF + sugarcane straw biochar (NF+SB); NF + sugarcane bagasse biochar (NF+BB); NF + Pinus residue biochar (NF+PB); and NF + eucalyptus residue biochar (NF+EB). Regardless of the origin of the feedstock, all biochar reduced the cumulative N2O emissions by 25% to 50% in comparison with the nitrogen-fertilized treatment. Only NF+EB registered higher N2O emissions than NF+SB. The feedstock material also influenced the chemical properties of biochar, showing a negative correlation between oxidized functional groups and N2O emissions. Variations in the physicochemical properties of biochar did not affect soil C levels or microbial diversity, as all treatments with biochar presented similar results. All biochar types increased soil C levels, but only those derived from wood residues showed higher C content than CTR and NF. Despite biochar having no effects on overall soil microbiome diversity, the amendment tended to increase the abundance of Bacteroidetes and Proteobacteria, while suppressing the ammonia-oxidizing phylum Thaumarchaeota. Biochar application had no significant effect on ammonium availability; however, it exhibited the capacity to retain nitrate. The application of biochar in tropical soils can therefore be considered a nature-based solution to decrease N2O emissions and increase C levels without changing microbial diversity.</t>
  </si>
  <si>
    <t>[Gabetto, Fernanda Palmeira; Tenelli, Sarah; Martins Junior, Joaquim; Almeida, Octavio Augusto Costa; Carvalho, Joao Luis Nunes] Brazilian Ctr Res Energy &amp; Mat LNBR CNPEM, Brazilian Biorenewables Natl Lab, Campinas, Brazil; [Gabetto, Fernanda Palmeira; Tenelli, Sarah] Univ Sao Paulo ESALQ USP, Luiz de Queiroz Coll Agr, Dept Soil Sci, Piracicaba, Brazil; [Netto-Ferreira, Julia Barra] Univ Florida, Dept Soil Water &amp; Ecosyst Sci, Gainesville, FL USA; [Cosenza, Marcela Lamas] Univ Campinas UNICAMP, Biol Inst, Campinas, SP, Brazil; [Strauss, Mathias] Brazilian Ctr Res Energy &amp; Mat LNNano CNPEM, Brazilian Nanotechnol Natl Lab, Campinas, Brazil; [Carvalho, Joao Luis Nunes] Univ Sao Paulo, Ctr Carbon Res Trop Agr CCARBON, Piracicaba, Brazil</t>
  </si>
  <si>
    <t>Universidade de Sao Paulo; State University System of Florida; University of Florida; Universidade Estadual de Campinas; Universidade de Sao Paulo</t>
  </si>
  <si>
    <t>Carvalho, JLN (corresponding author), Brazilian Ctr Res Energy &amp; Mat LNBR CNPEM, Brazilian Biorenewables Natl Lab, Giuseppe Maximo Scolfaro St 10000, BR-13083100 Campinas, SP, Brazil.</t>
  </si>
  <si>
    <t>joao.carvalho@lnbr.cnpem.br</t>
  </si>
  <si>
    <t>Almeida, Octávio/F-8536-2017; Martins Junior, Joaquim/G-1319-2010; Gabetto, Fernanda/HHN-7181-2022; Barra Netto-Ferreira, Julia/IUN-5104-2023; Strauss, Mathias/H-9973-2012; Junior, Joaquim/G-1319-2010; Carvalho, João/AAD-5370-2020</t>
  </si>
  <si>
    <t>Martins Junior, Joaquim/0000-0002-6559-8045; Carvalho, João Luís/0000-0001-5089-9411; Palmeira Gabetto, Fernanda/0000-0003-0842-3545; Lamas Cosenza, Marcela/0009-0005-6659-3325; Barra Netto-Ferreira, Julia/0000-0003-3599-567X</t>
  </si>
  <si>
    <t>So Paulo Research Foundation (FAPESP); Embraer SA; Klabin SA; Suzano SA; Petrobras SA; Center for Carbon Research in Tropical Agriculture (CCARBON) - FAPESP [21/10573-4]; FAPESP [2021/02691-7, 2021/11995-0, 2022/07665-7]; National Council for Scientific and Technological Development (CNPq) [314597/2021-2]; CNPq [150892/2022-5]; National Center for Research in Energy and Materials (CNPEM); [2016/50403-2]; Formas [2021-02691] Funding Source: Formas</t>
  </si>
  <si>
    <t>So Paulo Research Foundation (FAPESP)(Fundacao de Amparo a Pesquisa do Estado de Sao Paulo (FAPESP)); Embraer SA; Klabin SA; Suzano SA; Petrobras SA(PetrobrasFundacao de Amparo a Pesquisa do Amapa (FAPEAP)); Center for Carbon Research in Tropical Agriculture (CCARBON) - FAPESP(Fundacao de Amparo a Pesquisa do Estado de Sao Paulo (FAPESP)); FAPESP(Fundacao de Amparo a Pesquisa do Estado de Sao Paulo (FAPESP)); National Council for Scientific and Technological Development (CNPq)(Conselho Nacional de Desenvolvimento Cientifico e Tecnologico (CNPQ)); CNPq(Conselho Nacional de Desenvolvimento Cientifico e Tecnologico (CNPQ)); National Center for Research in Energy and Materials (CNPEM); ; Formas(Swedish Research Council Formas)</t>
  </si>
  <si>
    <t>This research was supported by the S &amp; atilde;o Paulo Research Foundation (FAPESP) (grant number 2016/50403-2) together with four Brazilian companies: Embraer SA, Klabin SA, Petrobras SA, and Suzano SA. We gratefully acknowledge the support of the Center for Carbon Research in Tropical Agriculture (CCARBON) - FAPESP (grant number 21/10573-4). FPG is grateful to FAPESP for providing the research grants (2021/02691-7 and 2021/11995-0). JLNC thanks the National Council for Scientific and Technological Development (CNPq) (grant number 314597/2021-2). ST was supported by scholarships from the CNPq (grant number 150892/2022-5) and FAPESP (grant number 2022/07665-7). We would like to thank Professor Ricardo Soares and Pablo Avendano for providing the biochar and the technicians from the National Center for Research in Energy and Materials (CNPEM) for their support with the research.</t>
  </si>
  <si>
    <t>10.1002/bbb.2734</t>
  </si>
  <si>
    <t>2OS1I</t>
  </si>
  <si>
    <t>WOS:001410671400001</t>
  </si>
  <si>
    <t>Powar, RV; Powar, TR; Bandgar, PS; Patil, SB</t>
  </si>
  <si>
    <t>Powar, R. V.; Powar, T. R.; Bandgar, P. S.; Patil, S. B.</t>
  </si>
  <si>
    <t>Eco-efficiency assessment of the sugarcane production system using a four-step integrated life cycle and data envelopment analysis</t>
  </si>
  <si>
    <t>ENERGY SOURCES PART A-RECOVERY UTILIZATION AND ENVIRONMENTAL EFFECTS</t>
  </si>
  <si>
    <t>Life cycle assessment; data envelopment analysis; eco-efficiency; carbon footprint; LCA plus DEA method</t>
  </si>
  <si>
    <t>OPTIMIZATION APPROACH; CULTIVATION</t>
  </si>
  <si>
    <t>Sugarcane is an energy-intensive crop that requires a large amount of input resources. The production and usage of all these resources are liberated huge amounts of GHGs (Greenhouse gases). Therefore, to address these issues, the objectives of the study were decided to assess the eco-efficiency of the sugarcane crop, quantify the GHG emissions from sugarcane farms, and investigate ways to reduce the GHG emissions from sugarcane farming. LCA+DEA approach was used to evaluate the eco-efficiency of the sugarcane production system using a four-step method. The output-oriented BCC model was selected for benchmarking and estimating the efficiency score of DMUs. The average sugarcane production and carbon emissions of study area were found to be 148.75 t ha(-1) and 3234.83 kg CO2eq ha(-1), respectively. Nitrogen fertilizers contributed highest share in carbon emissions (50.15%), followed by P2O5 (26.98%), diesel (11.72%), K2O5 (6.94%), micro nutrients (2.24%), total machinery (1.14%), and biocides (0.82%), respectively. The average current GHG emissions from the input resources were found to be 1590, 929, 267, 445, and 3231 Kg CO2eq ha(-1) for N, P2O5, K2O, diesel, and total carbon footprint (CF), respectively, and targeted GHG emission from input resources for better performance were 211, 336, 621, 165, and 1333 Kg CO2eq ha(-1), respectively. The GHG emission contribution of N, and P2O5 must be reduced by 86.72% and 63.83%, respectively, to meet the GHG emission target set by the efficient DMUs and additional K2O (57%) might be used for the farming operations. Furthermore, the diesel consumption of agricultural machinery is not possible to reduce because improved mechanization practices in sugarcane farming will increase the diesel consumption.</t>
  </si>
  <si>
    <t>[Powar, R. V.; Patil, S. B.] Dr D Y Patil Coll Agr Engn &amp; Technol Talsande, Dept Farm Machinery &amp; Power Engn, Kolhapur, India; [Powar, T. R.] Gurudatta Agro Tech Wathar, Kolhapur, India; [Bandgar, P. S.] Dr D Y Patil Coll Agr Engn &amp; Technol Talsande, Dept Renewable Energy Sources, Kolhapur, India; [Powar, R. V.] Dr D Y Patil Coll Agr Engn &amp; Technol Talsande, Dept Farm Machinery &amp; Power Engn, Kolhapur 416112, India</t>
  </si>
  <si>
    <t>Powar, RV (corresponding author), Dr D Y Patil Coll Agr Engn &amp; Technol Talsande, Dept Farm Machinery &amp; Power Engn, Kolhapur 416112, India.</t>
  </si>
  <si>
    <t>ranjitpowar56@gmail.com</t>
  </si>
  <si>
    <t>Patil, Sujata/NYS-2681-2025; POWAR, RANJIT/AED-3889-2022</t>
  </si>
  <si>
    <t>Bandgar, Prakash/0000-0001-5275-5577; Powar, Ranjit/0000-0002-8275-7810</t>
  </si>
  <si>
    <t>Dr. D. Y. Patil College of Agricultural Engineering and Technology, Talsande, India</t>
  </si>
  <si>
    <t>The corresponding author acknowledges Dr. D. Y. Patil College of Agricultural Engineering and Technology, Talsande, India, for encouraging and supporting for this study.</t>
  </si>
  <si>
    <t>1556-7036</t>
  </si>
  <si>
    <t>1556-7230</t>
  </si>
  <si>
    <t>ENERG SOURCE PART A</t>
  </si>
  <si>
    <t>Energy Sources Part A-Recovery Util. Environ. Eff.</t>
  </si>
  <si>
    <t>10.1080/15567036.2023.2193154</t>
  </si>
  <si>
    <t>Energy &amp; Fuels; Engineering, Chemical; Environmental Sciences</t>
  </si>
  <si>
    <t>Energy &amp; Fuels; Engineering; Environmental Sciences &amp; Ecology</t>
  </si>
  <si>
    <t>A7ER6</t>
  </si>
  <si>
    <t>WOS:000956718500001</t>
  </si>
  <si>
    <t>Chi, YB; Yang, PL; Ren, SM; Ma, N; Yang, J; Xu, Y</t>
  </si>
  <si>
    <t>Chi, Yanbing; Yang, Peiling; Ren, Shumei; Ma, Ning; Yang, Jing; Xu, Yao</t>
  </si>
  <si>
    <t>Effects of fertilizer types and water quality on carbon dioxide emissions from soil in wheat-maize rotations</t>
  </si>
  <si>
    <t>CO2 emission; Reclaimed water; Forms of fertilizer; Soil properties; Wheat-maize rotation; Yield</t>
  </si>
  <si>
    <t>NITROGEN-FERTILIZATION; RECLAIMED WATER; CO2 EMISSION; N-FERTILIZER; IRRIGATION; TILLAGE; N2O; LAND; CROP; MANAGEMENT</t>
  </si>
  <si>
    <t>The use of fertilizers as addition inputs in agricultural systems can increase the yield of wheat and maize, while also stimulating the emission of carbon dioxide from soil that the main man-made greenhouse gas. Our objectives focused on the impact of different types of synthetic fertilizers and water quality. The purposes were to determine the feasibility of using wasted water for irrigation and to relate CO2 fluxes to the yield of maize and wheat, as well as to select the best fertilizer type with low CO2 emission and high yield. The experiment consisted of a double factors test focusing on four forms of fertilizer (urea, amine and slow release fertilizer) and the quality of water (reclaimed water and underground water). The results showed that the reclaimed water was not significant on the CO2 discharge rate, the maize-wheat yield or the soil properties in 2014 or 2015; however, the CO2 emission increased slightly in 2015. Focusing on fertilizer treatments, the reclaimed water &amp; amine fertilizer treatment (CAF) that had higher cumulative CO2 emissions was 32.75 t.ha(-1) in 2014 and 33.86 t.ha(-1) in 2015. According to the ratio CO2/Y, the slow released fertilizer that reduces CO2 emissions and keeps the yield high is the preferred choice. (C) 2019 Elsevier B.V. All rights reserved.</t>
  </si>
  <si>
    <t>[Chi, Yanbing; Yang, Peiling; Ren, Shumei; Ma, Ning; Yang, Jing; Xu, Yao] China Agr Univ, Coll Water Resources &amp; Civil Engn, 17 Tsinghua East Rd, Beijing, Peoples R China</t>
  </si>
  <si>
    <t>Yang, PL (corresponding author), China Agr Univ, Coll Water Resources &amp; Civil Engn, 17 Tsinghua East Rd, Beijing, Peoples R China.</t>
  </si>
  <si>
    <t>yang-pl@163.com</t>
  </si>
  <si>
    <t>Yang, Pei-Ling/KIG-5763-2024; Chi, Yanbing/GYA-3036-2022</t>
  </si>
  <si>
    <t>National Natural Science Foundation of China [51679239, 51879263]</t>
  </si>
  <si>
    <t>This research was funded by the National Natural Science Foundation of China (Grant No. 51679239 and No. 51879263).</t>
  </si>
  <si>
    <t>10.1016/j.scitotenv.2019.134010</t>
  </si>
  <si>
    <t>JS8VX</t>
  </si>
  <si>
    <t>WOS:000500580700008</t>
  </si>
  <si>
    <t>Dong, WY; Liu, EK; Wang, JB; Yan, CR; Li, J; Zhang, YQ</t>
  </si>
  <si>
    <t>Dong, Wenyi; Liu, Enke; Wang, Jianbo; Yan, Changrong; Li, Juan; Zhang, Yanqing</t>
  </si>
  <si>
    <t>Impact of tillage management on the short- and long-term soil carbon dioxide emissions in the dryland of Loess Plateau in China</t>
  </si>
  <si>
    <t>CO2 emissions; No-tillage; Conventional-tillage; Straw mulching; Loess Plateau</t>
  </si>
  <si>
    <t>NO-TILLAGE; ORGANIC-MATTER; METHANE FLUXES; CONTINUOUS CORN; WATER CONTENT; CO2; RESPIRATION; TEMPERATURE; FIELD; AGROECOSYSTEMS</t>
  </si>
  <si>
    <t>Soil carbon dioxide (CO2) emission from agricultural areas is a complex phenomenon with high temporal and spatial variability. Tillage practices can affect drivers of CO2 production and therefore influence emissions by soils. However, the impact of tillage management on CO2 emissions from soil is uncertain due to specific climate and soil characteristics. A field experiment was initiated in 1992 in Shanxi, China including the no-tillage plots with straw mulching (NT) and conventional-tillage (CT) treatment. In 2012, another treatment (NTO) was conducted during which the straw was not returned to the plots when the winter wheat harvested. The CO2 emissions, soil temperatures and soil moisture content were measured during the fallow and wheat-growing periods from 2013 to 2015. Results showed that the rate of CO2 emissions was significantly higher immediately after tillage operation in the CT treatment. The annual CO2 emission rate in the NT treatment was significantly greater than that in the CT and NTO treatments (P &lt; 0.05). For different season, the highest CO2 emissions rate occurred in summer (0.20 g CO2-C m(-2)h(-1)) while the lowest CO2 emissions rate occurred in winter (0.04 g CO2-C m(-2)h(-1)). These rates were only positively correlated with the soil temperatures (P &lt; 0.05) and not significantly correlated with the soil moisture contents. Our results indicated that NT farming practices demonstrated increases CO2 emissions from soil compared with the CT and NTO treatments under dryland cropping system.</t>
  </si>
  <si>
    <t>[Dong, Wenyi; Liu, Enke; Wang, Jianbo; Yan, Changrong; Zhang, Yanqing] Chinese Acad Agr Sci, Inst Environm &amp; Sustainable Dev Agr, Beijing 100081, Peoples R China; [Dong, Wenyi; Liu, Enke; Wang, Jianbo; Yan, Changrong; Zhang, Yanqing] Minist Agr Peoples Republ China MOA, Key Lab Prevent &amp; Control Residual Pollut Agr Fil, Beijing 100081, Peoples R China; [Li, Juan] Chinese Acad Agr Sci, Inst Agr Resources &amp; Reg Planning, Minist Agr, Key Lab Plant Nutr &amp; Fertilizer, Beijing 100081, Peoples R China</t>
  </si>
  <si>
    <t>Chinese Academy of Agricultural Sciences; Institute of Environment &amp; Sustainable Development in Agriculture, CAAS; Chinese Academy of Agricultural Sciences; Institute of Agricultural Resources &amp; Regional Planning, CAAS</t>
  </si>
  <si>
    <t>Zhang, YQ (corresponding author), Chinese Acad Agr Sci, Inst Environm &amp; Sustainable Dev Agr, Beijing 100081, Peoples R China.</t>
  </si>
  <si>
    <t>zhangyanqing@caas.cn</t>
  </si>
  <si>
    <t>LIU, EK/B-8999-2008</t>
  </si>
  <si>
    <t>Chinese National Scientific Foundation [41601328, 31540053, 31470556]; Chinese Postdoctoral Science Foundation [2016M601182]; Special Fund for Agro-scientific Research in the Public Interest [201503120]; 12th Five-Year Plan of the National Key Technologies R D Program [2012BAD09B01]; Chinese Academy of Agricultural Sciences</t>
  </si>
  <si>
    <t>Chinese National Scientific Foundation; Chinese Postdoctoral Science Foundation(China Postdoctoral Science Foundation); Special Fund for Agro-scientific Research in the Public Interest; 12th Five-Year Plan of the National Key Technologies R D Program; Chinese Academy of Agricultural Sciences</t>
  </si>
  <si>
    <t>The authors sincerely acknowledge the financial support provided by the Chinese National Scientific Foundation (nos. 41601328, 31540053, 31470556), the Chinese Postdoctoral Science Foundation (no. 2016M601182), the Special Fund for Agro-scientific Research in the Public Interest (no. 201503120) and the 12th Five-Year Plan of the National Key Technologies R &amp; D Program (no. 2012BAD09B01). This work was supported by the bio-water conservation and drought agriculture innovation team from the Chinese Academy of Agricultural Sciences. The authors declare that no additional external funding was received for this study.</t>
  </si>
  <si>
    <t>10.1016/j.geoderma.2017.07.036</t>
  </si>
  <si>
    <t>FI5PF</t>
  </si>
  <si>
    <t>WOS:000412035600005</t>
  </si>
  <si>
    <t>Samadpour, E; Zahmatkesh, D; Nemati, MH; Shahir, MH</t>
  </si>
  <si>
    <t>Samadpour, E.; Zahmatkesh, D.; Nemati, M. H.; Shahir, M. H.</t>
  </si>
  <si>
    <t>Determining the Contribution of Ventilation and Insulation of Broiler Breeding Houses in Production Performance Using Analytic Hierarchy Process (AHP)</t>
  </si>
  <si>
    <t>BRAZILIAN JOURNAL OF POULTRY SCIENCE</t>
  </si>
  <si>
    <t>Analytic Hierarchy Process; Broiler; Buildings; Installations; Mechanization</t>
  </si>
  <si>
    <t>GROWTH-PERFORMANCE; PRODUCTION SYSTEMS; AMMONIA EMISSIONS; CHICKS</t>
  </si>
  <si>
    <t>This study was conducted using Analytic Hierarchy Process (AHP) in order to rank broiler breeding farms in Zanjan province, Iran, regarding buildings, installations, and equipment to determine their effects on production factors. Data on 108 farms were collected using designed forms. This data was analyzed based on the effectiveness of each parameter in the production and management category according to experts' opinion. The results indicated that ventilation systems (fans, inlets, and damper) as well as wall and roof insulation in poultry houses, constituted 66% of the technology coefficient. The stocking density increased through improvement of the mechanization coefficient. Most of these farms used longitudinal or tunnel ventilation and a combination of small and large fans. Roof insulation was mostly done using glass wool, and corrugated plastic while installing the heaters outside the poultry house. In these farms, the use of nipple drinkers and plate feeders was more prevalent. Moreover, the results showed that feed conversion and production indices have a significant correlation with mechanization coefficient so that farms with better mechanization coefficients had lower conversion ratio (p=0.04) and higher production indices (p=0.015). In general, the results indicated that ventilation and air inlet systems, as well as wall and roof building technologies have the greatest influence on the mechanization coefficient, while better mechanization coefficients translated into improvements in production efficiency and economic performance of poultry farms.</t>
  </si>
  <si>
    <t>[Samadpour, E.; Zahmatkesh, D.; Shahir, M. H.] Univ Zanjan, Dept Anim Sci, Zanjan, Iran; [Nemati, M. H.] AREEO, Res &amp; Educ Ctr, Dept Agr &amp; Nat Resource, Anim Sci Res Inst, Zanjan, Iran</t>
  </si>
  <si>
    <t>University Zanjan</t>
  </si>
  <si>
    <t>Nemati, MH (corresponding author), AREEO, Anim Sci Res Dept, Zanjan Agr &amp; Nat Resource Res &amp; Educ Ctr, Zanjan, Iran.</t>
  </si>
  <si>
    <t>nemati.mh1354@gmail.com</t>
  </si>
  <si>
    <t>shahir, mohammad/N-4654-2018; Nemati, Mohammad/S-7766-2016</t>
  </si>
  <si>
    <t>FACTA-FUNDACIO ARNCO CIENCIA TECNOLOGIA AVICOLAS</t>
  </si>
  <si>
    <t>CAMPINAS</t>
  </si>
  <si>
    <t>AV ANDRADE NEVES 2501, CASTELO, CAMPINAS, 13070-001 SP, BRAZIL</t>
  </si>
  <si>
    <t>1516-635X</t>
  </si>
  <si>
    <t>1806-9061</t>
  </si>
  <si>
    <t>BRAZ J POULTRY SCI</t>
  </si>
  <si>
    <t>Braz. J. Poult. Sci.</t>
  </si>
  <si>
    <t>APR-JUN</t>
  </si>
  <si>
    <t>10.1590/1806-9061-2017-0593</t>
  </si>
  <si>
    <t>GO6VY</t>
  </si>
  <si>
    <t>WOS:000440191300005</t>
  </si>
  <si>
    <t>Sundaram, PK; Sarkar, B; Parray, RA; Mani, I; Jeet, P; Patel, S; Upadhyaya, A</t>
  </si>
  <si>
    <t>Sundaram, Prem K.; Sarkar, Bikash; Parray, Roaf A.; Mani, Indra; Jeet, Pawan; Patel, Sanjay; Upadhyaya, A.</t>
  </si>
  <si>
    <t>Dynamics of Farm Power Availability in Eastern Region of India</t>
  </si>
  <si>
    <t>farm power; mecha- nization; eastern region of India; mechanical power</t>
  </si>
  <si>
    <t>The agriculture sector in India has witnessed a considerable decline in the use of animal and human power in agriculture related activities. The trend has paved a way for a range of agricultural tools and increased the level of mechanization on Indian farms. However, this increase in mechanization has been skewed towards some states and regions of the country. The eastern region of the country comprising Assam, Bihar, Chhattisgarh, Eastern Uttar Pradesh (UP), Jharkhand, Odisha and West Bengal states, holds promise for a Second Green Revolution in the country. However, the production levels of agriculture have remained low in this region mainly due to lack of location-specific production technologies, natural calamities like floods, waterlogging, drought, inadequate timely supply of critical inputs and social constraints. To improve the productivity in this region, mechanization of farms is of critical importance. The farm power availability in this region has increased from 1.66 to 1.94 kW/ha during 201417. The present study tries to understand the dynamics of farm power availability in eastern region of India, so as to take remedial measures for improved mechanization and in turn crop productivity in the region.</t>
  </si>
  <si>
    <t>[Sundaram, Prem K.; Sarkar, Bikash; Jeet, Pawan; Upadhyaya, A.] ICAR Res Complex Eastern Reg, Div Land &amp; Water Management, Patna, Bihar, India; [Parray, Roaf A.] Indian Agr Res Inst, Div Agr Engn, New Delhi, India; [Mani, Indra] Vasantrao Naik Marathwada Krishi Vidyapeeth, Parbhani, Maharashtra, India; [Patel, Sanjay] Dr RP Cent Agr Univ, Coll Agr Engn, Pusa, Bihar, India</t>
  </si>
  <si>
    <t>Indian Council of Agricultural Research (ICAR); ICAR - ICAR Research Complex for Eastern Region; Indian Council of Agricultural Research (ICAR); ICAR - Indian Agricultural Research Institute</t>
  </si>
  <si>
    <t>Parray, RA (corresponding author), Indian Agr Res Inst, Div Agr Engn, New Delhi, India.</t>
  </si>
  <si>
    <t>rouf.engg@gmail.com</t>
  </si>
  <si>
    <t>Sundaram, Prem/AAX-9465-2020; Parray, Roaf/MBG-4460-2025</t>
  </si>
  <si>
    <t>National Natural Science Foundation of China [51975258]; Priority Academic Program Development of Jiangsu Higher Education Institutions [PAPD-2018-87]; Jiangsu Demonstration Project of Modern Agricultural Machinery Equipment and Technology [NJ2019- 19]; Open Fund of High- tech Key Laboratory of Agricultural Equipment and Intelligentization of Jiangsu Province [JNZ201910]</t>
  </si>
  <si>
    <t>National Natural Science Foundation of China(National Natural Science Foundation of China (NSFC)); Priority Academic Program Development of Jiangsu Higher Education Institutions; Jiangsu Demonstration Project of Modern Agricultural Machinery Equipment and Technology; Open Fund of High- tech Key Laboratory of Agricultural Equipment and Intelligentization of Jiangsu Province</t>
  </si>
  <si>
    <t>This work was supported by a grant from the National Natural Science Foundation of China (No. 51975258) , the Priority Academic Program Development of Jiangsu Higher Education Institutions (No. PAPD-2018-87) , the Jiangsu Demonstration Project of Modern Agricultural Machinery Equipment and Technology (No. NJ2019- 19) , and the Open Fund of High- tech Key Laboratory of Agricultural Equipment and Intelligentization of Jiangsu Province (No. JNZ201910).</t>
  </si>
  <si>
    <t>A0F6G</t>
  </si>
  <si>
    <t>WOS:001279387400001</t>
  </si>
  <si>
    <t>Martin-Gorriz, B; Martínez-Alvarez, V; Maestre-Valero, JF; Gallego-Elvira, B</t>
  </si>
  <si>
    <t>Martin-Gorriz, Bernardo; Martinez-Alvarez, Victoriano; Maestre-Valero, Jose Francisco; Gallego-Elvira, Belen</t>
  </si>
  <si>
    <t>Influence of the Water Source on the Carbon Footprint of Irrigated Agriculture: A Regional Study in South-Eastern Spain</t>
  </si>
  <si>
    <t>agricultural irrigation; climate change; GHG emissions; carbon removal; water transfer; desalination; water-energy nexus</t>
  </si>
  <si>
    <t>GREENHOUSE-GAS EMISSIONS; DESALINATED SEAWATER; MANAGEMENT; SEQUESTRATION; SYSTEMS; ENERGY; AVAILABILITY; CONSEQUENCES; POLICY; FIELD</t>
  </si>
  <si>
    <t>Curbing greenhouse gas (GHG) emissions to combat climate change is a major global challenge. Although irrigated agriculture consumes considerable energy that generates GHG emissions, the biomass produced also represents an important CO2 sink, which can counterbalance the emissions. The source of the water supply considerably influences the irrigation energy consumption and, consequently, the resulting carbon footprint. This study evaluates the potential impact on the carbon footprint of partially and fully replacing the conventional supply from Tagus-Segura water transfer (TSWT) with desalinated seawater (DSW) in the irrigation districts of the Segura River basin (south-eastern Spain). The results provide evidence that the crop GHG emissions depend largely on the water source and, consequently, its carbon footprint. In this sense, in the hypothetical scenario of the TSWT being completely replaced with DSW, GHG emissions may increase by up to 50% and the carbon balance could be reduced by 41%. However, even in this unfavourable situation, irrigated agriculture in the study area could still act as a CO2 sink with a negative total and specific carbon balance of -707,276 t CO2/year and -8.10 t CO2/ha-year, respectively. This study provides significant policy implications for understanding the water-energy-food nexus in water-scarce regions.</t>
  </si>
  <si>
    <t>[Martin-Gorriz, Bernardo; Martinez-Alvarez, Victoriano; Maestre-Valero, Jose Francisco; Gallego-Elvira, Belen] Tech Univ Cartagena, Agr Engn Ctr, Paseo Alfonso XIII 48, Cartagena 30203, Spain</t>
  </si>
  <si>
    <t>Universidad Politecnica de Cartagena</t>
  </si>
  <si>
    <t>Gallego-Elvira, B (corresponding author), Tech Univ Cartagena, Agr Engn Ctr, Paseo Alfonso XIII 48, Cartagena 30203, Spain.</t>
  </si>
  <si>
    <t>b.martin@upct.es; victoriano.martinez@upct.es; josef.maestre@upct.es; belen.gallego@upct.es</t>
  </si>
  <si>
    <t>Martínez-Alvarez, Victoriano/J-8621-2017; VALERO, JOSE/L-3183-2014; Martin-Gorriz, Bernardo/G-2019-2010; Gallego-Elvira, Belen/AAE-6633-2019; Maestre-Valero, Jose Francisco/J-8203-2017</t>
  </si>
  <si>
    <t>Martínez-Alvarez, Victoriano/0000-0002-3413-5494; Martin-Gorriz, Bernardo/0000-0003-2653-5444; Gallego-Elvira, Belen/0000-0002-2328-0354; Maestre-Valero, Jose Francisco/0000-0001-6995-2892</t>
  </si>
  <si>
    <t>Catedra Trasvase y Sostenibilidad-Jose Manuel Claver Valderas of the Technical University of Cartagena; Ministerio de Economia, Industria y Competitividad (MINECO); Agencia Estatal de Investigacion (AEI); Fondo Europeo de Desarrollo Regional (FEDER) [AGL2017-85857C2-2-R, RTC-2017-6192-2]; Ministry of Science, Innovation and University [BEAGAL18/00081]</t>
  </si>
  <si>
    <t>Catedra Trasvase y Sostenibilidad-Jose Manuel Claver Valderas of the Technical University of Cartagena; Ministerio de Economia, Industria y Competitividad (MINECO)(Spanish Government); Agencia Estatal de Investigacion (AEI); Fondo Europeo de Desarrollo Regional (FEDER)(European Union (EU)Spanish Government); Ministry of Science, Innovation and University</t>
  </si>
  <si>
    <t>This study was promoted and funded by the Catedra Trasvase y Sostenibilidad-Jose Manuel Claver Valderas of the Technical University of Cartagena. The study was also supported by the Ministerio de Economia, Industria y Competitividad (MINECO), the Agencia Estatal de Investigacion (AEI) and the Fondo Europeo de Desarrollo Regional (FEDER) under the projects RIDESOST (AGL2017-85857C2-2-R) and SEARRISOST (RTC-2017-6192-2). Gallego-Elvira acknowledges the support from The Ministry of Science, Innovation and University (Beatriz Galindo Fellowship BEAGAL18/00081).S</t>
  </si>
  <si>
    <t>10.3390/agronomy11020351</t>
  </si>
  <si>
    <t>QM7ZF</t>
  </si>
  <si>
    <t>WOS:000621992400001</t>
  </si>
  <si>
    <t>Engström, K; Lindeskog, M; Olin, S; Hassler, J; Smith, B</t>
  </si>
  <si>
    <t>Engstrom, Kerstin; Lindeskog, Mats; Olin, Stefan; Hassler, John; Smith, Benjamin</t>
  </si>
  <si>
    <t>Impacts of climate mitigation strategies in the energy sector on global land use and carbon balance</t>
  </si>
  <si>
    <t>EARTH SYSTEM DYNAMICS</t>
  </si>
  <si>
    <t>AGRICULTURAL LAND; CO2; UNCERTAINTIES; ECOSYSTEMS; POTENTIALS; SCENARIOS; CROPLAND; FOREST; YIELDS; MODEL</t>
  </si>
  <si>
    <t>Reducing greenhouse gas emissions to limit damage to the global economy climate-change-induced and secure the livelihoods of future generations requires ambitious mitigation strategies. The introduction of a global carbon tax on fossil fuels is tested here as a mitigation strategy to reduce atmospheric CO2 concentrations and radiative forcing. Taxation of fossil fuels potentially leads to changed composition of energy sources, including a larger relative contribution from bioenergy. Further, the introduction of a mitigation strategy reduces climate-change-induced damage to the global economy, and thus can indirectly affect consumption patterns and investments in agricultural technologies and yield enhancement. Here we assess the implications of changes in bioenergy demand as well as the indirectly caused changes in consumption and crop yields for global and national cropland area and terrestrial biosphere carbon balance. We apply a novel integrated assessment modelling framework, combining three previously published models (a climate-economy model, a socio-economic land use model and an ecosystem model). We develop reference and mitigation scenarios based on the narratives and key elements of the shared socio-economic pathways (SSPs). Taking emissions from the land use sector into account, we find that the introduction of a global carbon tax on the fossil fuel sector is an effective mitigation strategy only for scenarios with low population development and strong sustainability criteria (SSP1 Taking the green road). For scenarios with high population growth, low technological development and bioenergy production the high demand for cropland causes the terrestrial biosphere to switch from being a carbon sink to a source by the end of the 21st century.</t>
  </si>
  <si>
    <t>[Engstrom, Kerstin; Lindeskog, Mats; Olin, Stefan; Smith, Benjamin] Lund Univ, Dept Phys Geog &amp; Ecosyst Sci, S-22362 Lund, Sweden; [Hassler, John] Stockholm Univ, Inst Int Econ Studies, Stockholm, Sweden</t>
  </si>
  <si>
    <t>Lund University; Stockholm University</t>
  </si>
  <si>
    <t>Engström, K (corresponding author), Lund Univ, Dept Phys Geog &amp; Ecosyst Sci, S-22362 Lund, Sweden.</t>
  </si>
  <si>
    <t>kerstin.engstrom@nateko.lu.se</t>
  </si>
  <si>
    <t>; Smith, Benjamin/I-1212-2016</t>
  </si>
  <si>
    <t>Smith, Benjamin/0000-0002-6987-5337; Olin, Stefan/0000-0002-8621-3300</t>
  </si>
  <si>
    <t>Formas Strong Research Environment grant Land use today and tomorrow (LUsTT) [dnr: 211-2009-1682]; Swedish Research Programme for Climate, Impacts and Adaptation (SWECIA) - Foundation for Strategic Environmental Research (Mistra); Economic and Social Research Council [ES/L009633/1] Funding Source: researchfish; ESRC [ES/L009633/1] Funding Source: UKRI</t>
  </si>
  <si>
    <t>Formas Strong Research Environment grant Land use today and tomorrow (LUsTT); Swedish Research Programme for Climate, Impacts and Adaptation (SWECIA) - Foundation for Strategic Environmental Research (Mistra); Economic and Social Research Council(UK Research &amp; Innovation (UKRI)Economic &amp; Social Research Council (ESRC)); ESRC(UK Research &amp; Innovation (UKRI)Economic &amp; Social Research Council (ESRC))</t>
  </si>
  <si>
    <t>We acknowledge funding from the Formas Strong Research Environment grant Land use today and tomorrow (LUsTT; dnr: 211-2009-1682) and the Swedish Research Programme for Climate, Impacts and Adaptation (SWECIA) funded by the Foundation for Strategic Environmental Research (Mistra). Peter Alexander is thanked for supply of initial values of bioenergy production, calculated from FAOSTAT (2015). This study is a contribution to the Strategic Research Area Biodiversity and Ecosystem Services in a Changing Climate (BECC).</t>
  </si>
  <si>
    <t>2190-4979</t>
  </si>
  <si>
    <t>2190-4987</t>
  </si>
  <si>
    <t>EARTH SYST DYNAM</t>
  </si>
  <si>
    <t>Earth Syst. Dynam.</t>
  </si>
  <si>
    <t>SEP 5</t>
  </si>
  <si>
    <t>10.5194/esd-8-773-2017</t>
  </si>
  <si>
    <t>FF8FH</t>
  </si>
  <si>
    <t>WOS:000409250800001</t>
  </si>
  <si>
    <t>Huang, DX</t>
  </si>
  <si>
    <t>Huang, Dexin</t>
  </si>
  <si>
    <t>Coupling coordination analysis between urban park wetland water ecological construction and carbon emissions</t>
  </si>
  <si>
    <t>DESALINATION AND WATER TREATMENT</t>
  </si>
  <si>
    <t>Wetland; Water ecology; Water resource allocation; Carbon emission; Coupling coordination</t>
  </si>
  <si>
    <t>NITROGEN; SOIL</t>
  </si>
  <si>
    <t>The low-carbon design of wetland park landscape is very important to maintain the water balance and carbon balance of human and ecosystem. The combination of an increase in carbon emissions and a decrease in carbon capture increases net carbon emissions. Based on the coupling and coordination analysis between water ecological construction and carbon emission of urban park wetland ecological landscape, this study constructed a carbon-water (CW) coupling simulation model of urban park wetland ecological landscape, proposed a low-carbon urban park wetland water ecological model, and then analyzed the coupling effect of carbon and water and carbon emission prediction of urban park wetland. The above method is supported by the recognition technology of CW coupling mechanism of urban park wetland and the reasonable allocation technology of water resources based on low-carbon model, and the technical innovation is realized in these two aspects. Finally, the low-carbon water resource allocation plan of urban park wetland is discussed. The results show that economic development and energy consumption will be developed according to the extended or low-carbon model, and the agricultural and forestry irrigation quota will be reduced by 0.01 similar to 0.02 mm and 10,000 m(3) / ha, respectively. The irrigation water utilization coefficient, the water consumption rate of canal system and channel system were increased to 0.74 and 0.85 respectively. The technological innovation and results of this study provide new ideas and methods for low- carbon landscape design and water resource management of wetland landscape ecology.</t>
  </si>
  <si>
    <t>[Huang, Dexin] Anhui Xinhua Univ, Hefei 230088, Peoples R China</t>
  </si>
  <si>
    <t>Anhui Xinhua University</t>
  </si>
  <si>
    <t>Huang, DX (corresponding author), Anhui Xinhua Univ, Hefei 230088, Peoples R China.</t>
  </si>
  <si>
    <t>15156882951@163.com</t>
  </si>
  <si>
    <t>A research project on the innovation and development of social science in Anhui Province [2021CX146]</t>
  </si>
  <si>
    <t>A research project on the innovation and development of social science in Anhui Province</t>
  </si>
  <si>
    <t>This research is supported by: A research project on the innovation and development of social science in Anhui Province in 2021: Research on Wetland Landscape Planning in the Ecological Demonstration Zone of Huanchao Lake under the Background of Dual Carbon (Project No. 2021CX146).</t>
  </si>
  <si>
    <t>1944-3994</t>
  </si>
  <si>
    <t>1944-3986</t>
  </si>
  <si>
    <t>DESALIN WATER TREAT</t>
  </si>
  <si>
    <t>Desalin. Water Treat.</t>
  </si>
  <si>
    <t>10.5004/dwt.2023.30028</t>
  </si>
  <si>
    <t>Engineering, Chemical; Water Resources</t>
  </si>
  <si>
    <t>Engineering; Water Resources</t>
  </si>
  <si>
    <t>KE3W2</t>
  </si>
  <si>
    <t>WOS:001178252400029</t>
  </si>
  <si>
    <t>Sims, B; Kienzle, J</t>
  </si>
  <si>
    <t>Sims, Brian; Kienzle, Josef</t>
  </si>
  <si>
    <t>Sustainable Agricultural Mechanization for Smallholders: What Is It and How Can We Implement It?</t>
  </si>
  <si>
    <t>climate smart agriculture; environmental protection; mechanization service delivery; public-private partnerships; knowledge creation and dissemination; agricultural transformation</t>
  </si>
  <si>
    <t>MACHINERY INDUSTRY; SITUATION; CHINA</t>
  </si>
  <si>
    <t>Smallholder farmers are the main producers of the world's food and they will have to increase production by up to 100 percent by 2050 to feed the growing population. This must be achieved while preserving natural resources and that is why sustainable agricultural mechanization (SAM) will be fundamental to the process. SAM is climate-smart and environmentally benign and essentially means no-till conservation agriculture, which requires specific mechanization inputs. Principally, these are seeders and planters capable of penetrating soil surface vegetative cover to deposit seed and fertilizer at the required depth and spacing; and equipment for management of cover crops and weeds. Mechanization is required not only for crop production, but also for processing and along the entire value chain. Mechanization inputs are usually expensive and so specialist service provision will be the indicated way forward. This will need collaboration from both the private and public sectors and will involve public-private partnerships to be developed in one form or another. Given the poor track record of public sector mechanization provision, the delivery of SAM should be firmly in the hands of the private sector that should be committed to SAM principles or otherwise be incentivized to the concept through smart subsidies. Improved information flows via smallholder farmer-friendly innovation platforms; and continuing development and testing of SAM technologies via regional centres of excellence will both be requiredespecially for sub-Saharan Africa.</t>
  </si>
  <si>
    <t>[Sims, Brian] 3 Bourneside, Bedford MK41 7EG, England; [Kienzle, Josef] FAO, Plant Prod &amp; Protect Div, Viale Termi di Caracalla, I-00153 Rome, Italy</t>
  </si>
  <si>
    <t>Food &amp; Agriculture Organization of the United Nations (FAO)</t>
  </si>
  <si>
    <t>Sims, B (corresponding author), 3 Bourneside, Bedford MK41 7EG, England.</t>
  </si>
  <si>
    <t>BrianGSims@aol.com; Josef.Kienzle@fao.org</t>
  </si>
  <si>
    <t>Si, Brian/0000-0003-2652-1915; Kienzle, Josef/0000-0001-8960-9303</t>
  </si>
  <si>
    <t>10.3390/agriculture7060050</t>
  </si>
  <si>
    <t>WOS:000404449400004</t>
  </si>
  <si>
    <t>Ziauddin, ATM; Zia, T</t>
  </si>
  <si>
    <t>Ziauddin, A. T. M.; Zia, Tasnia</t>
  </si>
  <si>
    <t>Present Status of Agricultural Mechanization in Bangladesh</t>
  </si>
  <si>
    <t>Agricultural mechanization program has been accelerated in Bangladesh in the recent years. Its level of overall development is still relatively low. Over the last two decades, the use of mechanical farm power has increased rapidly. Irrigation is now practically fully mechanised as more than one and half million diesel and electric driven pumps lift ground and surface water. Recent survey reports indicate that by 2011 about 80 % of the land was tilled by power tillers and tractors while marginal farmers have equal access to these machines through private contractor services. A good progress of mechanization has also been made in weeding, fertilizering, spraying, harvesting, threshing, drying, and transporting activities. In the past, women spent many hours processing rice with the foot operated 'dheki' but today rice hullers and mills have taken over this task. No doubt Bangladeshi farmers and rural entrepreneurs will further mechanize horizontally some of these operations to reduce costs and increase productivity through timeliness of operation. In this paper, the trends of agricultural mechanization, growth of machinery and spare parts industry, promotion of agri-machinery in Bangladesh is described. Promotion of custom hire services of field machinery and development of remote controlled low powered devices as a future strategy for reducing cost and human input energy is also discussed. Current mechanization programs and policies of the government in favour of such a growing and demanding agricultural mechanization have been carefully reviewed.</t>
  </si>
  <si>
    <t>[Ziauddin, A. T. M.] Bangladesh Agr Univ, Dept Farm Power &amp; Machinery, Mymensingh, Bangladesh; [Zia, Tasnia] Univ Dhaka, Dept Stat, Dhaka 1000, Bangladesh</t>
  </si>
  <si>
    <t>Bangladesh Agricultural University (BAU); University of Dhaka</t>
  </si>
  <si>
    <t>Ziauddin, ATM (corresponding author), Bangladesh Agr Univ, Dept Farm Power &amp; Machinery, Mymensingh, Bangladesh.</t>
  </si>
  <si>
    <t>ziauddin_atm@yahoo.com</t>
  </si>
  <si>
    <t>AJ4RP</t>
  </si>
  <si>
    <t>WOS:000337663800006</t>
  </si>
  <si>
    <t>Yagasaki, Y; Shirato, Y</t>
  </si>
  <si>
    <t>Yagasaki, Y.; Shirato, Y.</t>
  </si>
  <si>
    <t>Assessment on the rates and potentials of soil organic carbon sequestration in agricultural lands in Japan using a process-based model and spatially explicit land-use change inventories - Part 1: Historical trend and validation based on nation-wide soil monitoring</t>
  </si>
  <si>
    <t>TERRESTRIAL ECOSYSTEMS; CLIMATE</t>
  </si>
  <si>
    <t>In order to estimate a country-scale soil organic carbon (SOC) stock change in agricultural lands in Japan, while taking into account the effect of land-use changes, climate, different agricultural activities and the nature of soils, a spatially explicit model simulation system was developed using Rothamsted Carbon Model (RothC) with an integration of spatial and temporal inventories. Simulation was run from 1970 to 2008 with historical inventories. Simulated SOC stock was compared with observations in a nation-wide stationary monitoring program conducted during 1979-1998. Historical land-use change, characterized by a large decline in the area of paddy fields as well as a small but continuous decline in the area of orchards, occurred along with a relatively large increase in upland crop fields, unmanaged grasslands, and settlements (i.e. conversion of agricultural fields due to urbanization or abandoning). Results of the simulation on SOC stock change under varying land-use change indicated that land-use conversion from agricultural fields to settlements or other lands, as well as that from paddy fields to croplands have likely been an increasing source of CO2 emission, due to the reduction of organic carbon input to soils and the enhancement of SOC decomposition through transition of soil environment from anaerobic to aerobic conditions. The area-weighted mean concentrations of the simulated SOC stocks calculated for major soil groups under paddy fields and upland crop fields were comparable to those observed in the monitoring. Whereas in orchards, the simulated SOC stocks were underestimated. As the results of simulation indicated that SOC stock change under managed grasslands and settlements has been likely a major sink and source of CO2 emission at country-scale, respectively, validation of SOC stock change under these land-use types, which could not have been accomplished due to limited availability or a lack of measurement, remains a forthcoming challenge.</t>
  </si>
  <si>
    <t>[Yagasaki, Y.; Shirato, Y.] Natl Inst Agroenvironm Sci, Nat Resources Inventory Ctr, Tsukuba, Ibaraki 3058604, Japan</t>
  </si>
  <si>
    <t>National Institute for Agro-Environmental Sciences (NIAES) Japan</t>
  </si>
  <si>
    <t>Yagasaki, Y (corresponding author), Kyoto Univ, Grad Sch Global Environm Studies, Sakyo Ku, Kyoto 6068501, Japan.</t>
  </si>
  <si>
    <t>yagasaki.yasumi.7n@kyoto-u.ac.jp</t>
  </si>
  <si>
    <t>Shirato, Yasuhito/0000-0002-4918-6454</t>
  </si>
  <si>
    <t>research project Development of Mitigation and Adaptation Techniques to Global Warming in the Sectors of Agriculture, Forestry, and Fisheries, the Ministry of Agriculture, Forestry and Fisheries, Japan</t>
  </si>
  <si>
    <t>Authors acknowledge to two anonymous referees for their comment and advice useful to improve the quality of our paper. We also acknowledge to Shigeto Sudo at National Institute for Agro-Environmental Sciences (NIAES) for his assistance in setting up server computing system and database environment for simulation and processing of geographical information, Kazuyuki Yagi at NIAES for useful comments to improve quality of manuscript, Hiroshi Obara and Yusuke Takata at NIAES for providing soil gravel content data set collected in the recent soil survey project in Japan. This work was funded by the research project Development of Mitigation and Adaptation Techniques to Global Warming in the Sectors of Agriculture, Forestry, and Fisheries, the Ministry of Agriculture, Forestry and Fisheries, Japan.</t>
  </si>
  <si>
    <t>10.5194/bg-11-4429-2014</t>
  </si>
  <si>
    <t>AO8MP</t>
  </si>
  <si>
    <t>WOS:000341608900011</t>
  </si>
  <si>
    <t>Rosa, L; Mazzotti, M</t>
  </si>
  <si>
    <t>Rosa, Lorenzo; Mazzotti, Marco</t>
  </si>
  <si>
    <t>Potential for hydrogen production from sustainable biomass with carbon capture and storage</t>
  </si>
  <si>
    <t>BECCS; Hydrogen; Carbon dioxide removal; Sustainable biomass; Carbon capture and storage</t>
  </si>
  <si>
    <t>RENEWABLE POWER; GASIFICATION; TRANSITION; ECONOMICS; OPTIONS; SYSTEM; BECCS; IRON</t>
  </si>
  <si>
    <t>Low-carbon hydrogen is an essential element in the transition to net-zero emissions by 2050. Hydrogen pro-duction from biomass is a promising bio-energy with carbon capture and storage (BECCS) scheme that could produce low-carbon hydrogen and generate the carbon dioxide removal (CDR) envisioned to be required to offset hard-to-abate emissions. Here, we design a BECCS supply chain for hydrogen production from biomass with carbon capture and storage and quantify, at high spatial resolution, the technical potential for hydrogen pro-duction and CDR in Europe. We consider sustainable biomass feedstocks that have minimal impacts on food security and biodiversity, namely agricultural residues and waste. We find that this BECCS supply chain can produce up to 12.5 Mtons of H-2 per year (currently ~10 Mtons of H-2 per year are used in Europe) and remove up to 133 Mtons CO2 per year from the atmosphere (or 3% of European total greenhouse gas emissions). We then perform a geospatial analysis to quantify transportation distances between where biomass feedstocks are located and potential hydrogen users, and find that 20% of hydrogen potential is located within 25 km from hard-to-electrify industries. We conclude that BECCS supply chains for hydrogen production from biomass represent an overlooked near-term opportunity to generate carbon dioxide removal and low-carbon hydrogen.</t>
  </si>
  <si>
    <t>[Rosa, Lorenzo; Mazzotti, Marco] Swiss Fed Inst Technol, Inst Energy &amp; Proc Engn, CH-8092 Zurich, Switzerland</t>
  </si>
  <si>
    <t>Swiss Federal Institutes of Technology Domain; ETH Zurich</t>
  </si>
  <si>
    <t>Rosa, L (corresponding author), Swiss Fed Inst Technol, Inst Energy &amp; Proc Engn, CH-8092 Zurich, Switzerland.</t>
  </si>
  <si>
    <t>lrosa@carnegiescience.edu; marco.mazzotti@ipe.mavt.ethz.ch</t>
  </si>
  <si>
    <t>Rosa, Lorenzo/0000-0002-1280-9945</t>
  </si>
  <si>
    <t>Swiss Federal Office of Energy's SWEET program</t>
  </si>
  <si>
    <t>This work was partially sponsored by the Swiss Federal Office of Energy's SWEET program and performed in the PATHFNDR consortium.</t>
  </si>
  <si>
    <t>10.1016/j.rser.2022.112123</t>
  </si>
  <si>
    <t>0S9MK</t>
  </si>
  <si>
    <t>WOS:000786594900001</t>
  </si>
  <si>
    <t>Dang, DM; Macdonald, B; Warneke, S; White, I</t>
  </si>
  <si>
    <t>Duy Minh Dang; Macdonald, Ben; Warneke, Soren; White, Ian</t>
  </si>
  <si>
    <t>Available carbon and nitrate increase greenhouse gas emissions from soils affected by salinity</t>
  </si>
  <si>
    <t>denitrification; electron donor; methanogenesis; osmotic potential; submergence</t>
  </si>
  <si>
    <t>SEA-LEVEL RISE; NITROGEN MINERALIZATION; ORGANIC-MATTER; DENITRIFICATION; DYNAMICS; NITRIFICATION; SEDIMENTS; MOISTURE; IMPACT; SALTS</t>
  </si>
  <si>
    <t>Sea-level rise and saline water intrusion have caused a shortage of fresh water and affected agricultural areas globally. Besides inundation, the salinity could alter soil nitrogen and carbon cycling in coastal soils. To examine the effect of salinity, an incubation experiment was used to investigate soil nitrogen and carbon cycling from an acid sulfate soil and an alluvial soil with and without additional nitrogen and carbon sources. Four levels of saline solution of 0.03, 10, 16 and 21 dS m(-1) were used to submerge acid sulfate and alluvial soil samples in a 125-mL jar. The experimental jars were incubated in the dark at 25 degrees C. Gas samples were collected over 4 weeks and analysed for nitrous oxide (N2O), carbon dioxide (CO2) and methane (CH4). The results showed that salinity significantly decreased N2O emissions from the acid sulfate soil but did not affect emissions from the alluvial soil. Addition of glucose and nitrate enhanced N2O production in both salt-affected soils. Emissions of CO2 were not different among the salinity treatments, whereas available carbon and nitrate promoted soil respiration. Changes in CH4 fluxes over the 4-week incubation were the same for both soils, and substrate addition did not affect emissions in either soil. The findings indicate that salinity has altered carbon and nitrogen cycles in the acid sulfate soil, and future fertiliser and crop management will need to account for the changed nutrient cycling caused by saline water intrusion and climate change.</t>
  </si>
  <si>
    <t>[Duy Minh Dang; Macdonald, Ben; Warneke, Soren] CSIRO Agr Flagship, Canberra, ACT 2601, Australia; [Duy Minh Dang; White, Ian] Australian Natl Univ, Fenner Sch Environm &amp; Soc, Canberra, ACT 0200, Australia; [Duy Minh Dang] Can Tho Univ, Soil Sci Dept, Coll Agr &amp; Appl Biol, Can Tho, Vietnam</t>
  </si>
  <si>
    <t>Commonwealth Scientific &amp; Industrial Research Organisation (CSIRO); Australian National University; Can Tho University</t>
  </si>
  <si>
    <t>Dang, DM (corresponding author), CSIRO Agr Flagship, Canberra, ACT 2601, Australia.;Dang, DM (corresponding author), Australian Natl Univ, Fenner Sch Environm &amp; Soc, Canberra, ACT 0200, Australia.;Dang, DM (corresponding author), Can Tho Univ, Soil Sci Dept, Coll Agr &amp; Appl Biol, Can Tho, Vietnam.</t>
  </si>
  <si>
    <t>ddminh@ctu.edu.vn</t>
  </si>
  <si>
    <t>Macdonald, Ben/G-1078-2012; , Dang Duy Minh/HFZ-9484-2022</t>
  </si>
  <si>
    <t>White, Ian/0000-0002-5455-4514; Macdonald, Ben/0000-0001-8105-0779;</t>
  </si>
  <si>
    <t>Australian Centre for International Agricultural Research (ACIAR)</t>
  </si>
  <si>
    <t>This project was funded by Australian Centre for International Agricultural Research (ACIAR). We are thankful for the helpful reviews and comments from our CSIRO colleagues and two anonymous reviewers.</t>
  </si>
  <si>
    <t>10.1071/SR16010</t>
  </si>
  <si>
    <t>EI0YY</t>
  </si>
  <si>
    <t>WOS:000392202900006</t>
  </si>
  <si>
    <t>Goda, MN; Alqarni, LS; Al-Namshah, KS; Algethami, FK; Ibrahim, H; El-Wekil, MM; Ali, AMBH</t>
  </si>
  <si>
    <t>Goda, Mohamed N.; Alqarni, Laila S.; Al-Namshah, K. S.; Algethami, Faisal K.; Ibrahim, Hossieny; El-Wekil, Mohamed M.; Ali, Al-Montaser Bellah H.</t>
  </si>
  <si>
    <t>Dual-emission ratiometric fluorescent sensor based on tannic acid carbon dots and eosin for selective detection of paraquat in water and food samples</t>
  </si>
  <si>
    <t>RSC ADVANCES</t>
  </si>
  <si>
    <t>DIQUAT</t>
  </si>
  <si>
    <t>Paraquat, a highly toxic herbicide widely used in agriculture, poses severe health risks necessitating sensitive analytical methods for residue monitoring in environmental and food samples. This work presents a novel dual-emission ratiometric fluorescent sensor combining tannic acid-derived carbon dots (TA-CDs) and eosin for rapid paraquat detection. The dicationic paraquat simultaneously induces aggregation-enhanced fluorescence of TA-CDs at 445 nm while quenching eosin emission at 545 nm, generating a self-calibrated ratiometric signal (F445/F545). The TA-CDs were comprehensively characterized using TEM, Raman, FTIR, XPS, and spectroscopic techniques. Under optimized conditions, the sensor exhibited excellent linearity (5.0-150.0 nM, R2 = 0.9973) with a detection limit of 2.11 nM. The mechanism was validated through spectral overlap analysis, zeta potential measurements, and TEM imaging. Exceptional selectivity was demonstrated against common interferants due to the unique dual-recognition requirement. The method achieved excellent recoveries of 96.4% to 98.2% in Nile River water and 96.9% to 99.6% in cabbage extracts. Application to agricultural cabbage samples at different days post-application revealed decreasing paraquat residues from above to below the maximum residue limit, demonstrating practical capability for food safety monitoring. This metal-free, cost-effective platform offers rapid response and simplified operation for routine paraquat surveillance in environmental and agricultural systems.</t>
  </si>
  <si>
    <t>[Goda, Mohamed N.; Alqarni, Laila S.; Al-Namshah, K. S.; Algethami, Faisal K.] Imam Mohammad Ibn Saud Islamic Univ IMSIU, Coll Sci, Dept Chem, Riyadh 11623, Saudi Arabia; [Ibrahim, Hossieny] Badr Univ Assiut, Sch Biotechnol, Assiut 2014101, Egypt; [El-Wekil, Mohamed M.; Ali, Al-Montaser Bellah H.] Assiut Univ, Fac Pharm, Dept Pharmaceut Analyt Chem, Assiut, Egypt</t>
  </si>
  <si>
    <t>Imam Mohammad Ibn Saud Islamic University (IMSIU); Egyptian Knowledge Bank (EKB); Assiut University</t>
  </si>
  <si>
    <t>Ali, AMBH (corresponding author), Assiut Univ, Fac Pharm, Dept Pharmaceut Analyt Chem, Assiut, Egypt.</t>
  </si>
  <si>
    <t>Almontaser_bellah@aun.edu.eg</t>
  </si>
  <si>
    <t>El-Wekil, Mohamed/GSM-7765-2022; Alqarni, Laila/HPC-3007-2023; Goda, Mohamed/GQH-3500-2022; Algethami, Faisal/GQH-6106-2022; Mohamed, Reda/H-5721-2012</t>
  </si>
  <si>
    <t>Deanship of Scientific Research at Imam Mohammad Ibn Saud Islamic University (IMSIU) [IMSIU-DDRSP2501]</t>
  </si>
  <si>
    <t>Deanship of Scientific Research at Imam Mohammad Ibn Saud Islamic University (IMSIU)(Imam Mohammad Ibn Saud Islamic University (IMSIU))</t>
  </si>
  <si>
    <t>This work was supported and funded by the Deanship of Scientific Research at Imam Mohammad Ibn Saud Islamic University (IMSIU) (grant number IMSIU-DDRSP2501).</t>
  </si>
  <si>
    <t>2046-2069</t>
  </si>
  <si>
    <t>RSC ADV</t>
  </si>
  <si>
    <t>RSC Adv.</t>
  </si>
  <si>
    <t>NOV 11</t>
  </si>
  <si>
    <t>10.1039/d5ra07809a</t>
  </si>
  <si>
    <t>9OU5F</t>
  </si>
  <si>
    <t>WOS:001611454800001</t>
  </si>
  <si>
    <t>Antonini, C; Treyer, K; Streb, A; van der Spek, M; Bauer, C; Mazzotti, M</t>
  </si>
  <si>
    <t>Antonini, Cristina; Treyer, Karin; Streb, Anne; van der Spek, Mijndert; Bauer, Christian; Mazzotti, Marco</t>
  </si>
  <si>
    <t>Hydrogen production from natural gas and biomethane with carbon capture and storage - A techno-environmental analysis</t>
  </si>
  <si>
    <t>SUSTAINABLE ENERGY &amp; FUELS</t>
  </si>
  <si>
    <t>LIFE-CYCLE ASSESSMENT; EUROPEAN AGRICULTURAL SOILS; POWER-TO-GAS; CO2 CAPTURE; TECHNOECONOMIC ASSESSMENT; BIOGAS PRODUCTION; PSA EXPERIMENTS; PLANTS; GENERATION; FOOTPRINT</t>
  </si>
  <si>
    <t>This study presents an integrated techno-environmental assessment of hydrogen production from natural gas and biomethane, combined with CO2 capture and storage (CCS). We have included steam methane reforming (SMR) and autothermal reforming (ATR) for syngas production. CO2 is captured from the syngas with a novel vacuum pressure swing adsorption (VPSA) process, that combines hydrogen purification and CO2 separation in one cycle. As comparison, we have included cases with conventional amine-based technology. We have extended standard attributional Life Cycle Assessment (LCA) following ISO standards with a detailed carbon balance of the biogas production process (via digestion) and its by-products. The results show that the life-cycle greenhouse gas (GHG) performance of the VPSA and amine-based CO2 capture technologies is very similar as a result of comparable energy consumption. The configuration with the highest plant-wide CO2 capture rate (almost 100% of produced CO2 captured) is autothermal reforming with a two-stage water-gas shift and VPSA CO2 capture - because the latter has an inherently high CO2 capture rate of 98% or more for the investigated syngas. Depending on the configuration, the addition of CCS to natural gas reforming-based hydrogen production reduces its life-cycle Global Warming Potential by 45-85 percent, while the other environmental life-cycle impacts slightly increase. This brings natural gas-based hydrogen on par with renewable electricity-based hydrogen regarding impacts on climate change. When biomethane is used instead of natural gas, our study shows potential for net negative greenhouse gas emissions, i.e. the net removal of CO2 over the life cycle of biowaste-based hydrogen production. In the special case where the biogas digestate is used as agricultural fertiliser, and where a substantial amount of the carbon in the digestate remains in the soil, the biowaste-based hydrogen reaches net-negative life cycle greenhouse gas emissions even without the application of CCS. Addition of CCS to biomethane-based hydrogen production leads to net-negative emissions in all investigated cases.</t>
  </si>
  <si>
    <t>[Antonini, Cristina; Streb, Anne; van der Spek, Mijndert; Mazzotti, Marco] Swiss Fed Inst Technol, Separat Proc Lab, Dept Mech &amp; Proc Engn, CH-8092 Zurich, Switzerland; [Treyer, Karin; Bauer, Christian] Paul Scherrer Inst, Lab Energy Syst Anal, CH-5232 Villigen, Switzerland; [van der Spek, Mijndert] Heriot Watt Univ, Res Ctr Carbon Solut, Sch Engn &amp; Phys Sci, Edinburgh EH12 4AS, Midlothian, Scotland</t>
  </si>
  <si>
    <t>Swiss Federal Institutes of Technology Domain; ETH Zurich; Swiss Federal Institutes of Technology Domain; Paul Scherrer Institute; Heriot Watt University</t>
  </si>
  <si>
    <t>Mazzotti, M (corresponding author), Swiss Fed Inst Technol, Separat Proc Lab, Dept Mech &amp; Proc Engn, CH-8092 Zurich, Switzerland.</t>
  </si>
  <si>
    <t>marco.mazzotti@ipe.mavt.ethz.ch</t>
  </si>
  <si>
    <t>Bauer, Christian/AEZ-9110-2022; Treyer, Karin/AAH-1620-2021</t>
  </si>
  <si>
    <t>Bauer, Christian/0000-0002-1083-9200; antonini, cristina/0000-0001-7717-308X; Mazzotti, Marco/0000-0002-4948-6705; Streb, Anne/0000-0001-8159-707X; Treyer, Karin/0000-0001-9845-5633; Van der Spek, Mijndert/0000-0002-3365-2289</t>
  </si>
  <si>
    <t>DETEC [271498]; BMWi; RVO; Gassnova; BEIS; Gassco; Equinor; Total; European Commission [691712]; pilot and demonstration programme of the Swiss Federal Office of Energy (SFOE); Commission for Technology and Innovation in Switzerland (CTI) within the Swiss Competence Centres for Efficient Technologies and Systems for Mobility and Energy Research in Heat and Electricity Storage</t>
  </si>
  <si>
    <t>DETEC; BMWi(Federal Ministry for Economic Affairs and Energy (BMWi)); RVO(Netherlands Enterprise Agency (RVO)); Gassnova; BEIS; Gassco; Equinor; Total(Total SA); European Commission(European Union (EU)European Commission Joint Research Centre); pilot and demonstration programme of the Swiss Federal Office of Energy (SFOE); Commission for Technology and Innovation in Switzerland (CTI) within the Swiss Competence Centres for Efficient Technologies and Systems for Mobility and Energy Research in Heat and Electricity Storage</t>
  </si>
  <si>
    <t>ACT ELEGANCY, Project No 271498, has received funding from DETEC (CH), BMWi (DE), RVO (NL), Gassnova (NO), BEIS (UK), Gassco, Equinor and Total, and is cofunded by the European Commission under the Horizon 2020 programme, ACT Grant Agreement No 691712. This project is supported by the pilot and demonstration programme of the Swiss Federal Office of Energy (SFOE). In addition, this work was partially funded by the Commission for Technology and Innovation in Switzerland (CTI) within the Swiss Competence Centres for Efficient Technologies and Systems for Mobility and Energy Research in Heat and Electricity Storage.</t>
  </si>
  <si>
    <t>2398-4902</t>
  </si>
  <si>
    <t>SUSTAIN ENERG FUELS</t>
  </si>
  <si>
    <t>Sustain. Energ. Fuels</t>
  </si>
  <si>
    <t>10.1039/d0se00222d</t>
  </si>
  <si>
    <t>Chemistry, Physical; Energy &amp; Fuels; Materials Science, Multidisciplinary</t>
  </si>
  <si>
    <t>Chemistry; Energy &amp; Fuels; Materials Science</t>
  </si>
  <si>
    <t>LW6YS</t>
  </si>
  <si>
    <t>WOS:000539290400036</t>
  </si>
  <si>
    <t>Lugato, E; Paustian, K; Panagos, P; Jones, A; Borrelli, P</t>
  </si>
  <si>
    <t>Lugato, Emanuele; Paustian, Keith; Panagos, Panos; Jones, Arwyn; Borrelli, Pasquale</t>
  </si>
  <si>
    <t>Quantifying the erosion effect on current carbon budget of European agricultural soils at high spatial resolution</t>
  </si>
  <si>
    <t>coupled erosion-SOC models; erosion; European Union; lateral C fluxes; soil organic carbon</t>
  </si>
  <si>
    <t>ORGANIC-CARBON; CLIMATE-CHANGE; WATER EROSION; LAND-USE; MANAGEMENT; SCALE; REDISTRIBUTION; STOCKS; FIELD</t>
  </si>
  <si>
    <t>The idea of offsetting anthropogenic CO2 emissions by increasing global soil organic carbon (SOC), as recently proposed by French authorities ahead of COP21 in the four per mil' initiative, is notable. However, a high uncertainty still exits on land C balance components. In particular, the role of erosion in the global C cycle is not totally disentangled, leading to disagreement whether this process induces lands to be a source or sink of CO2. To investigate this issue, we coupled soil erosion into a biogeochemistry model, running at 1km(2) resolution across the agricultural soils of the European Union (EU). Based on data-driven assumptions, the simulation took into account also soil deposition within grid cells and the potential C export to riverine systems, in a way to be conservative in a mass balance. We estimated that 143 of 187 Mha have C erosion rates &lt;0.05MgCha(-1)yr(-1), although some hot-spot areas showed eroded SOC &gt;0.45MgCha(-1)yr(-1). In comparison with a baseline without erosion, the model suggested an erosion-induced sink of atmospheric C consistent with previous empirical-based studies. Integrating all C fluxes for the EU agricultural soils, we estimated a net C loss or gain of -2.28 and +0.79Tgyr(-1) of CO(2)eq, respectively, depending on the value for the short-term enhancement of soil C mineralization due to soil disruption and displacement/transport with erosion. We concluded that erosion fluxes were in the same order of current carbon gains from improved management. Even if erosion could potentially induce a sink for atmospheric CO2, strong agricultural policies are needed to prevent or reduce soil erosion, in order to maintain soil health and productivity.</t>
  </si>
  <si>
    <t>[Lugato, Emanuele; Paustian, Keith; Panagos, Panos; Jones, Arwyn; Borrelli, Pasquale] European Commiss, Inst Environm &amp; Sustainabil, Joint Res Ctr, Via E Fermi 2749, I-21027 Ispra, VA, Italy; [Paustian, Keith] Colorado State Univ, Dept Soil &amp; Crop Sci, Ft Collins, CO 80523 USA</t>
  </si>
  <si>
    <t>European Commission Joint Research Centre; EC JRC ISPRA Site; Colorado State University System; Colorado State University Fort Collins</t>
  </si>
  <si>
    <t>Lugato, E (corresponding author), European Commiss, Inst Environm &amp; Sustainabil, Joint Res Ctr, Via E Fermi 2749, I-21027 Ispra, VA, Italy.</t>
  </si>
  <si>
    <t>Borrelli, Pasquale/AAF-6547-2019; Panagos, Panos/F-1699-2011; Paustian, Keith/L-7593-2016; lugato, emanuele/F-6947-2010</t>
  </si>
  <si>
    <t>Borrelli, Pasquale/0000-0002-4767-5115; Jones, Arwyn/0000-0002-8552-6137; Panagos, Panos/0000-0003-1484-2738;</t>
  </si>
  <si>
    <t>10.1111/gcb.13198</t>
  </si>
  <si>
    <t>DH9QL</t>
  </si>
  <si>
    <t>WOS:000373130700024</t>
  </si>
  <si>
    <t>Zhu, YY; Wang, XC; Qi, ZH</t>
  </si>
  <si>
    <t>Zhu, Yangyang; Wang, Xicong; Qi, Zhenhong</t>
  </si>
  <si>
    <t>Quantitative assessment of the synergistic effect of pollution reduction and carbon reduction in the planting industry from the perspective of marginal abatement costs-Evidence from the main producing areas in the Yangtze River Basin of China</t>
  </si>
  <si>
    <t>SOCIO-ECONOMIC PLANNING SCIENCES</t>
  </si>
  <si>
    <t>Pollution reduction and carbon reduction; Synergistic effect; Planting industry; Main production areas of the Yangtze River; Basin</t>
  </si>
  <si>
    <t>EMISSIONS; EFFICIENCY; IMPACT</t>
  </si>
  <si>
    <t>Promoting the synergistic effects of pollution reduction and carbon reduction (PRCR) in the planting industry is a key path to achieving green, low-carbon, and high-quality agricultural development. Although existing studies have focused on PRCR synergistic effects, few have evaluated it from the perspective of marginal abatement cost, and there is currently no research analyzing the driving factors of PRCR synergistic effects specifically in the planting industry. This study uses the non-radial directional distance function to quantitatively assess the PRCR synergistic effects in the main agricultural production areas of the Yangtze River Basin (YRB) from 2000 to 2023, systematically analyzing its temporal and spatial evolution, regional differences, dynamic development characteristics, driving factors, and the paths for synergistic emission reduction. The study finds that: (R) Carbon emissions (PCE) and surface source pollution (PSP) show an inverted U shape over time, with PRCR synergistic effects fluctuating upward, and the carbon reduction effect being dominant. (2)PRCR synergistic effects exhibit spatial heterogeneity, with high values concentrated in the upstream areas and gradually extending to the midstream, while the midstream remains at a low to medium-high level and the downstream remains low over the long term. The marginal abatement cost of joint emission reduction is the highest in the upstream areas. (R) Regional differences show a fluctuating convergence trend, with differences mainly attributed to the contribution of hypervariable density, and a clear catch-up effect between regions. Strengthening PSP control in the downstream areas could accelerate convergence. (4)PRCR synergistic effects only show stable aggregation at both high and low levels. The PRCR synergistic effects at various levels are relatively stable, especially the carbon reduction effect. (R) Optimizing planting structures, promoting agricultural technological progress, increasing financial support for agriculture, and advancing urbanization all contribute to enhancing PRCR synergistic effects. The main agricultural production areas of the YRB (especially the upstream) are better suited to use carbon reduction in the planting industry as the main strategy to achieve higher levels of PRCR synergistic effects, while the midstream regions should balance food security, carbon reduction, and surface source pollution control.</t>
  </si>
  <si>
    <t>[Zhu, Yangyang; Wang, Xicong; Qi, Zhenhong] Huazhong Agr Univ, Coll Econ &amp; Management, Wuhan 430070, Peoples R China; [Zhu, Yangyang; Wang, Xicong; Qi, Zhenhong] Huazhong Agr Univ, Hubei Rural Dev Res Ctr, Wuhan 430070, Peoples R China</t>
  </si>
  <si>
    <t>Huazhong Agricultural University; Huazhong Agricultural University</t>
  </si>
  <si>
    <t>Qi, ZH (corresponding author), Huazhong Agr Univ, Coll Econ &amp; Management, Wuhan 430070, Peoples R China.;Qi, ZH (corresponding author), Huazhong Agr Univ, Hubei Rural Dev Res Ctr, Wuhan 430070, Peoples R China.</t>
  </si>
  <si>
    <t>zhuyy@webmail.hzau.edu.cn; 1007581071@qq.com; qizhh@mail.hzau.edu.cn</t>
  </si>
  <si>
    <t>National Natural Science Foundation of China (NSFC) [72273049]; Chongqing Municipal Education Commission for the Science and Technology Youth Project entitled The Promoting Effect and Spatial Differentiation of China's Municipal Digital Infrastructure Construction on Urban-Rural Integrated Development [KJQN202501619]</t>
  </si>
  <si>
    <t>National Natural Science Foundation of China (NSFC)(National Natural Science Foundation of China (NSFC)); Chongqing Municipal Education Commission for the Science and Technology Youth Project entitled The Promoting Effect and Spatial Differentiation of China's Municipal Digital Infrastructure Construction on Urban-Rural Integrated Development</t>
  </si>
  <si>
    <t>The authors gratefully acknowledge financial support from the National Natural Science Foundation of China (NSFC) for the research project High-Quality Development of Ecological Circular Agriculture: Logic, Drivers, Benefits, and Mechanisms-A Case Study of the Rice-Crayfish Co-Culture Model (Project No.: 72273049), and from the Chongqing Municipal Education Commission for the Science and Technology Youth Project entitled The Promoting Effect and Spatial Differentiation of China's Municipal Digital Infrastructure Construction on Urban-Rural Integrated Development (Project No.: KJQN202501619), under which this study was conducted.</t>
  </si>
  <si>
    <t>0038-0121</t>
  </si>
  <si>
    <t>1873-6041</t>
  </si>
  <si>
    <t>SOCIO-ECON PLAN SCI</t>
  </si>
  <si>
    <t>Socio-Econ. Plan. Sci.</t>
  </si>
  <si>
    <t>10.1016/j.seps.2025.102376</t>
  </si>
  <si>
    <t>Economics; Management; Operations Research &amp; Management Science</t>
  </si>
  <si>
    <t>Business &amp; Economics; Operations Research &amp; Management Science</t>
  </si>
  <si>
    <t>A0285</t>
  </si>
  <si>
    <t>WOS:001619109800001</t>
  </si>
  <si>
    <t>Wang, W; Li, MY; Zhou, R; Zhu, SG; Tao, HY; Khan, A; Uzamurera, AG; Wang, BZ; Jin, JM; Ma, Y; Li, WB; Tao, XP; Xiong, YC</t>
  </si>
  <si>
    <t>Wang, Wei; Li, Meng-Ying; Zhou, Rui; Zhu, Shuang-Guo; Tao, Hong-Yan; Khan, Aziz; Uzamurera, Aimee Grace; Wang, Bao-Zhong; Jin, Jun -Ming; Ma, Yue; Li, Wen -Bo; Tao, Xiu-Ping; Xiong, You-Cai</t>
  </si>
  <si>
    <t>Effects of interspecific interactions on soil carbon emission and efficiency in the semiarid intercropping systems</t>
  </si>
  <si>
    <t>Biodiversity-agroecosystem functioning; Plant-plant interaction; Carbon emission efficiency; Intercropping; Rhizosphere; Semiarid region</t>
  </si>
  <si>
    <t>LAND EQUIVALENT RATIO; PLANT DIVERSITY; ROOT; COMPLEMENTARITY; FACILITATION; MAIZE</t>
  </si>
  <si>
    <t>Intercropping, the simultaneous production of two or more crops on the same field, offers opportunities for sustainable agricultural intensification by providing higher yield per unit of land than monoculture. However, intercropping is largely ignored when evaluating regional carbon (C) cycle and ecosystem service function. We hypothesized that interspecific interactions in intercropping systems might induce changes in rhizosphere soil properties and accordingly affect carbon emission. To test the hypothesis, three intercropping systems including maize-soybean (2 M:4 S, 2-row maize: 4-row soybean), wheat-soybean (4 W:4 S), and maize-wheat (2 M:4 W) were established to explore the effects of interspecific interactions on land equivalent ratio (LER), C emission and soil properties in a typical semiarid rainfed site from 2019 to 2020. The results showed that interspecific facilitation (LER&gt;1 and RII&gt;0) was observed when soybean was intercropped with maize and wheat. On average, soil C emission was substantially increased by 10.6%, compared with their respective monocultures. Particularly, the intercropping with soybean not only alleviated N deficiency in the rhizosphere of maize or wheat, but also improved water use efficiency (WUE) of maize or wheat via complementary effect. Moreover, facilitating process evidently promoted the input of dissolved organic carbon (DOC) and easily oxidized organic carbon (EOOC) in rhizosphere soils (P &lt; 0.05). This resulted in greater microbial activities, N mineralization rate, and inorganic N supply in the maize and wheat strips. However, the belowground competition from the inter -cropped wheat significantly lowered soil moisture and inorganic N content in maize strips. Also, soil labile C input (DOC and EOOC) and microbial activities were declined, while carbon emission was evidently lowered by 7.4%. Interestingly, the trade-off between grain yield production and carbon emission showed that interspecific facilitation promoted the yield per unit of carbon emission, indicating higher carbon emission efficiency. Yet, interspecific competition led to an opposite trend. The findings enhanced the understandings on carbon emission efficiency and its potential management strategy regarding crop diversity and green production in semiarid agroecosystems.</t>
  </si>
  <si>
    <t>[Wang, Wei; Li, Meng-Ying; Zhu, Shuang-Guo; Tao, Hong-Yan; Khan, Aziz; Uzamurera, Aimee Grace; Wang, Bao-Zhong; Jin, Jun -Ming; Ma, Yue; Li, Wen -Bo; Xiong, You-Cai] Lanzhou Univ, Coll Ecol, State Key Lab Grassland Agroecosyst, Lanzhou 730000, Peoples R China; [Zhou, Rui] Yunnan Univ, Sch Ecol &amp; Environm Sci, Kunming 650500, Peoples R China; [Tao, Xiu-Ping; Xiong, You-Cai] Chinese Acad Agr Sci, Inst Urban Agr, Chengdu 610213, Peoples R China</t>
  </si>
  <si>
    <t>Lanzhou University; Yunnan University; Chinese Academy of Agricultural Sciences; Institute of Urban Agriculture, CAAS</t>
  </si>
  <si>
    <t>Xiong, YC (corresponding author), Lanzhou Univ, Coll Ecol, State Key Lab Grassland Agroecosyst, Lanzhou 730000, Peoples R China.;Tao, XP; Xiong, YC (corresponding author), Chinese Acad Agr Sci, Inst Urban Agr, Chengdu 610213, Peoples R China.</t>
  </si>
  <si>
    <t>; Khan, Aziz/AEC-4516-2022; 周, 睿/HOA-5317-2023; Shuangguozhu, Zhu/HPC-1784-2023; Xiong, You-Cai/HDL-8596-2022</t>
  </si>
  <si>
    <t>Wang, Wei/0000-0002-7726-6929;</t>
  </si>
  <si>
    <t>Key Research and Development Program of Gansu Province [20YF8WA083]; Fundamental Research Funds for the Central Universities [lzujbky-2023-kb05]; National Natural Science Foundation of China [32161143012]; 111. Program [BP0719040]</t>
  </si>
  <si>
    <t>Key Research and Development Program of Gansu Province; Fundamental Research Funds for the Central Universities(Fundamental Research Funds for the Central Universities); National Natural Science Foundation of China(National Natural Science Foundation of China (NSFC)); 111. Program(Ministry of Education, China - 111 Project)</t>
  </si>
  <si>
    <t>This research was sponsored by the Key Research and Development Program of Gansu Province (20YF8WA083), Fundamental Research Funds for the Central Universities (lzujbky-2023-kb05), National Natural Science Foundation of China (32161143012), and 111. Program (BP0719040).</t>
  </si>
  <si>
    <t>10.1016/j.still.2023.105857</t>
  </si>
  <si>
    <t>R7PO9</t>
  </si>
  <si>
    <t>WOS:001066240300001</t>
  </si>
  <si>
    <t>Li, J; Yang, XL; Lv, PC; Zheng, YW; Ou, HL; Wu, WX; Chen, XG; Yu, XQ</t>
  </si>
  <si>
    <t>Li, Jun; Yang, Xianling; Lv, Pingcong; Zheng, Yuwei; Ou, Hongli; Wu, Wanxia; Chen, Xianggui; Yu, Xiaoqi</t>
  </si>
  <si>
    <t>Green synthesis of biocompatible rice straw-derived carbon dots for ferric ion detection and antioxidant applications</t>
  </si>
  <si>
    <t>INDUSTRIAL CROPS AND PRODUCTS</t>
  </si>
  <si>
    <t>Rice straw; Carbon dots; Ferric ion detection; Antioxidant; High-value utilization</t>
  </si>
  <si>
    <t>The high-value utilization of rice straw can not only unlock its potential economic and environmental benefits but also reduce greenhouse gas emissions, significantly enhancing resource efficiency and promoting sustainable agricultural development. In this study, rice straw was used as a biomass-derived carbon source to synthesize biocompatible rice straw-derived carbon dots (H2O-CDs) via a green hydrothermal method. The fluorescent sensor constructed based on H2O-CDs offered the advantages of wide range (8-100 mu M), high sensitivity (2.27 mu M), and wide pH stability (2.0-8.0), making it suitable for detecting ferric ions within cells. Additionally, H2O-CDs were innovatively studied the antioxidant properties and had been proven excellent antioxidant enhancement potential by 2 times, suggesting their future practical application as a cigarette filter additive for the efficient removal over 40 % of harmful oxidizing free radicals in cigarette smoke. With their low cost and outstanding biocompatibility, H2O-CDs not only enable the high-value utilization of rice straw but also provide new insights and technical support for sustainable agricultural development.</t>
  </si>
  <si>
    <t>[Li, Jun; Lv, Pingcong; Zheng, Yuwei; Ou, Hongli; Chen, Xianggui; Yu, Xiaoqi] Xihua Univ, Coll Food &amp; Bioengn, Food Microbiol Key Lab Sichuan Prov, Chengdu 610039, Peoples R China; [Wu, Wanxia] Chengdu Univ, Sch Pharm, Chengdu 610106, Peoples R China; [Yang, Xianling] Panzhihua Univ, Coll Biol &amp; Chem Engn, Panzhihua 617000, Peoples R China</t>
  </si>
  <si>
    <t>Xihua University; Chengdu University; Panzhihua University</t>
  </si>
  <si>
    <t>Li, J (corresponding author), Xihua Univ, Coll Food &amp; Bioengn, Food Microbiol Key Lab Sichuan Prov, Chengdu 610039, Peoples R China.</t>
  </si>
  <si>
    <t>junli@xhu.edu.cn</t>
  </si>
  <si>
    <t>Yu, Xiaoqi/KXR-2111-2024</t>
  </si>
  <si>
    <t>Xihua University Support Program for Talent Introduction [Z242108]; National Key Research and Development Program of China [2023YFF1104800]; College Students' Innovative Entrepreneurial Training Plan Program [S202510623105]</t>
  </si>
  <si>
    <t>Xihua University Support Program for Talent Introduction; National Key Research and Development Program of China(National Key Research &amp; Development Program of China); College Students' Innovative Entrepreneurial Training Plan Program</t>
  </si>
  <si>
    <t>This work was financially supported by the Xihua University Support Program for Talent Introduction (Z242108) . National Key Research and Development Program of China (2023YFF1104800) , and College Students' Innovative Entrepreneurial Training Plan Program (S202510623105) . We also appreciate eceshi ( www.eceshi.com ) for providing help with TEM characterization.</t>
  </si>
  <si>
    <t>0926-6690</t>
  </si>
  <si>
    <t>1872-633X</t>
  </si>
  <si>
    <t>IND CROP PROD</t>
  </si>
  <si>
    <t>Ind. Crop. Prod.</t>
  </si>
  <si>
    <t>10.1016/j.indcrop.2025.121902</t>
  </si>
  <si>
    <t>7JK7T</t>
  </si>
  <si>
    <t>WOS:001572455300001</t>
  </si>
  <si>
    <t>dos Santos, PCD; Moitinho, MR; Salles, FA; Aferri, G; Salles, MSV; Cassiano, GA; Nogueira, CP; Francisco, AC; Simili, FF</t>
  </si>
  <si>
    <t>dos Santos, Priscila Cortes Domingues; Moitinho, Mara Regina; Salles, Fernando Andre; Aferri, Gabriela; Salles, Marcia Saladini Vieira; Cassiano, Gabrielly Antunes; Nogueira, Camila Parada; Francisco, Alana Carolina; Simili, Flavia Fernanda</t>
  </si>
  <si>
    <t>The interactive effects of temperature and soil moisture on carbon dioxide emissions in agricultural systems during seasonal extremes</t>
  </si>
  <si>
    <t>Conservation management; Soil; Temperature; Moisture</t>
  </si>
  <si>
    <t>CROP-LIVESTOCK SYSTEMS; SPATIAL VARIABILITY; CO2 EMISSION; RESPIRATION; SEQUESTRATION; GRASSLAND; PATTERNS; PASTURES; IMPACTS; BALANCE</t>
  </si>
  <si>
    <t>Integrated crop-livestock systems (ICLS) optimize land use efficiency and play a crucial role in reducing CO2 emissions, especially the importance of sustainable agricultural practices adapted to seasonal variations. This study aimed to investigate the spatiotemporal variability of soil CO2 emission, temperature and moisture in areas under integrated crop-livestock system compared to monocropping, during summer and winter seasons. The experimental design was randomized blocks with three treatments and three experimental blocks. The treatments consisted of a monocropping system, represented by sorghum in monoculture (SM), and two integrated systems, represented by sorghum intercropped with Momba &amp; ccedil;a grass (ICLS-M) and sorghum intercropped with Zuri grass (ICLS-Z), for silage production and pasture formation. Female Caracu cattle began grazing in the ICLS in October 2022. Assessments of soil CO2 emission (FCO2), soil temperature, and soil moisture were conducted during the winter (July to September 2022) and summer (February to March 2023) for 20 days in each season. Initially, analysis of variance was performed in the repeated measures scheme. Then, the spatial representation of FCO2, soil temperature, and soil moisture was analyzed using inverse distance weighting (IDW) interpolators and map generation. FCO2 showed a significant interaction between assessment days and treatments in the winter and summer. Seasonal variation influenced the relationship between soil CO2 emissions and environmental factors across the studied systems. In the winter, soil managed under ICLS-Z (1.69 mu mol m(-2) s(-1)) and ICLS-M (1.56 mu mol m(-2) s(-1)) systems emitted less CO2 than the SM system (1.73 mu mol m(-2) s(-1)). Moreover, both ICLS provided lower temperatures and possibly higher soil water retention. In the summer, soil temperature and soil moisture were more stable in the three systems. However, FCO2 was higher in ICLS-Z (5.73 mu mol m(-2) s(-1)). In winter, soil temperature was the main explanatory variable for CO2 emissions in ICLS-M (R-2 = 0.58), ICLS-Z (R-2 = 0.32), and SM (R-2 = 0.55), while soil moisture also contributed significantly in ICLS-Z (R-2 = 0.55) and SM (R-2 = 0.61). In summer, although regression models showed statistically significant associations between CO2 emissions and soil temperature in ICLS-Z (R-2 = 0.40) and ICLS-M (R-2 = 0.34), the relationships were weak. No significant correlation was found with soil moisture (p &gt; 0.05). The mapping of spatiotemporal patterns highlighted zones with significant variation in CO2 flux, associated with fluctuations in soil temperature and moisture. During winter, integrated crop-livestock systems promoted a microclimate that helped regulate soil temperature and moisture, contributing to reduced CO2 emissions. In contrast, during summer, although a microclimate was also observed, CO2 emissions increased in integrated crop-livestock systems areas, likely due to animal grazing and enhanced soil respiration, indicating greater microbial activity.</t>
  </si>
  <si>
    <t>[dos Santos, Priscila Cortes Domingues; Salles, Fernando Andre; Aferri, Gabriela; Salles, Marcia Saladini Vieira; Cassiano, Gabrielly Antunes; Nogueira, Camila Parada; Francisco, Alana Carolina; Simili, Flavia Fernanda] Inst Zootecnia, Ribeirao Preto, SP, Brazil; [Moitinho, Mara Regina] Sao Paulo State Univ FCAV UNESP, Sch Agr &amp; Vet Sci, Jaboticabal, SP, Brazil</t>
  </si>
  <si>
    <t>Instituto de Zootecnia; Universidade Estadual Paulista</t>
  </si>
  <si>
    <t>Moitinho, MR (corresponding author), Sao Paulo State Univ FCAV UNESP, Sch Agr &amp; Vet Sci, Jaboticabal, SP, Brazil.</t>
  </si>
  <si>
    <t>pcds.priscila@gmail.com; maramoitinho@gmail.com; fernando.salles@sp.gov.br; gabriela.aferri@sp.gov.br; marcia.salles@sp.gov.br; ga.cassiano@unesp.br; camilaparadan97@gmail.com; alanacarolinafrancisco@gmail.com; flavia.simili@sp.gov.br</t>
  </si>
  <si>
    <t>CNPq</t>
  </si>
  <si>
    <t>CNPq(Conselho Nacional de Desenvolvimento Cientifico e Tecnologico (CNPQ))</t>
  </si>
  <si>
    <t>The authors would like to thank to Vaccinar Nutricao Animal for their supplement donation, Sementes Oeste Paulista (SOESP) for the grass seeds, CNPq for the scholarship, and Fundacao Agrisus (proj. PA 3417-22) for funding the project.</t>
  </si>
  <si>
    <t>MAR 30</t>
  </si>
  <si>
    <t>10.1016/j.agee.2025.110105</t>
  </si>
  <si>
    <t>K2836</t>
  </si>
  <si>
    <t>WOS:001628398800001</t>
  </si>
  <si>
    <t>Liu, FY; Gao, ML; Zhang, HZ; Yuan, HB; Zong, R; Liu, ZD; Wei, SY; Li, QQ</t>
  </si>
  <si>
    <t>Liu, Fuying; Gao, Mingliang; Zhang, Haoze; Yuan, Huabin; Zong, Rui; Liu, Zhendong; Wei, Shiyu; Li, Quanqi</t>
  </si>
  <si>
    <t>Response of soil CO2 emissions and water-carbon use efficiency of winter wheat to different straw returning methods and irrigation scenarios</t>
  </si>
  <si>
    <t>JOURNAL OF THE SCIENCE OF FOOD AND AGRICULTURE</t>
  </si>
  <si>
    <t>straw returning; water use efficiency; soil CO2 emissions; water consumption; winter wheat</t>
  </si>
  <si>
    <t>ORGANIC-CARBON; RICE; TILLAGE</t>
  </si>
  <si>
    <t>BACKGROUND The shortage of water resources and the increase of greenhouse gas emissions from soil seriously restrict the sustainable development of agriculture. Under the premise of ensuring a stable yield of winter wheat through a reasonable irrigation scenario, identifying a suitable straw returning method will have a positive effect on agricultural carbon sequestration and emission reduction in North China Plain.RESULTS Straw burying (SR) and straw mulching (SM) were adopted based on traditional tillage under in the winter wheat growing season of 2020-2021 and 2021-2022. Three irrigation scenarios were used for each straw returning method: no irrigation (I0), irrigation 60 mm at jointing stage (I1), and irrigation of 60 mm each at the jointing and heading stages (I2). Soil moisture, soil respiration rate, cumulative soil CO2 emissions, yield, water use efficiency (WUE) and soil CO2 emission efficiency (CEE) were mainly studied. The results showed that, compared to SM, SR improved the utilization of soil water and enhanced soil carbon sequestration. SR reduced soil respiration rate and cumulative soil CO2 emissions in two winter wheat growing seasons, and increased yield by increasing spike numbers. In addition, with an increase in the amount of irrigation, soil CO2 emissions and yield increased. Under SR-I1 treatment, WUE and CEE were the highest. SR-I1 increases crop yields at the same time as reducing soil CO2 emissions.CONCLUSION The combination of SR and irrigation 60 mm at jointing stage is a suitable straw returning irrigation scenario, which can improve water use and reduce soil CO2 emission in NCP. (c) 2023 Society of Chemical Industry.</t>
  </si>
  <si>
    <t>[Liu, Fuying; Gao, Mingliang; Zhang, Haoze; Yuan, Huabin; Zong, Rui; Liu, Zhendong; Wei, Shiyu; Li, Quanqi] Shandong Agr Univ, Coll Water Conservancy &amp; Civil Engn, Tai An 271018, Peoples R China</t>
  </si>
  <si>
    <t>Shandong Agricultural University</t>
  </si>
  <si>
    <t>Li, QQ (corresponding author), Shandong Agr Univ, Coll Water Conservancy &amp; Civil Engn, Tai An 271018, Peoples R China.</t>
  </si>
  <si>
    <t>quanqili@sdau.edu.cn</t>
  </si>
  <si>
    <t>Zhang, Haoze/LCE-1566-2024; Gao, Mingliang/LDF-6193-2024</t>
  </si>
  <si>
    <t>Key Technology Research and Development Program of Shandong Province [ZR2021MC123]; Nature Science Foundation of Shandong Province, China [2019GSF109054]; Key Research and Development Plan of Shandong Province, China</t>
  </si>
  <si>
    <t>Key Technology Research and Development Program of Shandong Province; Nature Science Foundation of Shandong Province, China(Natural Science Foundation of Shandong Province); Key Research and Development Plan of Shandong Province, China</t>
  </si>
  <si>
    <t>The present study was supported by the Nature Science Foundation of Shandong Province, China (ZR2021MC123) and the Key Research and Development Plan of Shandong Province, China (2019GSF109054).</t>
  </si>
  <si>
    <t>0022-5142</t>
  </si>
  <si>
    <t>1097-0010</t>
  </si>
  <si>
    <t>J SCI FOOD AGR</t>
  </si>
  <si>
    <t>J. Sci. Food Agric.</t>
  </si>
  <si>
    <t>10.1002/jsfa.13126</t>
  </si>
  <si>
    <t>JN8B6</t>
  </si>
  <si>
    <t>WOS:001114567000001</t>
  </si>
  <si>
    <t>Gao, XC; Ji, L; Chandio, AA; Gul, A; Twumasi, MA; Ahmad, F</t>
  </si>
  <si>
    <t>Gao, Xincai; Ji, Lin; Chandio, Abbas Ali; Gul, Amber; Twumasi, Martinson Ankrah; Ahmad, Fayyaz</t>
  </si>
  <si>
    <t>Towards Sustainable Agriculture in China: Assessing the Robust Role of Green Public Investment</t>
  </si>
  <si>
    <t>public spending; agricultural output; ARDL approach; China</t>
  </si>
  <si>
    <t>RESEARCH-AND-DEVELOPMENT; ECONOMIC-GROWTH; PRODUCTIVITY GROWTH; FINANCIAL DEVELOPMENT; PAKISTAN; IMPACT; EXPENDITURE; POVERTY; ARDL</t>
  </si>
  <si>
    <t>This paper reviews the long-term impact of public investments on irrigation and agricultural research and development along with other control variables, including physical capital, irrigated area, fertilizer consumption, level of mechanization, and CO2 emissions on China's agricultural output from 1986 to 2017. This study applied various econometric methods such as the ARDL bound-testing approach and Johansen co-integration procedure to determine the long-term co-integrating connection amid the variables. The empirical outcomes from the ARDL bound-testing method confirm a long-term co-integrating connection among the variables. The long-run results demonstrated that public investment in agricultural research and development and irrigation have a substantial positive effect on agricultural productivity. Furthermore, results revealed that physical capital and fertilizer consumption also have a significant positive effect on agricultural output; however, CO2 emissions have a substantial negative effect on agricultural production. These findings therefore suggest that the policy makers of China should initiate more effective policies to increase irrigation and agricultural research and development investments. Increasing irrigation and agricultural research and development investments will enhance agricultural productivity by ensuring food security in the country.</t>
  </si>
  <si>
    <t>[Gao, Xincai; Ji, Lin; Ahmad, Fayyaz] Lanzhou Univ, Sch Econ, Lanzhou 730000, Peoples R China; [Chandio, Abbas Ali; Twumasi, Martinson Ankrah] Sichuan Agr Univ, Coll Econ, Chengdu 611130, Peoples R China; [Gul, Amber] Sichuan Agr Univ, Coll Management, Chengdu 611130, Peoples R China</t>
  </si>
  <si>
    <t>Lanzhou University; Sichuan Agricultural University; Sichuan Agricultural University</t>
  </si>
  <si>
    <t>Chandio, AA (corresponding author), Sichuan Agr Univ, Coll Econ, Chengdu 611130, Peoples R China.</t>
  </si>
  <si>
    <t>jgygxc@lzu.edu.cn; jil16@lzu.edu.cn; alichandio@sicau.edu.cn; 2019509004@stu.sicau.edu.cn; twuma2012@sicau.edu.cn; fayyaz@lzu.edu.cn</t>
  </si>
  <si>
    <t>Chandio, Abbas/E-7189-2016; Ankrah Twumasi, Martinson/AAM-5558-2020; Ahmad, Fayyaz/ABV-6500-2022; Twumasi, Martinson/AAM-5558-2020</t>
  </si>
  <si>
    <t>CHANDIO, Abbas Ali/0000-0001-8706-9681; Ankrah Twumasi, Martinson/0000-0001-8703-7102; Gao, Xincai/0000-0003-1642-9293; Ahmad, Fayyaz/0000-0001-9038-0817;</t>
  </si>
  <si>
    <t>10.3390/su14063613</t>
  </si>
  <si>
    <t>0B2GT</t>
  </si>
  <si>
    <t>WOS:000774459300001</t>
  </si>
  <si>
    <t>Huang, XY; Xia, Y; Wang, HX; Wang, LY</t>
  </si>
  <si>
    <t>Huang, Xinyi; Xia, Yu; Wang, Hanxi; Wang, Lingyan</t>
  </si>
  <si>
    <t>Utilization of crop straw biochar in China from the perspective of enhancing carbon sink function</t>
  </si>
  <si>
    <t>BIOMASS CONVERSION AND BIOREFINERY</t>
  </si>
  <si>
    <t>Biochar; Straw; Carbon sink; Carbonization; CO2</t>
  </si>
  <si>
    <t>ENERGY; EMISSIONS</t>
  </si>
  <si>
    <t>Low level of comprehensive utilization technology for crop straw has constrained the development of agricultural carbon sink. The research on the preparation and application of biochar from straw for enhancing carbon sink function is of great significance for China's CO2 reduction. Through the analysis of the planting area distribution and annual straw output of major crops in China from 2017 to 2022, the potential of using straw to prepare biochar in China for enhancing carbon sink function was explored. The results showed that China's waste crop straw resources were an annual output of more than 1.0 x 10(9) tons, which showed an increasing trend. The development of biochar in China significantly reduced CO2 emissions and obtained a big benefit of 3.5 x 10(11) yuan (RMB). China's biochar industry has broad prospects, and the industrial needs included soil improvement, fuel utilization, by-product utilization, and CO2 emission reduction needs. This study will help increase China's CO2 reduction.</t>
  </si>
  <si>
    <t>[Huang, Xinyi; Xia, Yu; Wang, Hanxi; Wang, Lingyan] Harbin Normal Univ, Heilongjiang Prov Key Lab Geog Environm Monitoring, Sch Geog Sci, Harbin 150025, Peoples R China; [Huang, Xinyi] Jilin Univ, Coll Earth Sci, Changchun 130015, Peoples R China</t>
  </si>
  <si>
    <t>Harbin Normal University; Jilin University</t>
  </si>
  <si>
    <t>Wang, HX (corresponding author), Harbin Normal Univ, Heilongjiang Prov Key Lab Geog Environm Monitoring, Sch Geog Sci, Harbin 150025, Peoples R China.</t>
  </si>
  <si>
    <t>huangxy714@163.com; 15511756081@163.com; wanghx197@nenu.edu.cn; wangly137@126.com</t>
  </si>
  <si>
    <t>High-level Talent Foundation Project of Harbin Normal University</t>
  </si>
  <si>
    <t>The author thanks the reviewers and editors for their contributions to this article.</t>
  </si>
  <si>
    <t>2190-6815</t>
  </si>
  <si>
    <t>2190-6823</t>
  </si>
  <si>
    <t>BIOMASS CONVERS BIOR</t>
  </si>
  <si>
    <t>Biomass Convers. Biorefinery</t>
  </si>
  <si>
    <t>2025 AUG 22</t>
  </si>
  <si>
    <t>10.1007/s13399-025-06882-1</t>
  </si>
  <si>
    <t>6OL3G</t>
  </si>
  <si>
    <t>WOS:001558206500001</t>
  </si>
  <si>
    <t>Chen, ZH; Yu, QN; Tu, Z; Deng, ZJ; Luo, Y; Lu, Y; Li, B</t>
  </si>
  <si>
    <t>Chen, Zonghai; Yu, Qianni; Tu, Zhe; Deng, Zhijian; Luo, Yang; Lu, Ying; Li, Bo</t>
  </si>
  <si>
    <t>Aged polyethylene microplastics reduce CO2 emissions by altering carbon degradation genes rather than soil chemical properties at different aggregate scales</t>
  </si>
  <si>
    <t>Soil aggregates; Microplastics aging; Carbon dioxide emissions; Microbial functional gene</t>
  </si>
  <si>
    <t>MICROBIAL BIOMASS; IMPACT; MINERALIZATION; NITROGEN; RATES; WATER; SIZE</t>
  </si>
  <si>
    <t>The accumulation of microplastics (MPs) in agricultural soil can affect soil CO2 emissions by changing microbial functions. However, little is known about how aged MPs affect CO2 emissions and its mechanism at soil aggregate scale. Therefore, large macroaggregates (&gt;2 mm), small macroaggregates (0.25-2 mm), microaggregates (0.053-0.25 mm), and silt and clay (&lt;0.053 mm) were separated in a pot experiment involving polyethylene microplastics (PE) treated at different application times and a reference (CK), while CO2 emissions, carbon (C) degradation function genes, and soil chemical properties were evaluated at the end of the mineralization incubation. Results showed PE aging for 2 months (SPE) stimulated CO2 emissions by 12.8-31.7 %, while PE aging for 2 years (LPE) decreased CO2 emissions by 0.5-24.9 % among all aggregation sizes. Meanwhile, CO2 emissions and impact hotspots occurred in smaller soil aggregates, with the degree of impact depending on MP aging. Specifically, LPE significantly decreased soil aggregates pH by 0.1-0.2 units (p &lt; 0.05), while SPE increased soil aggregates pH by 0.02-0.13 units. Although the presence of MPs did not significantly affect soil nutrient and mineral content, SPE significantly increased the labile C degradation genes related to starch, hemicellulose and cellulose, whereas LPE effectively reduced these genes. Furthermore, partial least squares path model revealed labile C degradation genes have more contribution on soil aggregate CO2 emissions than soil chemical properties, which were the main drivers of CO2 emissions. This study provides new insights for evaluating MP aging on soil mineralization in cultivated soil under different aggregation sizes.</t>
  </si>
  <si>
    <t>[Chen, Zonghai; Yu, Qianni; Tu, Zhe; Deng, Zhijian; Luo, Yang; Lu, Ying; Li, Bo] South China Agr Univ, Coll Nat Resources &amp; Environm, Guangzhou 510642, Guangdong, Peoples R China</t>
  </si>
  <si>
    <t>Lu, Y; Li, B (corresponding author), South China Agr Univ, Coll Nat Resources &amp; Environm, Guangzhou 510642, Guangdong, Peoples R China.</t>
  </si>
  <si>
    <t>luying@scau.edu.cn; boli@scau.edu.cn</t>
  </si>
  <si>
    <t>National Natural Science Foundation of China [42277290, 41807021]; Guangzhou Basic and Applied Basic Research Foundation [202201010416]</t>
  </si>
  <si>
    <t>National Natural Science Foundation of China(National Natural Science Foundation of China (NSFC)); Guangzhou Basic and Applied Basic Research Foundation</t>
  </si>
  <si>
    <t>This work was supported by the National Natural Science Foundation of China (42277290, 41807021) , Guangzhou Basic and Applied Basic Research Foundation (202201010416) .</t>
  </si>
  <si>
    <t>10.1016/j.apsoil.2025.106641</t>
  </si>
  <si>
    <t>L9440</t>
  </si>
  <si>
    <t>WOS:001630072200005</t>
  </si>
  <si>
    <t>Syktus, JI; McAlpine, CA</t>
  </si>
  <si>
    <t>Syktus, Jozef I.; McAlpine, Clive A.</t>
  </si>
  <si>
    <t>More than carbon sequestration: Biophysical climate benefits of restored savanna woodlands</t>
  </si>
  <si>
    <t>SAFE OPERATING SPACE; LAND-USE; SEMIARID ECOSYSTEMS; VARIABILITY; AUSTRALIA; AFFORESTATION; VEGETATION; FEEDBACKS; RAINFALL; FORESTS</t>
  </si>
  <si>
    <t>Deforestation and climate change are interconnected and represent major environmental challenges. Here, we explore the capacity of regional-scale restoration of marginal agricultural lands to savanna woodlands in Australia to reduce warming and drying resulting from increased concentration of greenhouse gases. We show that restoration triggers a positive feedback loop between the land surface and the atmosphere, characterised by increased evaporative fraction, eddy dissipation and turbulent mixing in the boundary-layer resulting in enhanced cloud formation and precipitation over the restored regions. The increased evapotranspiration results from the capacity deep-rooted woody vegetation to access soil moisture. As a consequence, the increase in precipitation provides additional moisture to soil and trees, thus reinforcing the positive feedback loop. Restoration reduced the rate of warming and drying under the transient increase in the radiative forcing of greenhouse gas emissions (RCP8.5). At the continental scale, average summer warming for all land areas was reduced by 0.18 degrees C from 4.1 degrees C for the period 2056-2075 compared to 1986-2005. For the restored regions (representing 20% of Australia), the averaged surface temperature increase was 3.2 degrees C which is 0.82 degrees C cooler compared to agricultural landscapes. Further, there was reduction of 12% in the summer drying of the near-surface soil for the restored regions.</t>
  </si>
  <si>
    <t>[Syktus, Jozef I.] Univ Queensland, Global Change Inst, Brisbane, Qld 4072, Australia; [McAlpine, Clive A.] Univ Queensland, Sch Geog Planning &amp; Environm Management, Brisbane, Qld 4072, Australia</t>
  </si>
  <si>
    <t>University of Queensland; University of Queensland</t>
  </si>
  <si>
    <t>Syktus, JI (corresponding author), Univ Queensland, Global Change Inst, Brisbane, Qld 4072, Australia.;McAlpine, CA (corresponding author), Univ Queensland, Sch Geog Planning &amp; Environm Management, Brisbane, Qld 4072, Australia.</t>
  </si>
  <si>
    <t>j.syktus@uq.edu.au; c.mcalpine@uq.edu.au</t>
  </si>
  <si>
    <t>; Syktus, Jozef/E-7173-2011; McAlpine, Clive/A-3907-2010</t>
  </si>
  <si>
    <t>McAlpine, Clive/0000-0003-0457-8144; Syktus, Jozef/0000-0003-1782-3073;</t>
  </si>
  <si>
    <t>Queensland Government; Australian Research Council [LP100100738, FT100100338]; Australian Research Council [FT100100338, LP100100738] Funding Source: Australian Research Council</t>
  </si>
  <si>
    <t>Queensland Government; Australian Research Council(Australian Research Council); Australian Research Council(Australian Research Council)</t>
  </si>
  <si>
    <t>This project was funded by the Queensland Government and the Australian Research Council LP100100738 and FT100100338. Jianting Chu and Kenneth Wong assisted with modelling and statistical analysis. Marcus Thatcher and Jack Katzfey, CSIRO, Marine and Atmosphere assisted with the technical aspects of CCAM-CABLE modelling. We appreciate the constructive comments of the reviewers which improved the quality of the paper.</t>
  </si>
  <si>
    <t>JUL 4</t>
  </si>
  <si>
    <t>10.1038/srep29194</t>
  </si>
  <si>
    <t>DQ1GK</t>
  </si>
  <si>
    <t>WOS:000378949300001</t>
  </si>
  <si>
    <t>Kan, ZR; Wang, ZR; Chen, W; Virk, AL; Li, FM; Liu, J; Xue, YG; Yang, HS</t>
  </si>
  <si>
    <t>Kan, Zheng-Rong; Wang, Zirui; Chen, Wei; Virk, Ahmad Latif; Li, Feng-Min; Liu, Jian; Xue, Yaguang; Yang, Haishui</t>
  </si>
  <si>
    <t>Soil organic carbon regulates CH4 production through methanogenic evenness and available phosphorus under different straw managements</t>
  </si>
  <si>
    <t>Methane; Methanogenic evenness; Soil organic carbon; Available phosphorus; Straw managements</t>
  </si>
  <si>
    <t>METHANE EMISSION; MICROBIAL COMMUNITY; SPECIES EVENNESS; DYNAMICS; NITROGEN; RETURN; INPUT; CO2</t>
  </si>
  <si>
    <t>Methane (CH4) is the main greenhouse gas emitted from rice paddy fields driven by methanogens, for which methanogenic abundance on CH4 production has been intensively investigated. However, information is limited about the relationship between methanogenic diversity (e.g., richness and evenness) and CH4 production. Three independent field experiments with different straw managements including returning method, burial depth, and burial amount were used to identify the effects of methanogenic diversity on CH4 production, and its regulating factors from soil properties in a rice-wheat cropping system. The results showed that methanogenic evenness (dominance) can explain 23% of variations in CH4 production potential. CH4 production potential was positively related to methanogenic evenness (R-2 = 0.310, p &lt; 0.001), which is driven by soil organic carbon (SOC), available phosphorus (AP), and nitrate (NO3-) through structure equation model (SEM). These findings indicate that methanogenic evenness has a critical role in evaluating the responses of CH4 production to agricultural practices following changes in soil properties. The SEM also revealed that SOC concentration influenced CH4 production potential indirectly via complementarity of methanogenic evenness (dominance) and available phosphorus (AP). Increasing SOC accumulation improved AP release and stimulated CH4 production when SOC was at a low level, whereas decreased evenness and suppressed CH4 production when SOC was at a high level. A nonlinear relationship was detected between SOC and CH4 production potential, and CH4 production potential decreased when SOC was &gt;= 14.16 g kg(-1). Our results indicated that the higher SOC sequestration can not only mitigate CO2 emissions directly but CH4 emissions indirectly, highlighting the importance to enhance SOC sequestration using optimum agricultural practices in a rice-wheat cropping system.</t>
  </si>
  <si>
    <t>[Kan, Zheng-Rong; Wang, Zirui; Chen, Wei; Li, Feng-Min; Yang, Haishui] Nanjing Agr Univ, Coll Agr, Nanjing 210095, Peoples R China; [Virk, Ahmad Latif] Zhejiang A&amp;F Univ, State Key Lab Subtrop Silviculture, Hangzhou 311300, Peoples R China; [Liu, Jian; Xue, Yaguang] Inst Agr Sci Yanjiang Dist Jiangsu Prov, Rugao 226500, Peoples R China; [Yang, Haishui] Nanjing Agr Univ, Jiangsu Key Lab Informat Agr, Nanjing 210095, Peoples R China; [Yang, Haishui] Nanjing Agr Univ, Jiangsu Collaborat Innovat Ctr Modern Crop Prod, Nanjing 210095, Peoples R China</t>
  </si>
  <si>
    <t>Nanjing Agricultural University; Zhejiang A&amp;F University; Nanjing Agricultural University; Nanjing Agricultural University</t>
  </si>
  <si>
    <t>Yang, HS (corresponding author), Nanjing Agr Univ, Coll Agr, Nanjing 210095, Peoples R China.;Xue, YG (corresponding author), Inst Agr Sci Yanjiang Dist Jiangsu Prov, Rugao 226500, Peoples R China.</t>
  </si>
  <si>
    <t>xiaoqiyaguang@126.com; yanghaishui@njau.edu.cn</t>
  </si>
  <si>
    <t>; Wang, Zirui/GYQ-8416-2022; Liu, Jian/P-4050-2014; Li, Feng-Min/K-8740-2012; Li, Feng-Min/K-8740-2012; Virk, Ahmad Latif/GLR-2415-2022</t>
  </si>
  <si>
    <t>Kan, Zheng-Rong/0000-0002-2175-4675; Li, Feng-Min/0000-0002-2144-3498; Li, Feng-Min/0000-0002-2144-3498;</t>
  </si>
  <si>
    <t>National Natural Science Foundation of China; Research Cultivation Project, College of Agriculture in NAU; [31770483]</t>
  </si>
  <si>
    <t>National Natural Science Foundation of China(National Natural Science Foundation of China (NSFC)); Research Cultivation Project, College of Agriculture in NAU;</t>
  </si>
  <si>
    <t>Acknowledgements This study is supported by the National Natural Science Foundation of China (No. 31770483) and Research Cultivation Project, College of Agriculture in NAU.</t>
  </si>
  <si>
    <t>10.1016/j.jenvman.2022.116990</t>
  </si>
  <si>
    <t>DEC 2022</t>
  </si>
  <si>
    <t>7E9DR</t>
  </si>
  <si>
    <t>WOS:000901459900003</t>
  </si>
  <si>
    <t>Muratori, M; Calvin, K; Wise, M; Kyle, P; Edmonds, J</t>
  </si>
  <si>
    <t>Muratori, Matteo; Calvin, Katherine; Wise, Marshall; Kyle, Page; Edmonds, Jae</t>
  </si>
  <si>
    <t>Global economic consequences of deploying bioenergy with carbon capture and storage (BECCS)</t>
  </si>
  <si>
    <t>bioenergy; carbon capture and storage (CCS); BECCS; integrated assessment; GCAM; energy trade; food price</t>
  </si>
  <si>
    <t>DIOXIDE CAPTURE; ENERGY; BIOMASS; SCENARIOS</t>
  </si>
  <si>
    <t>Bioenergy with carbon capture and storage (BECCS) is considered a potential source of net negative carbon emissions and, if deployed at sufficient scale, could help reduce carbon dioxide emissions and concentrations. However, the viability and economic consequences of large-scale BECCS deployment are not fully understood. We use the Global Change Assessment Model (GCAM) integrated assessment model to explore the potential global and regional economic impacts of BECCS. As a negative-emissions technology, BECCS would entail a net subsidy in a policy environment in which carbon emissions are taxed. We show that by mid-century, in a world committed to limiting climate change to 2 degrees C, carbon tax revenues have peaked and are rapidly approaching the point where climate mitigation is a net burden on general tax revenues. Assuming that the required policy instruments are available to support BECCS deployment, we consider its effects on global trade patterns of fossil fuels, biomass, and agricultural products. We find that in a world committed to limiting climate change to 2 degrees C, the absence of CCS harms fossil-fuel exporting regions, while the presence of CCS, and BECCS in particular, allows greater continued use and export of fossil fuels. We also explore the relationship between carbon prices, food-crop prices and use of BECCS. We show that the carbon price and biomass and food crop prices are directly related. We also show that BECCS reduces the upward pressure on food crop prices by lowering carbon prices and lowering the total biomass demand in climate change mitigation scenarios. All of this notwithstanding, many challenges, both technical and institutional, remain to be addressed before BECCS can be deployed at scale.</t>
  </si>
  <si>
    <t>[Muratori, Matteo; Calvin, Katherine; Wise, Marshall; Kyle, Page; Edmonds, Jae] Pacific Northwest Natl Lab, Joint Global Change Res Inst, College Pk, MD 20740 USA</t>
  </si>
  <si>
    <t>United States Department of Energy (DOE); Pacific Northwest National Laboratory</t>
  </si>
  <si>
    <t>Muratori, M (corresponding author), Pacific Northwest Natl Lab, Joint Global Change Res Inst, College Pk, MD 20740 USA.</t>
  </si>
  <si>
    <t>matteo.muratori@nrel.gov</t>
  </si>
  <si>
    <t>Kyle, Page/AFP-3602-2022; Calvin, Katherine/ADF-2443-2022</t>
  </si>
  <si>
    <t>Kyle, Page/0000-0002-1257-8358; Muratori, Matteo/0000-0003-1688-6742;</t>
  </si>
  <si>
    <t>Global Technology Strategy Program, a research program at JGCRI; DOE [DE-AC05-76RL01830]</t>
  </si>
  <si>
    <t>Global Technology Strategy Program, a research program at JGCRI; DOE(United States Department of Energy (DOE))</t>
  </si>
  <si>
    <t>This research is based on work supported by the Global Technology Strategy Program, a research program at JGCRI. The Pacific Northwest National Laboratory is operated for DOE by Battelle Memorial Institute under contract DE-AC05-76RL01830. The views and opinions expressed in this paper are those of the authors alone.</t>
  </si>
  <si>
    <t>10.1088/1748-9326/11/9/095004</t>
  </si>
  <si>
    <t>DX0NU</t>
  </si>
  <si>
    <t>WOS:000384060600002</t>
  </si>
  <si>
    <t>Nishino, S; Shigehara, M; Takahata, G</t>
  </si>
  <si>
    <t>Nishino, Shunichiro; Shigehara, Masayuki; Takahata, Genki</t>
  </si>
  <si>
    <t>Current Status of Agricultural Mechanization in East Africa</t>
  </si>
  <si>
    <t>In East African countries, such as Uganda, Kenya, Tanzania, and Ethiopia, agricultural mechanization is not a recent phenomenon. However, the penetration rate of agricultural machinery, such as tractors, still does not exceed 30%. Under such circumstances, mechanization is advancing in the form of service activities, such as rent plowing and rent harvesting. In particular, power tillers are effective for the small-sized fields owing to the fragmentation of land and small holdings per farmer; further, the introduction of combine harvester is effective in expanding rice cultivation in East Africa. Although the penetration rate of agricultural machinery is low at present, it is expected to promote the different status of mechanization in each country.</t>
  </si>
  <si>
    <t>[Nishino, Shunichiro] Japan Assoc Int Collaborat Agr &amp; Forestry, Tokyo, Japan; [Shigehara, Masayuki; Takahata, Genki] Hosokawa Works Co Ltd, Osaka, Japan</t>
  </si>
  <si>
    <t>Nishino, S (corresponding author), Japan Assoc Int Collaborat Agr &amp; Forestry, Tokyo, Japan.</t>
  </si>
  <si>
    <t>Feasibility Survey Project on Agricultural Mechanization for the Small Scale Farmers in Sub Sahara Africa, MAFF; Feasibility Survey for Rice Destoner as a Means of Income Generation in Rural Area of Uganda, JICA</t>
  </si>
  <si>
    <t>Investigations in this article were supported by Feasibility Survey Project on Agricultural Mechanization for the Small Scale Farmers in Sub Sahara Africa, MAFF, 2013-2016, and by Feasibility Survey for Rice Destoner as a Means of Income Generation in Rural Area of Uganda, JICA, 2016-2017.</t>
  </si>
  <si>
    <t>WOS:000454671200003</t>
  </si>
  <si>
    <t>Tran, CC; Yanagida, JF</t>
  </si>
  <si>
    <t>Tran, Chinh C.; Yanagida, John F.</t>
  </si>
  <si>
    <t>Environmental Impact Assessment of Banagrass-Based Cellulosic Ethanol Production on Hawaii Island: A Spatial Analysis of Re-Suspended Soil Dust and Carbon Dioxide Emission</t>
  </si>
  <si>
    <t>Hawaii Island; banagrass; PM10; PM2.5; CO2</t>
  </si>
  <si>
    <t>Environmental impacts from the development of banagrass (Pennisetum purpureum)-based ethanol production on Hawaii Island may create air quality problems. Air pollutants considered in this study include re-suspended soil dust (also known as PM2.5 and PM10) and carbon dioxide (CO2) emission. The resulting pollutant emissions are then compared against the Federal Prevention of Significant Deterioration (PSD) significant standard for the environmental impact assessment. This study combines GIS and a mathematical computational model to logically and effectively examine potential spatial impacts of ethanol development on air quality on Hawaii Island. This study found that mechanical harvesting of banagrass generates higher dust emission than other agricultural crops. The total PM10 emission of 248.18 tons per year was found statistically equivalent to the PSD significant permitting requirement limit of 250 tons per year (tpy) and thus considered as a major stationary source of fugitive dust pollution. The annual CO2 emission amount of 19,371.72 tons is less than the PSD significant permitting requirement of 75,000 tons of CO2 per year. As a result, this estimated amount is not considered as a major stationary source of pollution.</t>
  </si>
  <si>
    <t>[Tran, Chinh C.; Yanagida, John F.] Univ Hawaii Manoa, Dept Nat Resources &amp; Environm Management, Honolulu, HI 96822 USA; [Tran, Chinh C.] Vietnam Natl Univ Agr, Dept Environm, Hanoi 100000, Vietnam</t>
  </si>
  <si>
    <t>University of Hawaii System; University of Hawaii Manoa; Vietnam National University of Agriculture (VNUA)</t>
  </si>
  <si>
    <t>Tran, CC (corresponding author), Univ Hawaii Manoa, Dept Nat Resources &amp; Environm Management, Honolulu, HI 96822 USA.;Tran, CC (corresponding author), Vietnam Natl Univ Agr, Dept Environm, Hanoi 100000, Vietnam.</t>
  </si>
  <si>
    <t>chinh.tran@hawaii.edu</t>
  </si>
  <si>
    <t>Tran, Chinh/0000-0002-7497-759X</t>
  </si>
  <si>
    <t>ONR Grant [N00014-12-1-0496, USDA-NIFA-9008-003540]</t>
  </si>
  <si>
    <t>ONR Grant</t>
  </si>
  <si>
    <t>This research was funded by ONR Grant N00014-12-1-0496 and USDA-NIFA-9008-003540.</t>
  </si>
  <si>
    <t>10.3390/app9132648</t>
  </si>
  <si>
    <t>IL1AS</t>
  </si>
  <si>
    <t>WOS:000477031900067</t>
  </si>
  <si>
    <t>Yoosefdoost, A; Jazani, O; Liguori, S; Das, A; Santos, RM</t>
  </si>
  <si>
    <t>Yoosefdoost, Arash; Jazani, Omid; Liguori, Simona; Das, Anindita; Santos, Rafael M.</t>
  </si>
  <si>
    <t>Toward Carbon-Negative Methanol Production from Biogas: Intensified Membrane Reactor</t>
  </si>
  <si>
    <t>CHEMCATCHEM</t>
  </si>
  <si>
    <t>Agricultural residues; Carbon capture and utilization; Catalysis; Decentralized and renewable energy; Process intensification</t>
  </si>
  <si>
    <t>HYDROGEN-PRODUCTION; NICKEL NANOPARTICLES; SUPPORT INTERACTION; CO2 HYDROGENATION; SYNGAS PRODUCTION; SYNTHESIS GAS; DRY; CATALYST; ZEOLITE; CH4</t>
  </si>
  <si>
    <t>The modern world's major challenges, such as global warming, air pollution, and increasing energy demands, escalate the importance of sustainable development and transition toward renewables using innovative and environmentally friendly solutions, such as intensifying chemical processes, to reduce carbon footprints effectively. Aiming to enhance the process toward negative carbon emissions, this perspective explores the intensified membrane reactors for reducing the energy intensity of converting biogas into methanol, a versatile chemical feedstock, and renewable liquid fuel. Syngas and methanol synthesis processes, catalysts, and membranes were explored, and novel reactor designs were proposed. Introduction of selective membranes into the catalytic reaction zone to combine synthesis separation steps could enhance the system efficiency and intensify the process by recycling energy and materials, besides reducing costs and required energy for the separation process: the continuous harnessing of products shifts reactions toward desired species while recycling energy and materials enhances the process efficiency, and separating water from methanol reduces the required energy and costs of extra processes for methanol separation. The successful implementation of this technology holds significant promise for sustainable developments in producing chemicals and renewable fuel from renewable biogas and reducing methane and carbon dioxide emissions toward achieving carbon-negative technologies.</t>
  </si>
  <si>
    <t>[Yoosefdoost, Arash; Santos, Rafael M.] Univ Guelph, Sch Engn, 50 Stone Rd E, Guelph, ON N1G 2W1, Canada; [Jazani, Omid; Liguori, Simona] Clarkson Univ, Coulter Sch Engn, 8 Clarkson Ave, Potsdam, NY 13699 USA; [Das, Anindita] Southern Methodist Univ, Dept Chem, 6425 Boaz Lane, Dallas, TX 75205 USA</t>
  </si>
  <si>
    <t>University of Guelph; Clarkson University; Southern Methodist University</t>
  </si>
  <si>
    <t>Santos, RM (corresponding author), Univ Guelph, Sch Engn, 50 Stone Rd E, Guelph, ON N1G 2W1, Canada.</t>
  </si>
  <si>
    <t>santosr@uoguelph.ca</t>
  </si>
  <si>
    <t>Santos, Rafael/G-1657-2011; YoosefDoost, Arash/AAB-9847-2021; Das, Anindita/J-3023-2019; Jazani, Omid/JQX-1786-2023</t>
  </si>
  <si>
    <t>Jazani, Omid/0000-0001-8320-3441;</t>
  </si>
  <si>
    <t>Research Corporation for Science Advancement; Research Corporation for Science Advancement (Scialog Negative Emissions Science)</t>
  </si>
  <si>
    <t>Research Corporation for Science Advancement(Research Corporation for Science Advancement (RCSA)); Research Corporation for Science Advancement (Scialog Negative Emissions Science)</t>
  </si>
  <si>
    <t>The authors acknowledge the financial support provided by the Research Corporation for Science Advancement (Scialog Negative Emissions Science).</t>
  </si>
  <si>
    <t>1867-3880</t>
  </si>
  <si>
    <t>1867-3899</t>
  </si>
  <si>
    <t>ChemCatChem</t>
  </si>
  <si>
    <t>10.1002/cctc.202400698</t>
  </si>
  <si>
    <t>2PV0C</t>
  </si>
  <si>
    <t>WOS:001354468000001</t>
  </si>
  <si>
    <t>Zhang, L; Tang, QY; Li, LL; Xu, HQ; Zheng, HB; Wang, JL; Hua, YJ; Ren, LJ; Tang, JW</t>
  </si>
  <si>
    <t>Zhang, Lang; Tang, Qiyuan; Li, Linlin; Xu, Huaqin; Zheng, Huabing; Wang, Jilong; Hua, Yujie; Ren, Linjing; Tang, Jianwu</t>
  </si>
  <si>
    <t>Ratoon rice with direct seeding improves soil carbon sequestration in rice fields and increases grain quality</t>
  </si>
  <si>
    <t>Integrated ratoon rice system; Grain quality; Total organic carbon</t>
  </si>
  <si>
    <t>SEEDED RICE; YIELD; EMISSIONS; IMPACTS; CHINA; PADDY; ECOSYSTEM; MAIN; CH4</t>
  </si>
  <si>
    <t>Increasing both carbon (C) sequestration and food production is essential for a sustainable future. However, increasing soil C sequestration or graining yield/quality in rice (Oryza sativa L.) systems has been a tradeoff in that pursuing one goal may compromise the other goal. Field experiments were designed to evaluate methane emission and grain yield in two rice systems in southern China, including the traditional double rice with a seedling transplanting system and innovative ratoon rice with a direct seeding system. Grain yield, grain quality, methane (CH4) emission, and total organic carbon (TOC) loss rate were investigated, and yield-scaled CH4 gas emission was assessed. It is found that double rice has a higher grain yield than ratoon rice. However, the grain quality (processing, appearance of chalkiness degree and chalky grain percentage, and nutritional quality) of ratoon rice is superior to double rice, especially the ratoon crop. The yield-scaled CH4 emission of ratoon rice (0.06 kg kg -1) decreased by 49.29% than double rice (0.12 kg kg -1) throughout the growth period. Compared with the TOC loss rate of double rice (2.95 g kg -1), the rate of ratoon rice was lower (1.97 g kg -1). As a result, ratoon rice with direct seeding can not only improve grain quality but also mitigate yield-scaled CH4 gas emission and TOC loss rate of rice fields. Therefore, we suggest to use ratoon rice with a direct seeding technique to promote agricultural C sequestration.</t>
  </si>
  <si>
    <t>[Zhang, Lang; Hua, Yujie; Ren, Linjing; Tang, Jianwu] East China Normal Univ, State Key Lab Estuarine &amp; Coastal Res, Shanghai, Peoples R China; [Zhang, Lang; Tang, Qiyuan; Li, Linlin; Xu, Huaqin; Zheng, Huabing; Wang, Jilong] Hunan Agr Univ, Coll Agron, Changsha, Hunan, Peoples R China; [Tang, Jianwu] Minist Educ, Yangtze Delta Estuarine Wetland Ecosyst Observat, Shanghai, Peoples R China; [Tang, Jianwu] Shanghai Sci &amp; Technol Comm, Shanghai, Peoples R China; [Tang, Jianwu] East China Normal Univ, Inst Ecochongming, Shanghai, Peoples R China; [Xu, Huaqin] East China Normal Univ, State Key Lab Estuarine &amp; Coastal Res, Shanghai 200241, Peoples R China; [Tang, Jianwu] Hunan Agr Univ, Coll Agron, Changsha 410128, Hunan, Peoples R China</t>
  </si>
  <si>
    <t>East China Normal University; Hunan Agricultural University; Science &amp; Technology Commission of Shanghai Municipality (STCSM); East China Normal University; East China Normal University; Hunan Agricultural University</t>
  </si>
  <si>
    <t>Xu, HQ (corresponding author), East China Normal Univ, State Key Lab Estuarine &amp; Coastal Res, Shanghai 200241, Peoples R China.;Tang, JW (corresponding author), Hunan Agr Univ, Coll Agron, Changsha 410128, Hunan, Peoples R China.</t>
  </si>
  <si>
    <t>xu7541@163.com; jwtang@sklec.ecnu.edu.cn</t>
  </si>
  <si>
    <t>; Zhang, Lang/IRZ-1712-2023</t>
  </si>
  <si>
    <t>Li, Linlin/0009-0007-6042-7398; zhang, lang/0000-0002-2397-6861</t>
  </si>
  <si>
    <t>Earmarked Fund for China Agriculture Research System [CARS-01-27]; Science and Technology Commis-sion of Shanghai [19230742300]; China Scholarship Council [CSC201808430213]</t>
  </si>
  <si>
    <t>Earmarked Fund for China Agriculture Research System; Science and Technology Commis-sion of Shanghai(Science &amp; Technology Commission of Shanghai Municipality (STCSM)); China Scholarship Council(China Scholarship Council)</t>
  </si>
  <si>
    <t>We thank Faming Wang, Zhunqiao Liu, Ting Ma, Yujie Hua, Teng Hu, Linjing Ren, Yam Prasad Dhital and many student assistants for their help and support in the field and in the lab. The manuscript was improved by the helpful comments of the two reviewers. This work was financially supported by the Earmarked Fund for China Agriculture Research System (CARS-01-27) , the Science and Technology Commis-sion of Shanghai (Grant No.19230742300) , the ?Ecology+Initiativethe East China Normal University, and the China Scholarship Council (CSC201808430213) .</t>
  </si>
  <si>
    <t>10.1016/j.jenvman.2022.115374</t>
  </si>
  <si>
    <t>4S4FG</t>
  </si>
  <si>
    <t>WOS:000857398000004</t>
  </si>
  <si>
    <t>Özilgen, M</t>
  </si>
  <si>
    <t>Ozilgen, Mustafa</t>
  </si>
  <si>
    <t>Assessment of the energy utilization and carbon dioxide emission reduction potential of the microbial fertilizers. A case study on farm-to-fork production chain of Turkish desserts and confections</t>
  </si>
  <si>
    <t>Microbial fertilizer; Chemical fertilizer; Carbon dioxide emission; Energy utilization; Production of Turkish desserts</t>
  </si>
  <si>
    <t>GREENHOUSE-GAS EMISSIONS; FOOD; TURKEY; CONSUMPTION; REGION; WHEAT; MILK</t>
  </si>
  <si>
    <t>Energy utilization and carbon dioxide emission during production of some industrially produced desserts and confections are calculated. The results showed the possibility of 9%-90% reduction in the energy utilization and 4%-80% reduction in the carbon dioxide emission if the chemical fertilizers are replaced with their microbial counter parts. Reductions were more influential in the cases where only a small fraction of an agricultural product was edible and the rest was discarded. The greatest reduction in the energy utilization and carbon dioxide emission was observed with the hazelnut ice cream topping, where the shell and water content of the hazelnut were removed during processing. The second highest reduction in energy utilization, 50%, and carbon dioxide emission, 29%, was observed with the hazelnut spread. Baked semolina-dessert revealed 26% reductions in the energy utilization and 18% reduction in the carbon dioxide emission, after replacing the chemical fertilizers with their microbial counterparts. (C) 2017 Elsevier Ltd. All rights reserved.</t>
  </si>
  <si>
    <t>[Ozilgen, Mustafa] Yeditepe Univ, Food Engn Dept, TR-34755 Kayisdagi Istanbul, Turkey</t>
  </si>
  <si>
    <t>Yeditepe University</t>
  </si>
  <si>
    <t>Özilgen, M (corresponding author), Yeditepe Univ, Food Engn Dept, TR-34755 Kayisdagi Istanbul, Turkey.</t>
  </si>
  <si>
    <t>ozilgen.mustafa@gmail.com</t>
  </si>
  <si>
    <t>10.1016/j.jclepro.2017.07.169</t>
  </si>
  <si>
    <t>FH9PO</t>
  </si>
  <si>
    <t>WOS:000411544400051</t>
  </si>
  <si>
    <t>Casas-Ruiz, JP; Hutchins, RHS; del Giorgio, PA</t>
  </si>
  <si>
    <t>Casas-Ruiz, Joan P.; Hutchins, Ryan H. S.; del Giorgio, Paul A.</t>
  </si>
  <si>
    <t>Total Aquatic Carbon Emissions Across the Boreal Biome of Quebec Driven by Watershed Slope</t>
  </si>
  <si>
    <t>JOURNAL OF GEOPHYSICAL RESEARCH-BIOGEOSCIENCES</t>
  </si>
  <si>
    <t>aquatic network; carbon dioxide; methane; emissions; inland waters; carbon</t>
  </si>
  <si>
    <t>GREENHOUSE-GAS EMISSIONS; METHANE EMISSIONS; CO2 EMISSIONS; ORGANIC-CARBON; INLAND WATERS; CH4 FLUXES; WIND-SPEED; LAKES; EVASION; DIOXIDE</t>
  </si>
  <si>
    <t>Inland waters emit large amounts of CO2 and CH4 to the atmosphere, partially offsetting the sequestration of carbon in terrestrial ecosystems. However, the incorporation of inland waters into landscape carbon budgets remains challenging, hampered by a lack of studies that consider both carbon gases and the variety of aquatic systems (streams, rivers, and lakes). Here we develop a whole-network assessment of total aquatic carbon emissions for a set of large watersheds in boreal Quebec, Canada. Expressed per unit watershed area, our estimates of total (CO2 + CH4) aquatic carbon emissions range between 11 and 38 g C m(-2) yr(-1) and cannot be predicted from the size of the watershed or the total surface area of aquatic systems. Rather, we show that total aquatic emissions vary across the boreal landscape of Quebec as a function of the average slope of the watershed, which indirectly accounts for the configuration of aquatic networks, the physical forcing that influences gas exchange in fluvial systems, and the potential amount of soil carbon reaching aquatic systems. Total aquatic carbon emissions in boreal Quebec are of the same range and magnitude of variation than other components of the boreal carbon budget and could offset terrestrial net ecosystem productivity by as much as 38%. Plain Language Summary Inland waters are natural emitters of greenhouse gases to the atmosphere, partially offsetting the CO2 uptake by agricultural, forest, and wetland ecosystems. Nevertheless, the role of inland waters is rarely incorporated into regional greenhouse gas inventories. One of the main reasons is that there are very few estimates that integrate CO2 emissions from streams, rivers, and lakes at the large scale, and even fewer that in addition consider methane. Here we present the first assessment of total aquatic carbon emissions at the regional scale, which we developed for the boreal biome of Quebec, Canada, and explore how these aquatic emissions vary across this northern landscape. We show that total aquatic carbon emissions covary nonlinearly with the average slope of the watershed, such that maximal emissions occur both in the flattest and steepest landscapes. We further demonstrate that aquatic emissions could offset terrestrial carbon sinks by as much as 38%, and provide simple tools to incorporate inland waters into regional greenhouse gas inventories.</t>
  </si>
  <si>
    <t>[Casas-Ruiz, Joan P.; Hutchins, Ryan H. S.; del Giorgio, Paul A.] Univ Quebec Montreal, Dept Sci Biol, Grp Rech Interuniv Limnol GRIL, Montreal, PQ, Canada; [Casas-Ruiz, Joan P.] Univ Girona, Inst Aquat Ecol, Res Grp Ecol Inland Waters GRECO, Girona, Spain; [Hutchins, Ryan H. S.] Univ Waterloo, Dept Earth &amp; Environm Sci, Waterloo, ON, Canada</t>
  </si>
  <si>
    <t>University of Quebec; University of Quebec Montreal; Universitat de Girona; University of Waterloo</t>
  </si>
  <si>
    <t>Casas-Ruiz, JP (corresponding author), Univ Quebec Montreal, Dept Sci Biol, Grp Rech Interuniv Limnol GRIL, Montreal, PQ, Canada.;Casas-Ruiz, JP (corresponding author), Univ Girona, Inst Aquat Ecol, Res Grp Ecol Inland Waters GRECO, Girona, Spain.</t>
  </si>
  <si>
    <t>jpcasasruiz@gmail.com</t>
  </si>
  <si>
    <t>Hutchins, Ryan/AAD-8728-2019; Casas-Ruiz, Joan/M-1940-2019; del Giorgio, Paul/AAD-1315-2019</t>
  </si>
  <si>
    <t>Casas-Ruiz, Joan Pere/0000-0003-4708-9332; Hutchins, Ryan HS/0000-0002-1696-4934;</t>
  </si>
  <si>
    <t>Natural Sciences and Engineering Research Council of Canada; Hydro-Quebec Industrial Research Chair in Carbon Biogeochemistry in Boreal Aquatic Systems (NSERC) [592000]; Juan de la Cierva postdoctoral grant [FJC2018-037791-I]</t>
  </si>
  <si>
    <t>Natural Sciences and Engineering Research Council of Canada(Natural Sciences and Engineering Research Council of Canada (NSERC)CGIAR); Hydro-Quebec Industrial Research Chair in Carbon Biogeochemistry in Boreal Aquatic Systems (NSERC)(Natural Sciences and Engineering Research Council of Canada (NSERC)); Juan de la Cierva postdoctoral grant</t>
  </si>
  <si>
    <t>R. Nahas and J. Jakobsson performed the GIS analysis for lakes. P. Bodmer and M. Lau commented on an earlier version of the manuscript. We thank Y. T. Prairie and K. Daignault for guidance on the uncertainty analysis, and two reviewers for constructive and valuable comments that greatly improved the manuscript. This study was cofunded by the Natural Sciences and Engineering Research Council of Canada and Hydro-Quebec Industrial Research Chair in Carbon Biogeochemistry in Boreal Aquatic Systems (NSERC Grant 592000). J. P. Casas-Ruiz was partially supported by a Juan de la Cierva postdoctoral grant (FJC2018-037791-I).</t>
  </si>
  <si>
    <t>2169-8953</t>
  </si>
  <si>
    <t>2169-8961</t>
  </si>
  <si>
    <t>J GEOPHYS RES-BIOGEO</t>
  </si>
  <si>
    <t>J. Geophys. Res.-Biogeosci.</t>
  </si>
  <si>
    <t>e2020JG005863</t>
  </si>
  <si>
    <t>10.1029/2020JG005863</t>
  </si>
  <si>
    <t>QA3EG</t>
  </si>
  <si>
    <t>WOS:000613329800005</t>
  </si>
  <si>
    <t>Duan, P; Zhao, XX; Shi, XP; Chen, M</t>
  </si>
  <si>
    <t>Duan, Pei; Zhao, Xiaxia; Shi, Xunpeng; Chen, Ming</t>
  </si>
  <si>
    <t>China's tightrope: eradicating poverty without clouding the Sky</t>
  </si>
  <si>
    <t>Poverty alleviation policy; Environmental pollution; Sustainable development; Trade-offs and win-win</t>
  </si>
  <si>
    <t>ENVIRONMENTAL DEGRADATION; METEOROLOGICAL CONDITIONS; ECOLOGICAL FOOTPRINT; PM2.5 CONCENTRATIONS; ENERGY-CONSUMPTION; AIR-POLLUTION; VULNERABILITY; TECHNOLOGY; EMISSIONS; IMPACT</t>
  </si>
  <si>
    <t>Reducing poverty and protecting the environment are two major objectives of the United Nations Sustainable Development Goals (SDGs). However, recent studies have highlighted a potential conflict between efforts to achieve these two goals. This study examines the possible trade-off between China's poverty alleviation policies and environmental degradation, specifically focusing on PM2.5 pollution in impoverished counties. Utilizing sample data from 2008 to 2016 and taking the significant policy milestone in 2012 as a key reference point, we analyzed the environmental effects of poverty alleviation policies through a difference-in-differences (DID) model. The research findings are as follows: (a)The implementation of poverty alleviation policies has seriously exacerbated environmental pollution in impoverished counties, with the average environmental pollution in selected impoverished counties being 0.010 units higher than that in non-impoverished counties. (b) The policy of impoverished counties has led to an increase in PM2.5 emissions by promoting fertilizer application and agricultural mechanization rates. In addition, we found that the policy of impoverished counties promotes the development of the secondary industry, resulting in an increase in PM2.5 emissions in the selected impoverished counties. This research provides valuable insights for coordinating China's poverty alleviation policies, emission reduction targets, and economic development, and offers lessons for sustainable development and future paths for other emerging economies.</t>
  </si>
  <si>
    <t>[Duan, Pei; Zhao, Xiaxia] Shanxi Univ Finance &amp; Econ, Sch Int Trade, Taiyuan 030006, Peoples R China; [Duan, Pei; Shi, Xunpeng; Chen, Ming] Univ Technol Sydney, Australia China Relat Inst, Sydney 2007, Australia; [Shi, Xunpeng] Hubei Univ Econ, Collaborat Innovat Ctr Emiss Trading Syst Coconstr, Wuhan 430205, Peoples R China; [Chen, Ming] Chinese Acad Sci, Acad Math &amp; Syst Sci, Beijing 100190, Peoples R China</t>
  </si>
  <si>
    <t>Shanxi University Finance &amp; Economics; University of Technology Sydney; Hubei University of Economics; Chinese Academy of Sciences; Academy of Mathematics &amp; System Sciences, CAS</t>
  </si>
  <si>
    <t>Shi, XP (corresponding author), Univ Technol Sydney, Australia China Relat Inst, Sydney 2007, Australia.;Shi, XP (corresponding author), Hubei Univ Econ, Collaborat Innovat Ctr Emiss Trading Syst Coconstr, Wuhan 430205, Peoples R China.</t>
  </si>
  <si>
    <t>xunpeng.shi@uts.edu.au</t>
  </si>
  <si>
    <t>Shi, Xunpeng (Roc)/I-5486-2019</t>
  </si>
  <si>
    <t>University of Technology Sydney</t>
  </si>
  <si>
    <t>Open Access funding enabled and organized by CAUL and its Member Institutions</t>
  </si>
  <si>
    <t>NOV 18</t>
  </si>
  <si>
    <t>10.1007/s11027-025-10252-7</t>
  </si>
  <si>
    <t>9WQ4W</t>
  </si>
  <si>
    <t>WOS:001616794100001</t>
  </si>
  <si>
    <t>Cordes, H; Iriarte, A; Villalobos, P</t>
  </si>
  <si>
    <t>Cordes, Hanna; Iriarte, Alfredo; Villalobos, Pablo</t>
  </si>
  <si>
    <t>Evaluating the carbon footprint of Chilean organic blueberry production</t>
  </si>
  <si>
    <t>Blueberry; Carbon footprint; Chile; Life cycle assessment; Fruit; GHG emissions; Land use change; Organic agriculture</t>
  </si>
  <si>
    <t>LIFE-CYCLE ASSESSMENT; GREENHOUSE-GAS EMISSIONS; FOSSIL ENERGY USE; AGRICULTURE; SUGARCANE; SYSTEMS</t>
  </si>
  <si>
    <t>Chile is the second largest blueberry producer and exporter worldwide. At the global level, there is a lack of information by means of field data about greenhouse gas emissions from organic cultivation of this fruit. This study obtains a resource use inventory and assesses the cradle-to-farm gate carbon footprint (CF) of organic blueberry (Vaccinium corymbosum) production in the main cultivation area of Chile in order to identify CF key factors and to provide improvement measures. The method used in this study follows the ISO 14040 framework and the main recommendations in the PAS 2050 guide as well as its specification for horticultural products PAS 2050-1. Primary data were collected for three consecutive production seasons from five organic Chilean blueberry orchards and calculations conducted with the GaBi 4 software. Agricultural factors such as fertilizers, pesticides, fossil fuels, electricity, materials, machinery, and direct land use change (LUC) are included. Only three orchards present direct LUC. The direct LUC associated with the conversion from annual crops to perennial crops is a key factor in the greenhouse gas removals from the orchards. When accounting for direct LUC, the CF of organic blueberry production in the studied orchards ranges from removals (reported as negative value) of -0.94 to emissions of 0.61 kg CO2-e/kg blueberry. CF excluding LUC ranges from 0.27 to 0.69 kg CO2-e/kg blueberry. The variability in the results of the orchards suggests that the production practices have important effects on the CF. The factors with the greatest contribution to the greenhouse emissions are organic fertilizers followed by energy use causing, on average, 50 and 43 % of total emissions, respectively. The CF of the organic blueberry orchards under study decreases significantly when taking into account removals related to LUC. The results highlight the importance of reporting separately the greenhouse gas (GHG) emissions from LUC. The CF of blueberry production could be reduced by optimizing fertilizer application, using cover crops and replacing inefficient tractors and large irrigation pumps. The identification of improvement measures would be a useful guide for changing grower practices.</t>
  </si>
  <si>
    <t>[Cordes, Hanna] Univ Gottingen, Fac Agr Sci, Dept Agr Econ &amp; Rural Dev, Int Agribusiness &amp; Rural Dev Program, Pl Gottinger Sieben 5, Gottingen, Germany; [Cordes, Hanna] Univ Talca, Fac Agr Sci, Int Agribusiness Program, Casilla 747, Talca, Chile; [Iriarte, Alfredo] Univ Talca, Fac Engn, Int Agribusiness Program, Dept Ind Engn,Dept Ind Management &amp; Modeling, Casilla 747, Talca, Chile; [Iriarte, Alfredo] CEAP, Chilean Food Proc Res Ctr, R09I2001,Av San Luis Km 1, Talca, Chile; [Villalobos, Pablo] Univ Talca, Fac Agr Sci, Dept Agr Econ, Casilla 747, Talca, Chile</t>
  </si>
  <si>
    <t>University of Gottingen; Universidad de Talca; Universidad de Talca; Universidad de Talca</t>
  </si>
  <si>
    <t>Iriarte, A (corresponding author), Univ Talca, Fac Engn, Int Agribusiness Program, Dept Ind Engn,Dept Ind Management &amp; Modeling, Casilla 747, Talca, Chile.;Iriarte, A (corresponding author), CEAP, Chilean Food Proc Res Ctr, R09I2001,Av San Luis Km 1, Talca, Chile.</t>
  </si>
  <si>
    <t>Chilean Food Processing Research Center (Centro de Estudios en Alimentos Procesados CEAP, Chile) [R09I2001]; CONICYT (Chile)-FONDECYT [11140765]</t>
  </si>
  <si>
    <t>Chilean Food Processing Research Center (Centro de Estudios en Alimentos Procesados CEAP, Chile); CONICYT (Chile)-FONDECYT(Comision Nacional de Investigacion Cientifica y Tecnologica (CONICYT)CONICYT FONDECYT)</t>
  </si>
  <si>
    <t>The present work was mainly supported by the Chilean Food Processing Research Center (Centro de Estudios en Alimentos Procesados CEAP, Chile), R09I2001. A. Iriarte thanks CONICYT (Chile)-FONDECYT Project No 11140765 for support his work and part of this study. We thank BioAudita (Chillan, Chile) for establishing contacts with some of the growers, as well as the growers themselves for their help in providing data and their participation in this research.</t>
  </si>
  <si>
    <t>10.1007/s11367-016-1034-8</t>
  </si>
  <si>
    <t>DD6YI</t>
  </si>
  <si>
    <t>WOS:000370070200001</t>
  </si>
  <si>
    <t>Mishra, A; Humpenöder, F; Churkina, G; Reyer, CPO; Beier, F; Bodirsky, BL; Schellnhuber, HJ; Lotze-Campen, H; Popp, A</t>
  </si>
  <si>
    <t>Mishra, Abhijeet; Humpenoder, Florian; Churkina, Galina; Reyer, Christopher P. O.; Beier, Felicitas; Bodirsky, Benjamin Leon; Schellnhuber, Hans Joachim; Lotze-Campen, Hermann; Popp, Alexander</t>
  </si>
  <si>
    <t>Land use change and carbon emissions of a transformation to timber cities</t>
  </si>
  <si>
    <t>MASS TIMBER; WOOD; PLANTATIONS; MITIGATION; RESOURCES; DYNAMICS; BIODIVERSITY; ECOSYSTEMS; BUILDINGS; INTENSITY</t>
  </si>
  <si>
    <t>Using engineered wood for construction has been discussed for climate change mitigation. It remains unclear where and in which way the additional demand for wooden construction material shall be fulfilled. Here we assess the global and regional impacts of increased demand for engineered wood on land use and associated CO2 emissions until 2100 using an open-source land system model. We show that if 90% of the new urban population would be housed in newly built urban mid-rise buildings with wooden constructions, 106 Gt of additional CO2 could be saved by 2100. Forest plantations would need to expand by up to 149 Mha by 2100 and harvests from unprotected natural forests would increase. Our results indicate that expansion of timber plantations for wooden buildings is possible without major repercussions on agricultural production. Strong governance and careful planning are required to ensure a sustainable transition to timber cities even if frontier forests and biodiversity hotspots are protected. Wood used in construction stores carbon and reduces the emissions from steel and cement production. Transformation to timber cities while protecting forest and biodiversity is possible without significant increase in competition for land.</t>
  </si>
  <si>
    <t>[Mishra, Abhijeet; Humpenoder, Florian; Churkina, Galina; Reyer, Christopher P. O.; Beier, Felicitas; Bodirsky, Benjamin Leon; Schellnhuber, Hans Joachim; Lotze-Campen, Hermann; Popp, Alexander] Potsdam Inst Climate Impact Res PIK, POB 60 12 03, D-14412 Potsdam, Germany; [Mishra, Abhijeet; Humpenoder, Florian; Churkina, Galina; Reyer, Christopher P. O.; Beier, Felicitas; Bodirsky, Benjamin Leon; Schellnhuber, Hans Joachim; Lotze-Campen, Hermann; Popp, Alexander] Leibniz Assoc, POB 60 12 03, D-14412 Potsdam, Germany; [Mishra, Abhijeet; Beier, Felicitas; Lotze-Campen, Hermann] Humboldt Univ, Dept Agr Econ, Unter Linden 6, D-10099 Berlin, Germany; [Bodirsky, Benjamin Leon] World Vegetable Ctr, POB 42, Tainan 74199, Taiwan</t>
  </si>
  <si>
    <t>Potsdam Institut fur Klimafolgenforschung; Humboldt University of Berlin</t>
  </si>
  <si>
    <t>Mishra, A (corresponding author), Potsdam Inst Climate Impact Res PIK, POB 60 12 03, D-14412 Potsdam, Germany.;Mishra, A (corresponding author), Leibniz Assoc, POB 60 12 03, D-14412 Potsdam, Germany.;Mishra, A (corresponding author), Humboldt Univ, Dept Agr Econ, Unter Linden 6, D-10099 Berlin, Germany.</t>
  </si>
  <si>
    <t>mishra@pik-potsdam.de</t>
  </si>
  <si>
    <t>Reyer, Christopher/A-5515-2013; Popp, Alexander/N-7064-2014; Bodirsky, Benjamin/ABH-9170-2020; Humpenöder, Florian/HHN-1081-2022; Lotze-Campen, Hermann/AAA-5093-2020; Schellnhuber, Hans Joachim/B-2607-2012; Mishra, Abhijeet/ODL-2114-2025</t>
  </si>
  <si>
    <t>Reyer, Christopher/0000-0003-1067-1492; Bodirsky, Benjamin Leon/0000-0002-8242-6712; Humpenöder, Florian/0000-0003-2927-9407; Lotze-Campen, Hermann/0000-0002-0003-5508; Beier, Felicitas Dorothea/0000-0002-8725-7663; Popp, Alexander/0000-0001-9500-1986; Schellnhuber, Hans Joachim/0000-0001-7453-4935; Mishra, Abhijeet/0000-0002-8287-9922;</t>
  </si>
  <si>
    <t>Leibniz Association's Economic Growth Impacts of Climate Change (ENGAGE) [SAW-2016-PIK-1]; Bundesministerium fur Bildung und Forschung (BMBF); BMBF [01LA1809A]; German Federal Environmental Foundation (DBU); EU [821010]; European Union [776479]; NAVIGATE [821124]; ENGAGE project of the European Union's Horizon 2020 research and innovation program [821471]; H2020 Societal Challenges Programme [821471] Funding Source: H2020 Societal Challenges Programme</t>
  </si>
  <si>
    <t>Leibniz Association's Economic Growth Impacts of Climate Change (ENGAGE); Bundesministerium fur Bildung und Forschung (BMBF)(Federal Ministry of Education &amp; Research (BMBF)); BMBF(Federal Ministry of Education &amp; Research (BMBF)); German Federal Environmental Foundation (DBU); EU(European Union (EU)); European Union(European Union (EU)); NAVIGATE; ENGAGE project of the European Union's Horizon 2020 research and innovation program; H2020 Societal Challenges Programme(Horizon 2020European Union (EU)H2020 Societal Challenges Programme)</t>
  </si>
  <si>
    <t>The authors thank FAOSTAT, World Bank, and the SSP scenario modelers for the data provided which acts as major model drivers. We thank Kristine Karstens (PIK/HU Berlin, Germany) and other colleagues at PIK for valuable discussions during the development of the paper. The authors are also grateful for the constant support of the IT team managing the High-Performance Cluster (HPC) computers for scientific calculations at PIK. We also acknowledge Leibniz Association's Economic Growth Impacts of Climate Change (ENGAGE) project under grant no. SAW-2016-PIK-1, Bundesministerium fur Bildung und Forschung (BMBF) funded Pathways and BMBF funded Deep Transformation Scenarios for Informing the Climate Policy Discourse (DIPOL) project under grant no. 01LA1809A which funded the research work of A.M. Scholarship from the German Federal Environmental Foundation (DBU) funded the work of F.B. Funding from the EU Horizon 2020 research and innovation program under grant agreement 821010 (CASCADES) supported the work of C.P.O.R. Funding from the European Union's Horizon 2020 research and innovation program under grant agreement No 776479 (COACCH) supported the work of BLB. This work has also received funding from the NAVIGATE and the ENGAGE project of the European Union's Horizon 2020 research and innovation program under grant agreements 821124 and 821471, respectively.</t>
  </si>
  <si>
    <t>AUG 30</t>
  </si>
  <si>
    <t>10.1038/s41467-022-32244-w</t>
  </si>
  <si>
    <t>4E4LE</t>
  </si>
  <si>
    <t>WOS:000847797500005</t>
  </si>
  <si>
    <t>Luo, XJ; Ye, QQ; Huang, XZ; Zhao, B; Liu, HB</t>
  </si>
  <si>
    <t>Luo, Xiaojuan; Ye, Qingqing; Huang, Xinzao; Zhao, Bo; Liu, Hongbin</t>
  </si>
  <si>
    <t>How Do Multidimensional Relational Networks Affect Large-Scale Grain Producers' Adoption of Low-Carbon Fertilization Technology?</t>
  </si>
  <si>
    <t>multidimensional relational networks; low-carbon fertilization technology; mediation effect; large-scale grain producers</t>
  </si>
  <si>
    <t>FARMERS ADOPTION; MANAGEMENT-PRACTICES; AGRICULTURE; MALAWI; SEQUESTRATION; PRODUCTIVITY; DECISIONS; EMISSIONS</t>
  </si>
  <si>
    <t>Fertilizer carbon emissions contribute the largest proportion to agricultural carbon emissions in China, while the extension of low-carbon fertilization technologies (LCFTs) is an effective measure to address this issue. Research suggests that the relational networks surrounding farmers significantly influence their carbon reduction behavior. This study conducted a field survey of 239 large-scale grain producers in August 2022 on China's Poyang Lake Basin, which is the nation's largest freshwater lake and a vital agricultural production area. Using cross-sectional data, probit and ordered probit models were employed to analyze the impacts of multidimensional relational networks (market, government, and social networks) on the adoption of LCFTs by large-scale grain producers. Additionally, a mediating-effect model was used to examine the pathways through which relational networks influence LCFT adoption. The findings indicated that relational networks not only increased the likelihood of large-scale grain producers adopting LCFTs but also enhanced the intensity of adoption. However, the effects of different relational networks on low-carbon behavior varied. The market network exerted the most prominent influence on LCFT adoption, followed by the social and government networks. A mediation analysis identified information sharing, demonstration effects, and resource guarantees as the mediating pathways between multidimensional relational networks and LCFT adoption by large-scale grain producers. Furthermore, a heterogeneity analysis revealed that the effects of multidimensional relational networks on LCFT adoption differed across generations and carbon intensity levels. The impact was greater among older grain producers than the younger generation, and those in the high-carbon-intensity group exhibited a stronger incentive compared to the medium- and low-carbon-intensity groups.</t>
  </si>
  <si>
    <t>[Luo, Xiaojuan; Ye, Qingqing; Zhao, Bo] Jiangxi Normal Univ, Jiangxi Econ Dev Res Inst, Nanchang 330022, Peoples R China; [Huang, Xinzao] Jiangxi Normal Univ, Reg Dev Res Inst, Nanchang 330022, Peoples R China; [Liu, Hongbin] Shenyang Agr Univ, Coll Land &amp; Environm, Shenyang 110866, Peoples R China</t>
  </si>
  <si>
    <t>Jiangxi Normal University; Jiangxi Normal University; Shenyang Agricultural University</t>
  </si>
  <si>
    <t>Luo, XJ (corresponding author), Jiangxi Normal Univ, Jiangxi Econ Dev Res Inst, Nanchang 330022, Peoples R China.</t>
  </si>
  <si>
    <t>luoxiaojuan@jxnu.edu.cn; 202240101059@jxnu.edu.cn; 005079@jxnu.edu.cn; zhaobo507@jxnu.edu.cn; liuhongbinsy@syau.edu.cn</t>
  </si>
  <si>
    <t>Luo, Xiaojuan/0000-0002-3216-9906</t>
  </si>
  <si>
    <t>National Natural Science Foundation of China; Jiangxi Province Social Science Planning Foundation [22YJ14]; Jiangxi Province Cultural and Artistic Science Planning Foundation [YG2022154]; Youth Fund Project for Humanities and Social Sciences Research of the Ministry of Education [24YJC790071]; [72063019]; [72074153]</t>
  </si>
  <si>
    <t>National Natural Science Foundation of China(National Natural Science Foundation of China (NSFC)); Jiangxi Province Social Science Planning Foundation; Jiangxi Province Cultural and Artistic Science Planning Foundation; Youth Fund Project for Humanities and Social Sciences Research of the Ministry of Education; ;</t>
  </si>
  <si>
    <t>This research was supported by the National Natural Science Foundation of China, under grants 72063019 and 72074153; the Jiangxi Province Social Science Planning Foundation, under grant 22YJ14; the Jiangxi Province Cultural and Artistic Science Planning Foundation, under grant YG2022154; Youth Fund Project for Humanities and Social Sciences Research of the Ministry of Education, under grant 24YJC790071.</t>
  </si>
  <si>
    <t>10.3390/su17010289</t>
  </si>
  <si>
    <t>R8J9J</t>
  </si>
  <si>
    <t>WOS:001393853900001</t>
  </si>
  <si>
    <t>Sharma, A; Srivastava, S; Kumar, R; Mitra, D</t>
  </si>
  <si>
    <t>Sharma, Abhinav; Srivastava, Shuchita; Kumar, R.; Mitra, D.</t>
  </si>
  <si>
    <t>Source attribution of carbon monoxide over Northern India during crop residue burning period over Punjab</t>
  </si>
  <si>
    <t>ENVIRONMENTAL POLLUTION</t>
  </si>
  <si>
    <t>Carbon monoxide; Crop residue burning; WRF-Chem; New Delhi; Punjab</t>
  </si>
  <si>
    <t>REGIONAL EMISSION INVENTORY; BOUNDARY-LAYER HEIGHT; AIR-POLLUTION; MEGACITY DELHI; WRF-CHEM; ANTHROPOGENIC EMISSIONS; VERTICAL-DISTRIBUTION; FORECASTING-MODEL; GREENHOUSE GASES; WEATHER RESEARCH</t>
  </si>
  <si>
    <t>National Capital Territory of Delhi and its satellite cities suffer from poor air quality during the post-monsoon months of October-November. In this study, a novel attempt is made to estimate the contribution of different emission sources (industrial, residential, power generation, transportation, biomass burning, photochemical production, lateral transport, etc.) towards the criteria air pollutant carbon monoxide (CO) concentration over North India. Multiple simulations of the WRF-Chem model with a tagged tracer approach with different inputs (6 anthropogenic emission inventories and 3 biomass burning emission inventories) were used. The model performance was evaluated against the MOPITT retrieved CO surface concentration. Analysis of model simulated CO over North India suggests that anthropogenic emissions contribute around 32-49% to surface CO concentration while crop residue burning contributes 27-44% of which 80% originates from Punjab. For Delhi, the contribution from anthropogenic sources is dominant (53-77%) of which 10-28% is from the domestic sector and 14-55% is from the transport sector. Agricultural waste burning contributes about 15-30% to Delhi's surface CO concentration (of which 75% originates from Punjab). Crop residue burning emission is a chief source of CO over Punjab with a contribution of about 56-76%. The results suggest that industrial, transport, and domestic sector activities are more responsible for increased CO levels over New Delhi and surrounding regions than crop residue burning over Punjab. Furthermore, critical meteorological parameters like 10 m wind speed, boundary layer height, 2 m temperature, total precipitation, and relative humidity were evaluated against CO concentration to understand their impact on CO distribution. Results conclude that deteriorating air quality over the North Indian region is caused by a combination of prevailing meteorological factors (such as slow winds, shallow mixing layer, and cold temperatures) and man-made emissions.</t>
  </si>
  <si>
    <t>[Sharma, Abhinav; Srivastava, Shuchita; Mitra, D.] Indian Inst Remote Sensing, Dehra Dun, India; [Kumar, R.] Natl Ctr Atmospher Res, Boulder, CO USA</t>
  </si>
  <si>
    <t>Department of Space (DoS), Government of India; Indian Space Research Organisation (ISRO); Indian Institute of Remote Sensing (IIRS); National Center Atmospheric Research (NCAR) - USA</t>
  </si>
  <si>
    <t>Srivastava, S (corresponding author), Indian Inst Remote Sensing, Atmospher Sci Dept, Kalidas Rd, Dehra Dun, India.</t>
  </si>
  <si>
    <t>shuchita@iirs.gov.in</t>
  </si>
  <si>
    <t>; Kumar, Rajesh/A-1212-2015</t>
  </si>
  <si>
    <t>Sharma, Abhinav/0000-0002-8590-2921; Kumar, Rajesh/0000-0002-3135-9556</t>
  </si>
  <si>
    <t>ISRO Climate and Atmospheric Programme [E3Z1707TF101]</t>
  </si>
  <si>
    <t>ISRO Climate and Atmospheric Programme</t>
  </si>
  <si>
    <t>We are thankful to WRF-Chem developers, VIIRS, MODIS, MOPITT, NCEP, WACCM, ERA5, and CAMS teams for their respective datasets. We acknowledge the use of WRF-Chem pre-processing utilities developed by ACOM. We acknowledge the use of the dataset provided by ECCAD, EDGAR, PNNL, and ESGF. We are also thankful to Dr. Aurelia Lupascu (ECMWF) for her helpful discussion on model configuration. We are thankful to Dr. Yogesh Kant, Head At.SD; Dr. Pramod Kumar, Dean Academics IIRS; Dr. Raghvendra Pratap Singh, Director IIRS and Dr. Prakash Chauhan, Director NRSC for their encouragement and support. This study is funded by the ISRO Climate and Atmospheric Programme (LI Code E3Z1707TF101) .</t>
  </si>
  <si>
    <t>0269-7491</t>
  </si>
  <si>
    <t>1873-6424</t>
  </si>
  <si>
    <t>ENVIRON POLLUT</t>
  </si>
  <si>
    <t>Environ. Pollut.</t>
  </si>
  <si>
    <t>10.1016/j.envpol.2024.124707</t>
  </si>
  <si>
    <t>E2A0N</t>
  </si>
  <si>
    <t>WOS:001301070500001</t>
  </si>
  <si>
    <t>Liiv, J; Githuku, CR; Mwai, M; Maendar, H; Ritslaid, P; Shanskiy, M; Rikmann, E</t>
  </si>
  <si>
    <t>Liiv, Jueri; Githuku, Catherine Rwamba; Mwai, Marclus; Maendar, Hugo; Ritslaid, Peeter; Shanskiy, Merrit; Rikmann, Ergo</t>
  </si>
  <si>
    <t>Carbon-Negative Construction Material Based on Rice Production Residues</t>
  </si>
  <si>
    <t>MATERIALS</t>
  </si>
  <si>
    <t>carbon-negative; construction material; rice husk ash; wood ash; compressive strength</t>
  </si>
  <si>
    <t>STRAW</t>
  </si>
  <si>
    <t>This study presents a cost-effective, carbon-negative construction material for affordable housing, developed entirely from locally available agricultural wastes: rice husk ash, wood ash, and rice straw-materials often problematic to dispose of in many African regions. Rice husk ash provides high amorphous silica, acting as a strong pozzolanic agent. Wood ash contributes calcium oxide and alkalis to serve as a reactive binder, while rice straw functions as a lightweight organic filler, enhancing thermal insulation and indoor climate comfort. These materials undergo natural pozzolanic reactions with water, eliminating the need for Portland cement-a major global source of anthropogenic CO2 emissions (similar to 900 kg CO2/ton cement). This process is inherently carbon-negative, not only avoiding emissions from cement production but also capturing atmospheric CO2 during lime carbonation in the hardening phase. Field trials in Kenya confirmed the composite's sufficient structural strength for low-cost housing, with added benefits including termite resistance and suitability for unskilled laborers. In a collaboration between the University of Tartu and Kenyatta University, a semi-automatic mixing and casting system was developed, enabling fast, low-labor construction of full-scale houses. This innovation aligns with Kenya's Big Four development agenda and supports sustainable rural development, post-disaster reconstruction, and climate mitigation through scalable, eco-friendly building solutions.</t>
  </si>
  <si>
    <t>[Liiv, Jueri] Cellula Ltd, Raua 1, EE-10124 Tallinn, Estonia; [Githuku, Catherine Rwamba; Mwai, Marclus] Kenyatta Univ, Dept Civil Engn, POB 43844-00100, Nairobi, Kenya; [Maendar, Hugo; Ritslaid, Peeter] Univ Tartu, Inst Phys, W Ostwaldi 1, EE-50411 Tartu, Estonia; [Shanskiy, Merrit] Estonian Univ Life Sci, Inst Agr &amp; Environm Sci, Kreutzwaldi 5, EE-51014 Tartu, Estonia; [Rikmann, Ergo] Univ Tartu, Inst Chem, Ravila 14A, EE-50411 Tartu, Estonia</t>
  </si>
  <si>
    <t>Kenyatta University; University of Tartu; University of Tartu Institute of Physics; Estonian University of Life Sciences; University of Tartu</t>
  </si>
  <si>
    <t>Rikmann, E (corresponding author), Univ Tartu, Inst Chem, Ravila 14A, EE-50411 Tartu, Estonia.</t>
  </si>
  <si>
    <t>jyri.liiv@cellula.ee; githuku.catherine@ku.ac.ke; mmarclus@yahoo.com; hugo.mandar@ut.ee; peeter.ritslaid@ut.ee; merrit.shanskiy@emu.ee; ergo.rikmann@ut.ee</t>
  </si>
  <si>
    <t>; Shanskiy, Merrit/I-5732-2018; Ritslaid, Peeter/ABE-1114-2021; Mändar, Hugo/J-1534-2015; Liiv, Jüri/G-2127-2017</t>
  </si>
  <si>
    <t>Rikmann, Ergo/0000-0001-7469-2685; Shanskiy, Merrit/0000-0002-5689-8089; Mändar, Hugo/0000-0001-5306-5375; Liiv, Jüri/0000-0002-8507-4898</t>
  </si>
  <si>
    <t>Estonia's contribution to international climate cooperation</t>
  </si>
  <si>
    <t>This research was funded by Estonia's contribution to international climate cooperation through Climate policy objectives for developing countries no. Kliima.3.01.20-0078.</t>
  </si>
  <si>
    <t>1996-1944</t>
  </si>
  <si>
    <t>Materials</t>
  </si>
  <si>
    <t>10.3390/ma18153534</t>
  </si>
  <si>
    <t>Chemistry, Physical; Materials Science, Multidisciplinary; Metallurgy &amp; Metallurgical Engineering; Physics, Applied; Physics, Condensed Matter</t>
  </si>
  <si>
    <t>Chemistry; Materials Science; Metallurgy &amp; Metallurgical Engineering; Physics</t>
  </si>
  <si>
    <t>6DX4G</t>
  </si>
  <si>
    <t>WOS:001551041700001</t>
  </si>
  <si>
    <t>Hou, PF; Xue, LX; Wang, J; Petropoulos, E; Xue, LH; Yang, LZ</t>
  </si>
  <si>
    <t>Hou, Pengfu; Xue, Lixiang; Wang, Jing; Petropoulos, Evangelos; Xue, Lihong; Yang, Linzhang</t>
  </si>
  <si>
    <t>Green Manure Amendment in Paddies Improves Soil Carbon Sequestration but Cannot Substitute the Critical Role of N Fertilizer in Rice Production</t>
  </si>
  <si>
    <t>green manure; nitrogen fertilizer; soil carbon management indices; methane emissions; rice production</t>
  </si>
  <si>
    <t>CH4 EMISSIONS; METHANE EMISSIONS; NITROGEN; FRACTIONS; OXIDATION; MANAGEMENT; SYSTEM; N2O</t>
  </si>
  <si>
    <t>Clarifying the benefits of carbon sequestration and crop production of continuous green manure amendment is crucial for sustainable agricultural development. Here, using a long-term located experiment, we assessed the effects of 18 years' ryegrass/milk vetch amendment with (NF, 150 kg N ha(-1)) or without nitrogen (N) fertilizer input (CK), on soil carbon management indices, paddy methane (CH4) emissions and rice yields. The results showed that green manure, rather than fertilization, played a critical role in soil CMI, increasing the carbon pool index but reducing the carbon management index. The increased soil organic carbon and the reduced labile organic carbon were the main causes for this performance. Additionally, the effects of both fertilization and green manure amendment on CH4 emissions were insignificant; however, fertilization significantly increased grain yield by 39.30% compared to CK. As a result, the methane emission intensity under fertilization treatment was notably lower than that from CK. The findings suggest that green manure amendment is a profitable manipulation for enhancing carbon sequestration without increasing paddy CH4 emissions. However, this cannot substitute the critical role of N fertilizer in rice production.</t>
  </si>
  <si>
    <t>[Hou, Pengfu; Xue, Lixiang; Xue, Lihong; Yang, Linzhang] Jiangsu Acad Agr Sci, Key Lab Agroenvironm Downstream Yangze Plain, Minist Agr &amp; Rural Affairs China, Nanjing 210014, Peoples R China; [Wang, Jing] Nanjing Forestry Univ, Coll Forestry, Coinnovat Ctr Sustainable Forestry Southern China, Nanjing 210037, Peoples R China; [Petropoulos, Evangelos] Newcastle Univ, Sch Engn, Newcastle Upon Tyne NE1 7RU, Tyne &amp; Wear, England; [Petropoulos, Evangelos] Premier Tech Water &amp; Environm, County Durham SR8 2RA, England</t>
  </si>
  <si>
    <t>Jiangsu Academy of Agricultural Sciences; Nanjing Forestry University; Newcastle University - UK</t>
  </si>
  <si>
    <t>Xue, LH (corresponding author), Jiangsu Acad Agr Sci, Key Lab Agroenvironm Downstream Yangze Plain, Minist Agr &amp; Rural Affairs China, Nanjing 210014, Peoples R China.</t>
  </si>
  <si>
    <t>houpengfu@jaas.ac.cn; 20140983@jaas.ac.cn; jwang@njfu.edu.cn; vagpetrop@gmail.com; njxuelihong@gmail.com; 20120001@jaas.ac.cn</t>
  </si>
  <si>
    <t>National Key Research and Development Program of China [2021YFD1700803, 2017YFD0300104]; National Natural Science Foundation of China [42077092]; Jiangsu Carbon Peak Carbon Neutrality Science and Technology Innovation Fund [BE2022308]</t>
  </si>
  <si>
    <t>National Key Research and Development Program of China(National Key Research &amp; Development Program of China); National Natural Science Foundation of China(National Natural Science Foundation of China (NSFC)); Jiangsu Carbon Peak Carbon Neutrality Science and Technology Innovation Fund</t>
  </si>
  <si>
    <t>This research was funded by the National Key Research and Development Program of China under the numbers of 2021YFD1700803 and 2017YFD0300104, the National Natural Science Foundation of China under number 42077092, and Jiangsu Carbon Peak Carbon Neutrality Science and Technology Innovation Fund under number BE2022308.</t>
  </si>
  <si>
    <t>10.3390/agronomy12071548</t>
  </si>
  <si>
    <t>3H9JH</t>
  </si>
  <si>
    <t>WOS:000832344200001</t>
  </si>
  <si>
    <t>Zhu, XQ; Zhang, ZQ; Chen, XW; Jia, F; Chai, YX</t>
  </si>
  <si>
    <t>Zhu, Xiaoqing; Zhang, Ziqi; Chen, Xiaowei; Jia, Fu; Chai, Yuxi</t>
  </si>
  <si>
    <t>Nexus of mixed-use vitality, carbon emissions and sustainability of mixed-use rural communities: The case of Zhejiang</t>
  </si>
  <si>
    <t>Rural communities; Mixed-use vitality; Carbon emissions; Sustainability</t>
  </si>
  <si>
    <t>AGRICULTURAL LAND-USE; ZERO-ENERGY; LIVE-WORK; URBAN; CHINA; URBANIZATION; CONSUMPTION; CONNECTION; BEHAVIOR; IMPACTS</t>
  </si>
  <si>
    <t>With the progress of urbanization, rural communities in Zhejiang Province of China have demonstrated a pattern of commercial and residential combinations, which resulted in increased household carbon emissions. Hence, the realization of the sustainable development of the economy, society, and environment has become an important issue facing these mixed-use communities. We aim to explore the nexus of mixed-use vitality, carbon emission and sustainability of mixed-use communities. We adopt case study method, collect both quantitative and qualitative data, and apply the analysis tools of statistical information grid (STING) and geographic information system (GIS) to map the spatial distribution of mixed-use communities based on mixed-use vitality, carbon emissions and sustainability of the sampled communities. We find that: (1) Based on mixed-use vitality and carbon emissions, the distribution patterns of mixed-use communities can be categorized into the three types of a multicore unordered distribution, a single-core interlocking distribution, and a multicore orderly distribution, corresponding to tourism, specialized market and manufacturing communities, respectively. (2) Among the three types, the overall sustainability of tourism communities is the lowest while the manufacturing industry and specialized market communities show higher levels of sustainability. (3) Contrary to the view that high carbon emissions lead to low sustainability; we found that mixed-use vitality plays a more important role than carbon emissions in affecting overall sustainability (i.e., low carbon emissions lead to low sustainability for tourism communities; high carbon emissions lead to high sustainability for specialized market communities). (4) We have also identified a list of factors affecting the spatial distribution of mixed-use communities. Based on the results, this study provides significant insights for the development of mixed-use rural communities in China and developing countries from the perspectives of mixed-use planning for sustainability.</t>
  </si>
  <si>
    <t>[Zhu, Xiaoqing] Zhejiang Univ Technol, Coll Design &amp; Architecture, Hangzhou, Peoples R China; [Zhang, Ziqi] Shanghai Jiao Tong Univ, Sch Design, 800 Dongchuan Rd, Shanghai, Peoples R China; [Chen, Xiaowei] Zhejiang Sci Tech Univ, Sch Civil Engn &amp; Architecture, Hangzhou, Peoples R China; [Jia, Fu] Univ York, York Management Sch, York YO10 5DD, N Yorkshire, England; [Chai, Yuxi] Zhejiang Univ, China Acad Cross Border E Commerce, Ningbo Res Inst, Ningbo, Peoples R China</t>
  </si>
  <si>
    <t>Zhejiang University of Technology; Shanghai Jiao Tong University; Zhejiang Sci-Tech University; University of York - UK; Zhejiang University</t>
  </si>
  <si>
    <t>Chen, XW (corresponding author), Zhejiang Sci Tech Univ, Sch Civil Engn &amp; Architecture, Hangzhou, Peoples R China.</t>
  </si>
  <si>
    <t>arc_zxq@163.com; ziqizhang@sjtu.edu.cn; chenxiaowei@zstu.edu.cn; fu.jia@york.ac.uk; yuxichai@zju.edu.cn</t>
  </si>
  <si>
    <t>Chai, Yuxi/IQT-9615-2023; zhang, ziqi/GPW-6618-2022; Chen, Xiaowei/KQU-2891-2024</t>
  </si>
  <si>
    <t>Chai, Yuxi/0000-0002-4571-2621; Chen, Xiaowei/0000-0002-6287-5385;</t>
  </si>
  <si>
    <t>National Natural Science Fund of China [51878613]; Humanities and Social Science Project of Chinese Ministry of Education [17YJAZH136, 21YJAZH007]; Fundamental Research Funds for the Provincial Universities of Zhejiang [GB201901003]; Zhejiang Provincial Natural Science Foundation of China [LY16E08011, LY19E080006]</t>
  </si>
  <si>
    <t>National Natural Science Fund of China(National Natural Science Foundation of China (NSFC)); Humanities and Social Science Project of Chinese Ministry of Education; Fundamental Research Funds for the Provincial Universities of Zhejiang; Zhejiang Provincial Natural Science Foundation of China(Natural Science Foundation of Zhejiang Province)</t>
  </si>
  <si>
    <t>This research was funded by the National Natural Science Fund of China (grant No. 51878613) , the Humanities and Social Science Project of Chinese Ministry of Education (grant No. 17YJAZH136 and 21YJAZH007) , the Fundamental Research Funds for the Provincial Universities of Zhejiang (grant No. GB201901003) . This research was supported by Zhejiang Provincial Natural Science Foundation of China under Grant No. LY16E08011 and LY19E080006.</t>
  </si>
  <si>
    <t>10.1016/j.jclepro.2021.129766</t>
  </si>
  <si>
    <t>XN9NV</t>
  </si>
  <si>
    <t>WOS:000729825000004</t>
  </si>
  <si>
    <t>Alexander, JR; Gamble, JD; Venterea, RT</t>
  </si>
  <si>
    <t>Alexander, Jonathan R.; Gamble, Joshua D.; Venterea, Rodney T.</t>
  </si>
  <si>
    <t>Stock change accounting overestimates the potential climate benefit of soil carbon storage</t>
  </si>
  <si>
    <t>Agriculture is being called upon to increase carbon (C) storage in soils to reduce greenhouse gas (GHG) accumulation in the atmosphere. Cropping systems research can be used to support GHG mitigation efforts, but we must quantify land management impacts using appropriate assumptions and unambiguous methods. Soil C sequestration is considered temporary because it can be re-emitted as carbon dioxide (CO2) if the effecting practice is not maintained and/or the soil-plant system is disturbed, for example, as the result of changing climate. Because of this, the climate benefit of soil C sequestration depends on the time that C is held out of the atmosphere. When assessing the net GHG impact of management practices, soil C storage is often aggregated with non-CO2 (N2O and CH4) emissions after converting all components to CO2 equivalents (CO2e) and assuming a given time horizon (TH), in what is known as stock change accounting. However, such analyses do not consider potential re-emission of soil C or apply consistent assumptions about time horizons. Here, we demonstrate that tonne-year accounting provides a more conservative estimate of the emissions offsetting potential of soil C storage compared to stock change accounting. Tonne-year accounting can be used to reconcile differences in the context and timeframes of soil C sequestration and non-CO2 GHG emissions. The approach can be applied post hoc to commonly observed cropping systems data to estimate GHG emissions offsets associated with agricultural land management over given THs and with more clearly defined assumptions. Changes in soil carbon are not consistently accounted for in greenhouse gas accounting exercises. The two main methods used to quantify the climate impact of additional soil carbon rely on differing assumptions. Stock change accounting assigns a climate benefit equal to the mass of additional C in the year of sequestration. Tonne-year accounting assigns a climate benefit annually using a time integrated approach.</t>
  </si>
  <si>
    <t>[Alexander, Jonathan R.; Gamble, Joshua D.] USDA ARS, Plant Sci Res Unit, St Paul, MN 55108 USA; [Venterea, Rodney T.] USDA ARS, Soil &amp; Water Management Unit, St Paul, MN USA</t>
  </si>
  <si>
    <t>United States Department of Agriculture (USDA); United States Department of Agriculture (USDA)</t>
  </si>
  <si>
    <t>Alexander, JR (corresponding author), USDA ARS, Plant Sci Res Unit, St Paul, MN 55108 USA.</t>
  </si>
  <si>
    <t>alexa564@umn.edu</t>
  </si>
  <si>
    <t>; Venterea, Rodney/A-3930-2009</t>
  </si>
  <si>
    <t>Alexander, Jonathan/0000-0001-5585-9371; Gamble, Joshua/0000-0002-6024-8097; Venterea, Rodney/0000-0002-9003-2318</t>
  </si>
  <si>
    <t>10.1002/saj2.20643</t>
  </si>
  <si>
    <t>QZ4Z2</t>
  </si>
  <si>
    <t>WOS:001177986100001</t>
  </si>
  <si>
    <t>Diao, JJ; Liu, JX; Zhu, ZL; Li, MS; Sleeter, BM</t>
  </si>
  <si>
    <t>Diao, Jiaojiao; Liu, Jinxun; Zhu, Zhiliang; Li, Mingshi; Sleeter, Benjamin M.</t>
  </si>
  <si>
    <t>Substantially Greater Carbon Emissions Estimated Based on Annual Land-Use Transition Data</t>
  </si>
  <si>
    <t>REMOTE SENSING</t>
  </si>
  <si>
    <t>land-use and land-cover change; carbon stock; carbon emission; LUCAS; LCMAP</t>
  </si>
  <si>
    <t>COVER CHANGE; CLIMATE; IMPACTS; MODEL; CLASSIFICATION; DYNAMICS; FUTURE; FLUXES; BUDGET; WATER</t>
  </si>
  <si>
    <t>Quantifying land-use and land-cover change (LULCC) effects on carbon sources and sinks has been very challenging because of the availability and quality of LULCC data. As the largest estuary in the United States, Chesapeake Bay is a rapidly changing region and is affected by human activities. A new annual land-use and land-cover (LULC) data product developed by the U.S. Geological Survey Land Change Monitoring and Analysis Program (LCMAP) from 2001 to 2011 was analyzed for transitions between agricultural land, developed land, grassland, forest land and wetland. The Land Use and Carbon Scenario Simulator was used to simulate effects of LULCC and ecosystem disturbance in the south of the Chesapeake Bay Watershed (CBW) on carbon storage and fluxes, with carbon parameters derived from the Integrated Biosphere Simulator. We found that during the study period: (1) areas of forest land, disturbed land, agricultural land and wetland decreased by 90, 82, 57, and 65 km(2), respectively, but developed lands gained 293 km(2) (29 km(2) annually); (2) total ecosystem carbon stock in the CBW increased by 13 Tg C from 2001 to 2011, mainly due to carbon sequestration of the forest ecosystem; (3) carbon loss was primarily attributed to urbanization (0.224 Tg C.yr(-1)) and agricultural expansion (0.046 Tg C.yr(-1)); and (4) estimated carbon emissions and harvest wood products were greater when estimated with the annual LULC input. We conclude that a dense time series of LULCC, such as that of the LCMAP program, may provide a more accurate accounting of the effects of land use change on ecosystem carbon, which is critical to understanding long-term ecosystem carbon dynamics.</t>
  </si>
  <si>
    <t>[Diao, Jiaojiao; Li, Mingshi] Nanjing Forestry Univ, Coll Forestry, Nanjing 210037, Peoples R China; [Diao, Jiaojiao; Li, Mingshi] Nanjing Forestry Univ, Coinnovat Ctr Sustainable Forestry Southern China, Nanjing 210037, Peoples R China; [Liu, Jinxun] US Geol Survey, 345 Middlefield Rd, Menlo Pk, CA 94025 USA; [Zhu, Zhiliang] US Geol Survey, Reston, VA 20192 USA; [Sleeter, Benjamin M.] US Geol Survey, Seattle, WA 98402 USA</t>
  </si>
  <si>
    <t>Nanjing Forestry University; Nanjing Forestry University; United States Department of the Interior; United States Geological Survey; United States Department of the Interior; United States Geological Survey; United States Department of the Interior; United States Geological Survey</t>
  </si>
  <si>
    <t>Li, MS (corresponding author), Nanjing Forestry Univ, Coll Forestry, Nanjing 210037, Peoples R China.;Li, MS (corresponding author), Nanjing Forestry Univ, Coinnovat Ctr Sustainable Forestry Southern China, Nanjing 210037, Peoples R China.</t>
  </si>
  <si>
    <t>diaojiaojiao@njfu.edu.cn; jxliu@usgs.gov; zzhu@usgs.gov; nfulms@njfu.edu.cn; bsleeter@usgs.gov</t>
  </si>
  <si>
    <t>Liu, Jinxun/H-8604-2018; Zhu, Zhiliang/I-2686-2018; Li, Mingshi/AAD-6706-2020</t>
  </si>
  <si>
    <t>Liu, Jinxun/0000-0003-0561-8988; Diao, Jiaojiao/0000-0002-8093-7949; Zhu, Zhiliang/0000-0002-6860-6936; LI, Mingshi/0000-0001-5689-5091; Sleeter, Benjamin/0000-0003-2371-9571</t>
  </si>
  <si>
    <t>National Natural Science Foundation of China [31670552, 31971577]; DOD ESTCP Program [RC_201703]; doctorate Fellowship Foundation of Nanjing Forestry University; PAPD (Priority Academic Program Development) of Jiangsu Provincial Universities</t>
  </si>
  <si>
    <t>National Natural Science Foundation of China(National Natural Science Foundation of China (NSFC)); DOD ESTCP Program(United States Department of Defense); doctorate Fellowship Foundation of Nanjing Forestry University; PAPD (Priority Academic Program Development) of Jiangsu Provincial Universities</t>
  </si>
  <si>
    <t>This work was jointly funded by the following grants: The National Natural Science Foundation of China [31670552,31971577], the DOD ESTCP Program (RC_201703), the doctorate Fellowship Foundation of Nanjing Forestry University [2016], and the PAPD (Priority Academic Program Development) of Jiangsu Provincial Universities [2017].</t>
  </si>
  <si>
    <t>2072-4292</t>
  </si>
  <si>
    <t>REMOTE SENS-BASEL</t>
  </si>
  <si>
    <t>Remote Sens.</t>
  </si>
  <si>
    <t>10.3390/rs12071126</t>
  </si>
  <si>
    <t>Environmental Sciences; Geosciences, Multidisciplinary; Remote Sensing; Imaging Science &amp; Photographic Technology</t>
  </si>
  <si>
    <t>Environmental Sciences &amp; Ecology; Geology; Remote Sensing; Imaging Science &amp; Photographic Technology</t>
  </si>
  <si>
    <t>LU4EF</t>
  </si>
  <si>
    <t>WOS:000537709600076</t>
  </si>
  <si>
    <t>Masek, O; Buss, W; Brownsort, P; Rovere, M; Tagliaferro, A; Zhao, L; Cao, XD; Xu, GW</t>
  </si>
  <si>
    <t>Masek, Ondrej; Buss, Wolfram; Brownsort, Peter; Rovere, Massimo; Tagliaferro, Alberto; Zhao, Ling; Cao, Xinde; Xu, Guangwen</t>
  </si>
  <si>
    <t>Potassium doping increases biochar carbon sequestration potential by 45%, facilitating decoupling of carbon sequestration from soil improvement</t>
  </si>
  <si>
    <t>BIOMASS PYROLYSIS; STABILITY; DEGRADATION; PRODUCTS</t>
  </si>
  <si>
    <t>Negative emissions technologies offer an important tool to limit the global warming to &lt;2 degrees C. Biochar is one of only a few such technologies, and the one at highest technology readiness level. Here we show that potassium as a low-concentration additive in biochar production can increase biochar's carbon sequestration potential; by up to 45% in this study. This translates to an increase in the estimated global biochar carbon sequestration potential to over 2.6 Gt CO2-C(eq)yr(-1), thus boosting the efficiency of utilisation of limited biomass and land resources, and considerably improving the economics of biochar production and atmospheric carbon sequestration. In addition, potassium doping also increases plant nutrient content of resulting biochar, making it better suited for agricultural applications. Yet, more importantly, due to its much higher carbon sequestration potential, AM-enriched biochar facilitates viable biochar deployment for carbon sequestration purposes with reduced need to rely on biochar's abilities to improve soil properties and crop yields, hence opening new potential areas and scenarios for biochar applications.</t>
  </si>
  <si>
    <t>[Masek, Ondrej; Buss, Wolfram] Univ Edinburgh, UK Biochar Res Ctr, Sch Geosci, Crew Bldg,Alexander Crum Brown Rd, Edinburgh EH9 3FF, Midlothian, Scotland; [Brownsort, Peter] Univ Edinburgh, Scottish Carbon Capture &amp; Storage, Sch Geosci, Infirm St, Edinburgh EH1 1LZ, Midlothian, Scotland; [Rovere, Massimo; Tagliaferro, Alberto] Politecn Torino, Appl Sci &amp; Technol Dept, Corso Duca Abruzzi 24, I-10129 Turin, Italy; [Zhao, Ling; Cao, Xinde] Shanghai Jiao Tong Univ, Sch Environm Sci &amp; Engn, Inst Site Contaminat &amp; Remediat, 800 Dongchuan Rd, Shanghai 200240, Peoples R China; [Xu, Guangwen] Shenyang Univ Chem Technol, Inst Ind Chem &amp; Energy Technol, Econ &amp; Technol Dev Zone Shengyang, 11 St, Shenyang 102115, Peoples R China</t>
  </si>
  <si>
    <t>University of Edinburgh; University of Edinburgh; Polytechnic University of Turin; Shanghai Jiao Tong University; Shenyang University of Chemical Technology</t>
  </si>
  <si>
    <t>Masek, O (corresponding author), Univ Edinburgh, UK Biochar Res Ctr, Sch Geosci, Crew Bldg,Alexander Crum Brown Rd, Edinburgh EH9 3FF, Midlothian, Scotland.</t>
  </si>
  <si>
    <t>ondrej.masek@ed.ac.uk</t>
  </si>
  <si>
    <t>Tagliaferro, Alberto/AAI-3329-2020; Cao, Xinde/I-7971-2015; Mašek, Ondřej/D-6315-2018</t>
  </si>
  <si>
    <t>Mašek, Ondřej/0000-0003-0713-766X; Buss, Wolfram/0000-0002-9653-0895; tagliaferro, alberto/0000-0003-1607-5624</t>
  </si>
  <si>
    <t>Engineering and Physical Sciences Research Council (EPSRC)</t>
  </si>
  <si>
    <t>Engineering and Physical Sciences Research Council (EPSRC)(UK Research &amp; Innovation (UKRI)Engineering &amp; Physical Sciences Research Council (EPSRC))</t>
  </si>
  <si>
    <t>The authors would like to acknowledge the financial support of the Engineering and Physical Sciences Research Council (EPSRC) for the impact acceleration award that enabled this work.</t>
  </si>
  <si>
    <t>10.1038/s41598-019-41953-0</t>
  </si>
  <si>
    <t>HR2TL</t>
  </si>
  <si>
    <t>WOS:000462990000056</t>
  </si>
  <si>
    <t>Mo, LD; Zohner, CM; Reich, PB; Liang, JJ; de Miguel, S; Nabuurs, GJ; Renner, SS; van den Hoogen, J; Araza, A; Herold, M; Mirzagholi, L; Ma, HZ; Averill, C; Phillips, OL; Gamarra, JGP; Hordijk, I; Routh, D; Abegg, M; Yao, YCA; Alberti, G; Zambrano, AMA; Alvarado, BV; Alvarez-Dávila, E; Alvarez-Loayza, P; Alves, LF; Amaral, I; Ammer, C; Antón-Fernández, C; Araujo-Murakami, A; Arroyo, L; Avitabile, V; Aymard, GA; Baker, TR; Balazy, R; Banki, O; Barroso, JG; Bastian, ML; Bastin, JF; Birigazzi, L; Birnbaum, P; Bitariho, R; Boeckx, P; Bongers, F; Bouriaud, O; Brancalion, PHS; Brandl, S; Brearley, FQ; Brienen, R; Broadbent, EN; Bruelheide, H; Bussotti, F; Gatti, RC; César, RG; Cesljar, G; Chazdon, RL; Chen, HYH; Chisholm, C; Cho, H; Cienciala, E; Clark, C; Clark, D; Colletta, GD; Coomes, DA; Valverde, FC; Corral-Rivas, JJ; Crim, PM; Cumming, JR; Dayanandan, S; de Gasper, AL; Decuyper, M; Derroire, G; DeVries, B; Djordjevic, I; Dolezal, J; Dourdain, A; Obiang, NLE; Enquist, BJ; Eyre, TJ; Fandohan, AB; Fayle, TM; Feldpausch, TR; Ferreira, LV; Finér, L; Fischer, M; Fletcher, C; Frizzera, L; Gianelle, D; Glick, HB; Harris, DJ; Hector, A; Hemp, A; Hengeveld, G; Hérault, B; Herbohn, JL; Hillers, A; Coronado, ENH; Hui, C; Ibanez, T; Imai, N; Jagodzinski, AM; Jaroszewicz, B; Johannsen, VK; Joly, CA; Jucker, T; Jung, I; Karminov, V; Kartawinata, K; Kearsley, E; Kenfack, D; Kennard, DK; Kepfer-Rojas, S; Keppel, G; Khan, ML; Killeen, TJ; Kim, HS; Kitayama, K; Köhl, M; Korjus, H; Kraxner, F; Kucher, D; Laarmann, D; Lang, M; Lu, HC; Lukina, NV; Maitner, BS; Malhi, Y; Marcon, E; Marimon, BS; Marimon, BH Jr; Marshall, AR; Martin, EH; Meave, JA; Melo-Cruz, O; Mendoza, C; Mendoza-Polo, I; Miscicki, S; Merow, C; Mendoza, AM; Moreno, VS; Mukul, SA; Mundhenk, P; Nava-Miranda, MG; Neill, D; Neldner, VJ; Nevenic, RV; Ngugi, MR; Niklaus, PA; Oleksyn, J; Ontikov, P; Ortiz-Malavasi, E; Pan, YD; Paquette, A; Parada-Gutierrez, A; Parfenova, EI; Park, M; Parren, M; Parthasarathy, N; Peri, PL; Pfautsch, S; Picard, N; Piedade, MTF; Piotto, D; Pitman, NCA; Poulsen, AD; Poulsen, JR; Pretzsch, H; Arevalo, FR; Restrepo-Correa, Z; Rodeghiero, M; Rolim, SG; Roopsind, A; Rovero, F; Rutishauser, E; Saikia, P; Salas-Eljatib, C; Saner, P; Schall, P; Schelhaas, MJ; Schepaschenko, D; Scherer-Lorenzen, M; Schmid, B; Schöngart, J; Searle, EB; Seben, V; Serra-Diaz, JM; Sheil, D; Shvidenko, AZ; Silva-Espejo, JE; Silveira, M; Singh, J; Sist, P; Slik, F; Sonké, B; Souza, AF; Sterenczak, KJ; Svenning, JC; Svoboda, M; Swanepoel, B; Targhetta, N; Tchebakova, N; ter Steege, H; Thomas, R; Tikhonova, E; Umunay, PM; Usoltsev, VA; Valencia, R; Valladares, F; van der Plas, F; Van Do, T; van Nuland, ME; Vasquez, RM; Verbeeck, H; Viana, H; Vibrans, AC; Vieira, S; von Gadow, K; Wang, HF; Watson, JV; Werner, GDA; Wiser, SK; Wittmann, F; Woell, H; Wortel, V; Zagt, R; Zawila-Niedzwiecki, T; Zhang, CY; Zhao, XH; Zhou, M; Zhu, ZX; Zo-Bi, IC; Gann, GD; Crowther, TW</t>
  </si>
  <si>
    <t>Mo, Lidong; Zohner, Constantin M.; Reich, Peter B.; Liang, Jingjing; de Miguel, Sergio; Nabuurs, Gert-Jan; Renner, Susanne S.; van den Hoogen, Johan; Araza, Arnan; Herold, Martin; Mirzagholi, Leila; Ma, Haozhi; Averill, Colin; Phillips, Oliver L.; Gamarra, Javier G. P.; Hordijk, Iris; Routh, Devin; Abegg, Meinrad; Yao, Yves C. Adou; Alberti, Giorgio; Zambrano, Angelica M. Almeyda; Alvarado, Braulio Vilchez; Alvarez-Davila, Esteban; Alvarez-Loayza, Patricia; Alves, Luciana F.; Amaral, Ieda; Ammer, Christian; Anton-Fernandez, Clara; Araujo-Murakami, Alejandro; Arroyo, Luzmila; Avitabile, Valerio; Aymard, Gerardo A.; Baker, Timothy R.; Balazy, Radomir; Banki, Olaf; Barroso, Jorcely G.; Bastian, Meredith L.; Bastin, Jean-Francois; Birigazzi, Luca; Birnbaum, Philippe; Bitariho, Robert; Boeckx, Pascal; Bongers, Frans; Bouriaud, Olivier; Brancalion, Pedro H. S.; Brandl, Susanne; Brearley, Francis Q.; Brienen, Roel; Broadbent, Eben N.; Bruelheide, Helge; Bussotti, Filippo; Gatti, Roberto Cazzolla; Cesar, Ricardo G.; Cesljar, Goran; Chazdon, Robin L.; Chen, Han Y. H.; Chisholm, Chelsea; Cho, Hyunkook; Cienciala, Emil; Clark, Connie; Clark, David; Colletta, Gabriel D.; Coomes, David A.; Cornejo Valverde, Fernando; Corral-Rivas, Jose J.; Crim, Philip M.; Cumming, Jonathan R.; Dayanandan, Selvadurai; de Gasper, Andre L.; Decuyper, Mathieu; Derroire, Geraldine; DeVries, Ben; Djordjevic, Ilija; Dolezal, Jiri; Dourdain, Aurelie; Obiang, Nestor Laurier Engone; Enquist, Brian J.; Eyre, Teresa J.; Fandohan, Adande Belarmain; Fayle, Tom M.; Feldpausch, Ted R.; Ferreira, Leandro V.; Finer, Leena; Fischer, Markus; Fletcher, Christine; Frizzera, Lorenzo; Gianelle, Damiano; Glick, Henry B.; Harris, David J.; Hector, Andrew; Hemp, Andreas; Hengeveld, Geerten; Herault, Bruno; Herbohn, John L.; Hillers, Annika; Honorio Coronado, Euridice N.; Hui, Cang; Ibanez, Thomas; Imai, Nobuo; Jagodzinski, Andrzej M.; Jaroszewicz, Bogdan; Johannsen, Vivian Kvist; Joly, Carlos A.; Jucker, Tommaso; Jung, Ilbin; Karminov, Viktor; Kartawinata, Kuswata; Kearsley, Elizabeth; Kenfack, David; Kennard, Deborah K.; Kepfer-Rojas, Sebastian; Keppel, Gunnar; Khan, Mohammed Latif; Killeen, Timothy J.; Kim, Hyun Seok; Kitayama, Kanehiro; Koehl, Michael; Korjus, Henn; Kraxner, Florian; Kucher, Dmitry; Laarmann, Diana; Lang, Mait; Lu, Huicui; Lukina, Natalia V.; Maitner, Brian S.; Malhi, Yadvinder; Marcon, Eric; Marimon, Beatriz Schwantes; Marimon-Junior, Ben Hur; Marshall, Andrew R.; Martin, Emanuel H.; Meave, Jorge A.; Melo-Cruz, Omar; Mendoza, Casimiro; Mendoza-Polo, Irina; Miscicki, Stanislaw; Merow, Cory; Monteagudo Mendoza, Abel; Moreno, Vanessa S.; Mukul, Sharif A.; Mundhenk, Philip; Nava-Miranda, Maria Guadalupe; Neill, David; Neldner, Victor J.; Nevenic, Radovan V.; Ngugi, Michael R.; Niklaus, Pascal A.; Oleksyn, Jacek; Ontikov, Petr; Ortiz-Malavasi, Edgar; Pan, Yude; Paquette, Alain; Parada-Gutierrez, Alexander; Parfenova, Elena I.; Park, Minjee; Parren, Marc; Parthasarathy, Narayanaswamy; Peri, Pablo L.; Pfautsch, Sebastian; Picard, Nicolas; Piedade, Maria Teresa F.; Piotto, Daniel; Pitman, Nigel C. A.; Poulsen, Axel Dalberg; Poulsen, John R.; Pretzsch, Hans; Ramirez Arevalo, Freddy; Restrepo-Correa, Zorayda; Rodeghiero, Mirco; Rolim, Samir G.; Roopsind, Anand; Rovero, Francesco; Rutishauser, Ervan; Saikia, Purabi; Salas-Eljatib, Christian; Saner, Philippe; Schall, Peter; Schelhaas, Mart-Jan; Schepaschenko, Dmitry; Scherer-Lorenzen, Michael; Schmid, Bernhard; Schoengart, Jochen; Searle, Eric B.; Seben, Vladimir; Serra-Diaz, Josep M.; Sheil, Douglas; Shvidenko, Anatoly Z.; Silva-Espejo, Javier E.; Silveira, Marcos; Singh, James; Sist, Plinio; Slik, Ferry; Sonke, Bonaventure; Souza, Alexandre F.; Sterenczak, Krzysztof J.; Svenning, Jens-Christian; Svoboda, Miroslav; Swanepoel, Ben; Targhetta, Natalia; Tchebakova, Nadja; ter Steege, Hans; Thomas, Raquel; Tikhonova, Elena; Umunay, Peter M.; Usoltsev, Vladimir A.; Valencia, Renato; Valladares, Fernando; van der Plas, Fons; Van Do, Tran; van Nuland, Michael E.; Vasquez, Rodolfo M.; Verbeeck, Hans; Viana, Helder; Vibrans, Alexander C.; Vieira, Simone; von Gadow, Klaus; Wang, Hua-Feng; Watson, James V.; Werner, Gijsbert D. A.; Wiser, Susan K.; Wittmann, Florian; Woell, Hannsjoerg; Wortel, Verginia; Zagt, Roderik; Zawila-Niedzwiecki, Tomasz; Zhang, Chunyu; Zhao, Xiuhai; Zhou, Mo; Zhu, Zhi-Xin; Zo-Bi, Irie C.; Gann, George D.; Crowther, Thomas W.</t>
  </si>
  <si>
    <t>Integrated global assessment of the natural forest carbon potential</t>
  </si>
  <si>
    <t>NATURE</t>
  </si>
  <si>
    <t>CLIMATE-CHANGE MITIGATION; LAND-USE CHANGE; ABOVEGROUND BIOMASS; SPATIALLY EXPLICIT; SOIL CARBON; WORLDS; VEGETATION; MAP; MANAGEMENT; PATTERNS</t>
  </si>
  <si>
    <t>Forests are a substantial terrestrial carbon sink, but anthropogenic changes in land use and climate have considerably reduced the scale of this system1. Remote-sensing estimates to quantify carbon losses from global forests2-5 are characterized by considerable uncertainty and we lack a comprehensive ground-sourced evaluation to benchmark these estimates. Here we combine several ground-sourced6 and satellite-derived approaches2,7,8 to evaluate the scale of the global forest carbon potential outside agricultural and urban lands. Despite regional variation, the predictions demonstrated remarkable consistency at a global scale, with only a 12% difference between the ground-sourced and satellite-derived estimates. At present, global forest carbon storage is markedly under the natural potential, with a total deficit of 226 Gt (model range = 151-363 Gt) in areas with low human footprint. Most (61%, 139 Gt C) of this potential is in areas with existing forests, in which ecosystem protection can allow forests to recover to maturity. The remaining 39% (87 Gt C) of potential lies in regions in which forests have been removed or fragmented. Although forests cannot be a substitute for emissions reductions, our results support the idea2,3,9 that the conservation, restoration and sustainable management of diverse forests offer valuable contributions to meeting global climate and biodiversity targets. Analysis of ground-sourced and satellite-derived models reveals a global forest carbon potential of 226 Gt outside agricultural and urban lands, with a difference of only 12% across these modelling approaches.</t>
  </si>
  <si>
    <t>[Mo, Lidong; Zohner, Constantin M.; van den Hoogen, Johan; Mirzagholi, Leila; Ma, Haozhi; Averill, Colin; Hordijk, Iris; Chisholm, Chelsea; Crowther, Thomas W.] ETH, Swiss Fed Inst Technol, Inst Integrat Biol, Zurich, Switzerland; [Reich, Peter B.] Univ Minnesota, Dept Forest Resources, St Paul, MN USA; [Reich, Peter B.] Western Sydney Univ, Hawkesbury Inst Environm, Penrith, NSW, Australia; [Reich, Peter B.] Univ Michigan, Inst Global Change Biol, Ann Arbor, MI 48109 USA; [Liang, Jingjing; Park, Minjee; Zhou, Mo] Purdue Univ, Dept Forestry &amp; Nat Resources, W Lafayette, IN USA; [de Miguel, Sergio] Univ Lleida, Dept Agr &amp; Forest Sci &amp; Engn, Lleida, Spain; [de Miguel, Sergio] Joint Res Unit CTFC AGROTECNIO CERCA, Solsona, Spain; [Nabuurs, Gert-Jan; Araza, Arnan; Bongers, Frans; Decuyper, Mathieu; Hengeveld, Geerten; Schelhaas, Mart-Jan] Wageningen Univ &amp; Res, Wageningen, Netherlands; [Renner, Susanne S.] Washington Univ, Dept Biol, Campus Box 1137, St Louis, MO 63130 USA; [Herold, Martin] Helmholtz GFZ German Res Ctr Geosci, Remote Sensing &amp; Geoinformat Sect, Potsdam, Germany; [Phillips, Oliver L.; Baker, Timothy R.; Brienen, Roel] Univ Leeds, Sch Geog, Leeds, W Yorkshire, England; [Gamarra, Javier G. P.] Food &amp; Agr Org United Nations, Forestry Div, Rome, Italy; [Routh, Devin] Univ Zurich, Cent IT Teaching &amp; Res, Zurich, Switzerland; [Abegg, Meinrad] Swiss Fed Inst Forest Snow &amp; Landscape Res WSL, Birmensdorf, Switzerland; [Yao, Yves C. Adou] Univ Felix Houphouet Boigny, UFR Biosci, Abidjan, Cote Ivoire; [Alberti, Giorgio] Univ Udine, Dept Agr Food Environm &amp; Anim Sci, Udine, Italy; [Alberti, Giorgio] NBFC, Palermo, Italy; [Zambrano, Angelica M. Almeyda; Broadbent, Eben N.] Univ Florida, Ctr Latin Amer Studies, Spatial Ecol &amp; Conservat Lab, Gainesville, FL USA; [Alvarado, Braulio Vilchez; Ortiz-Malavasi, Edgar] Tecnol Costa Rica TEC, Forestry Sch, Cartago, Costa Rica; UNAD, Fdn ConVida, Medellin, Colombia; [Alvarez-Loayza, Patricia; Pitman, Nigel C. A.] Field Museum Nat Hist, Chicago, IL 60605 USA; [Alves, Luciana F.] Univ Calif Los Angeles, Ctr Trop Res, Inst Environm &amp; Sustainabil, Los Angeles, CA USA; [Amaral, Ieda] Natl Inst Amazonian Res, Manaus, Amazonas, Brazil; [Ammer, Christian; Schall, Peter] Univ Gottingen, Silviculture &amp; Forest Ecol Temperate Zones, Gottingen, Germany; [Anton-Fernandez, Clara] Norwegian Inst Bioecon Res NIBIO, Div Forest &amp; Forest Resources, As, Norway; [Araujo-Murakami, Alejandro; Arroyo, Luzmila; Killeen, Timothy J.; Parada-Gutierrez, Alexander] Museo Hist Nat Noel Kempff Mercado, Santa Cruz, Bolivia; [Avitabile, Valerio] European Commiss, Joint Res Ctr, Ispra, Italy; [Aymard, Gerardo A.] UNELLEZ Guanare, Herbario Univ PORT, Programa Ciencias Agro &amp; Mar, Portuguesa, Venezuela; [Aymard, Gerardo A.; Sterenczak, Krzysztof J.] Compensat Int Progress SA Ciprogress Greenlife, Bogota, Colombia; [Balazy, Radomir] Forest Res Inst, Dept Geomat, Sekocin Stary, Poland; [Banki, Olaf; ter Steege, Hans] Naturalis Biodivers Ctr, Leiden, Netherlands; [Barroso, Jorcely G.] Univ Fed Acre, Ctr Multidisciplinar, Rio Branco, Brazil; [Bastian, Meredith L.] Proceedings Natl Acad Sci, Washington, DC USA; [Bastian, Meredith L.] Duke Univ, Dept Evolutionary Anthropol, Durham, NC USA; [Bastin, Jean-Francois] Univ Liege, TERRA Teaching &amp; Res Ctr, Gembloux Agrobio Tech, Liege, Belgium; [Birnbaum, Philippe] Inst Agronom Neocaledonien IAC, Noumea, New Caledonia; [Birnbaum, Philippe] Univ Montpellier, AMAP, Montpellier, France; [Birnbaum, Philippe] IRD, INRAE, CIRAD, CNRS, Montpellier, France; [Bitariho, Robert] Mbarara Univ Sci &amp; Technol, Inst Trop Forest Conservat, Mbarara, Uganda; [Boeckx, Pascal] Univ Ghent, Isotope Biosci Lab ISOFYS, Ghent, Belgium; [Bouriaud, Olivier] Stefan Cel Mare Univ Suceava, Suceava, Romania; [Brancalion, Pedro H. S.; Cesar, Ricardo G.; Moreno, Vanessa S.] Univ Sao Paulo, Dept Forest Sci, Luiz de Queiroz Coll Agr, Piracicaba, Brazil; [Brandl, Susanne] Bavarian State Inst Forestry, Freising Weihenstephan, Germany; [Brearley, Francis Q.] Manchester Metropolitan Univ, Dept Nat Sci, Manchester, Lancs, England; [Bruelheide, Helge] Martin Luther Univ Halle Wittenberg, Inst Biol Geobot &amp; Bot Garden, Halle, Germany; [Bruelheide, Helge] German Ctr Integrat Biodivers Res iDiv, Leipzig, Germany; [Bussotti, Filippo] Univ Firenze, Dept Agr Food Environm &amp; Forest DAGRI, Florence, Italy; [Gatti, Roberto Cazzolla] Univ Bologna, Dept Biol Geol &amp; Environm Sci, Bologna, Italy; [Cesljar, Goran] Inst Forestry, Dept Spatial Regulat GIS &amp; Forest Policy, Belgrade, Serbia; [Chazdon, Robin L.; Merow, Cory] Univ Connecticut, Dept Ecol &amp; Evolutionary Biol, Storrs, CT USA; [Chazdon, Robin L.] Univ Sunshine Coast, Trop Forests &amp; People Res Ctr, Sippy Downs, Qld, Australia; [Chen, Han Y. H.] Lakehead Univ, Fac Nat Resources Management, Thunder Bay, ON, Canada; [Cho, Hyunkook; Jung, Ilbin] Korea Forest Promot Inst, Div Forest Resources Informat, Seoul, South Korea; [Cienciala, Emil] IFER, Jilove, Czech Republic; [Cienciala, Emil; Poulsen, John R.] CAS, Global Change Res Inst, Brno, Czech Republic; [Clark, Connie] Duke Univ, Nicholas Sch Environm, Durham, NC 27708 USA; [Clark, David] Univ Missouri, Dept Biol, 8001 Nat Bridge Rd, St Louis, MO 63121 USA; [Colletta, Gabriel D.] Univ Estadual Campinas, Inst Biol, Programa Posgrad Biol Vegetal, Campinas, Brazil; [Coomes, David A.] Univ Cambridge, Conservat Res Inst, Dept Plant Sci, Cambridge, England; [Cornejo Valverde, Fernando] Andes Amazon Biodivers Program, Madre De Dios, Peru; [Corral-Rivas, Jose J.] Univ Juarez Estado Durango, Fac Ciencias Forestales &amp; Ambientales, Durango, Mexico; [Crim, Philip M.; Cumming, Jonathan R.] West Virginia Univ, Dept Biol, Morgantown, WV 26506 USA; [Crim, Philip M.] Coll St Rose, Dept Phys &amp; Biol Sci, Albany, NY USA; [Dayanandan, Selvadurai] Concordia Univ, Biol Dept, Ctr Struct &amp; Funct Genom, Montreal, PQ, Canada; [de Gasper, Andre L.; Vibrans, Alexander C.] Univ Reg Blumenau, Nat Sci Dept, Blumenau, Brazil; [Derroire, Geraldine; Dourdain, Aurelie] Univ Guyane, Univ Antilles, Cirad, CNRS,UMR EcoFoG,AgroParisTech,INRAE, Campus Agron, Kourou, French Guiana; [DeVries, Ben] Univ Guelph, Dept Geog Environm &amp; Geomat, Guelph, ON, Canada; [Djordjevic, Ilija; Nevenic, Radovan V.] Inst Forestry, Belgrade, Serbia; [Dolezal, Jiri] Czech Acad Sci, Inst Bot, Trebon, Czech Republic; [Dolezal, Jiri] Univ South Bohemia, Dept Bot, Fac Sci, Ceske Budejovice, Czech Republic; [Obiang, Nestor Laurier Engone] Herbier Natl Gabon CENAREST, IRET, Libreville, Gabon; [Enquist, Brian J.; Maitner, Brian S.] Univ Arizona, Dept Ecol &amp; Evolutionary Biol, Tucson, AZ USA; [Enquist, Brian J.] Santa Fe Inst, Santa Fe, NM 87501 USA; [Eyre, Teresa J.; Neldner, Victor J.; Ngugi, Michael R.] Queensland Herbarium &amp; Biodivers Sci, Dept Environm &amp; Sci, Toowong, Qld, Australia; [Fandohan, Adande Belarmain] Univ Natl Agr, Ecole Foresterie &amp; Ingn Bois, Ketou, Benin; [Fayle, Tom M.] Queen Mary Univ London, Sch Biol &amp; Behav Sci, London, England; [Fayle, Tom M.] Czech Acad Sci, Inst Entomol, Biol Ctr, Ceske Budejovice, Czech Republic; [Feldpausch, Ted R.] Univ Exeter, Fac Environm Sci &amp; Econ, Geog, Exeter, Devon, England; [Ferreira, Leandro V.] Museu Paraense Emilio Goeldi, Coordenacao Ciencias Terra &amp; Ecol, Belem, Para, Brazil; [Finer, Leena] Nat Resources Inst Finland Luke, Joensuu, Finland; [Fischer, Markus] Univ Bern, Inst Plant Sci, Bern, Switzerland; [Fletcher, Christine] Forest Res Inst Malaysia, Kuala Lumpur, Malaysia; [Frizzera, Lorenzo; Gianelle, Damiano; Rodeghiero, Mirco] Fdn Edmund Mach, Res &amp; Innovat Ctr, San Michele All Adige, Italy; [Glick, Henry B.] Glick Designs LLC, Hadley, MA USA; [Harris, David J.; Poulsen, Axel Dalberg] Royal Bot Garden Edinburgh, Edinburgh, Midlothian, Scotland; [Hector, Andrew] Univ Oxford, Dept Biol, Oxford, England; [Hemp, Andreas] Univ Bayreuth, Dept Plant Systemat, Bayreuth, Germany; [Herault, Bruno; Sist, Plinio] Univ Montpellier, Cirad, UPR Forets &amp; Soc, Montpellier, France; [Herault, Bruno; Zo-Bi, Irie C.] Natl Polytech Inst INP HB, Dept Forestry &amp; Environm, Yamoussoukro, Cote Ivoire; [Herbohn, John L.; Marshall, Andrew R.; Mukul, Sharif A.] Univ Sunshine Coast, Forest Res Inst, Sippy Downs, Qld, Australia; [Hillers, Annika] Royal Soc Protect Birds, Ctr Conservat Sci, Sandy, Beds, England; [Hillers, Annika] Liberia Off, Wild Chimpanzee Fdn, Monrovia, Liberia; [Honorio Coronado, Euridice N.] Inst Invest Amazonia Peruana, Iquitos, Peru; [Hui, Cang] Stellenbosch Univ, Dept Math Sci, Ctr Invas Biol, Stellenbosch, South Africa; [Hui, Cang] African Inst Math Sci, Theoret Ecol Unit, Cape Town, South Africa; [Ibanez, Thomas] Univ Montpellier, CNRS, AMAP, CIRAD,INRAE,IRD, Montpellier, France; [Imai, Nobuo] Tokyo Univ Agr, Dept Forest Sci, Tokyo, Japan; [Jagodzinski, Andrzej M.; Oleksyn, Jacek] Polish Acad Sci, Inst Dendrol, Kornik, Poland; [Jagodzinski, Andrzej M.] Poznan Univ Life Sci, Dept Game Management &amp; Forest Protect, Poznan, Poland; [Jaroszewicz, Bogdan] Univ Warsaw, Bialowieza Geobot Stn, Fac Biol, Bialowieza, Poland; [Johannsen, Vivian Kvist; Kepfer-Rojas, Sebastian] Univ Copenhagen, Dept Geosci &amp; Nat Resource Management, Copenhagen, Denmark; [Joly, Carlos A.] Univ Estadual Campinas, UNICAMP, Dept Plant Biol, Inst Biol, Campinas, Brazil; [Jucker, Tommaso] Univ Bristol, Sch Biol Sci, Bristol, Avon, England; [Karminov, Viktor; Ontikov, Petr] Bauman Moscow State Tech Univ, Forestry Fac, Mytischi Branch, Mytishchi, Russia; [Kartawinata, Kuswata] Field Museum Nat Hist, Negaunee Integrat Res Ctr, Chicago, IL 60605 USA; [Kearsley, Elizabeth; Verbeeck, Hans] Univ Ghent, Dept Environm, CAVElab Computat &amp; Appl Vegetat Ecol, Ghent, Belgium; [Kenfack, David] Smithsonian Trop Res Inst, CTFS ForestGEO, Balboa, Panama; [Kennard, Deborah K.] Colorado Mesa Univ, Dept Phys &amp; Environm Sci, Grand Junction, CO USA; [Keppel, Gunnar] Univ South Australia, UniSA STEM &amp; Future Ind Inst, Adelaide, SA, Australia; [Khan, Mohammed Latif] Dr Hari Singh Gour Vishwavidyalaya, Dept Bot, Sagar, India; [Kim, Hyun Seok; Park, Minjee] Seoul Natl Univ, Dept Agr Forestry &amp; Bioresources, Seoul, South Korea; [Kim, Hyun Seok] Seoul Natl Univ, Interdisciplinary Program Agr &amp; Forest Meteorol, Seoul, South Korea; [Kim, Hyun Seok] Natl Ctr Agro Meteorol, Seoul, South Korea; [Kim, Hyun Seok] Seoul Natl Univ, Res Inst Agr &amp; Life Sci, Seoul, South Korea; [Kitayama, Kanehiro] Kyoto Univ, Grad Sch Agr, Kyoto, Japan; [Koehl, Michael; Mundhenk, Philip] Univ Hamburg, Inst World Forestry, Hamburg, Germany; [Korjus, Henn; Laarmann, Diana; Lang, Mait] Estonian Univ Life Sci, Inst Forestry &amp; Engn, Tartu, Estonia; [Kraxner, Florian; Schepaschenko, Dmitry; Shvidenko, Anatoly Z.] Int Inst Appl Syst Anal, Biodivers &amp; Nat Resources Program, Laxenburg, Austria; [Kucher, Dmitry] Peoples Friendship Univ Russia RUDN Univ, Moscow, Russia; [Lu, Huicui] Qingdao Agr Univ, Fac Forestry, Qingdao, Peoples R China; [Lukina, Natalia V.; Tikhonova, Elena] Russian Acad Sci, Ctr Forest Ecol &amp; Product, Moscow, Russia; [Malhi, Yadvinder] Univ Oxford, Environm Change Inst, Sch Geog &amp; Environm, Oxford, England; [Marcon, Eric] Univ Montpellier, AgroParisTech, CNRS, UMR,AMAP,Cirad,INRA,IRD, Montpellier, France; [Marimon, Beatriz Schwantes; Marimon-Junior, Ben Hur] Univ Estado Mato Grosso, Dept Ciencias Biol, Nova Xavantina, Brazil; [Marshall, Andrew R.] Univ York, Dept Geog &amp; Environm, York, N Yorkshire, England; [Marshall, Andrew R.] Flamingo Land Ltd, Kirby Misperton, England; [Martin, Emanuel H.] Coll African Wildlife Management, Dept Wildlife Management, Mweka, Tanzania; [Meave, Jorge A.] Univ Nacl Autonoma Mexico, Fac Ciencias, Dept Ecol &amp; Recursos Nat, Mexico City, DF, Mexico; [Melo-Cruz, Omar] Univ Tolima, Ibague, Colombia; [Mendoza, Casimiro] Colegio Profes Forestales Cochabamba, Cochabamba, Bolivia; [Mendoza-Polo, Irina] Jardin Bot Medellin, Medellin, Colombia; [Miscicki, Stanislaw] Warsaw Univ Life Sci, Dept Forest Management Dendrometry &amp; Forest Econ, Warsaw, Poland; [Monteagudo Mendoza, Abel; Vasquez, Rodolfo M.] Jardin Bot Missouri, Oxapampa, Peru; [Monteagudo Mendoza, Abel] Univ Nacl San Antonio Abad Cusco, Cuzco, Peru; [Mukul, Sharif A.] United Int Univ, Dept Environm &amp; Dev Studies, Dhaka, Bangladesh; [Nava-Miranda, Maria Guadalupe] Univ Juarez Estado Durango, Inst Silvicultura &amp; Ind Madera, Durango, Mexico; [Nava-Miranda, Maria Guadalupe] Univ Santiago de Compostela, Escuela Doctorado Int, EDIUS, Programa Doctorado Ingn Desarrollo Rural &amp; Civil, Santiago De Compostela, Spain; [Neill, David] Univ Estatal Amazon, Puyo, Ecuador; [Niklaus, Pascal A.] Univ Zurich, Dept Evolutionary Biol &amp; Environm Studies, Zurich, Switzerland; [Pan, Yude] US Forest Serv, Climate Fire &amp; Carbon Cycle Sci, USDA, Durham, NH USA; [Paquette, Alain; Searle, Eric B.] Univ Quebec, Ctr Forest Res, Montreal, PQ, Canada; [Parfenova, Elena I.; Tchebakova, Nadja] Russian Acad Sci, VN Sukachev Inst Forest, Siberian Branch, FRC KSC, Krasnoyarsk, Russia; [Parren, Marc; Sheil, Douglas] Wageningen Univ &amp; Res, Forest Ecol &amp; Forest Management Grp, Wageningen, Netherlands; [Parthasarathy, Narayanaswamy] Pondicherry Univ, Dept Ecol &amp; Environm Sci, Pondicherry, India; [Peri, Pablo L.] UNPA, INTA, Consejo Nacl Invest Cient &amp; Tecn CONICET, Rio Gallegos, Argentina; [Pfautsch, Sebastian] Western Sydney Univ, Sch Social Sci Urban Studies, Penrith, NSW, Australia; [Picard, Nicolas] GIP Ecofor, Paris, France; [Piedade, Maria Teresa F.; Schoengart, Jochen; Targhetta, Natalia] Inst Nacl de Pesquisas da Amazonia, Manaus, Amazonas, Brazil; [Piotto, Daniel; Rolim, Samir G.] Univ Fed Sul Bahia, Ctr Formacao Ciencias Agroflorestais, Lab Dendrol &amp; Silvicultura Trop, Itabuna, Brazil; [Poulsen, John R.] Nature Conservancy, Boulder, CO USA; [Pretzsch, Hans] Tech Univ Munich, TUM Sch Life Sci, Dept Life Sci Syst, Chair Forest Growth &amp; Yield Sci, Freising Weihenstephan, Germany; [Pretzsch, Hans] Univ Valladolid, Sustainable Forest Management Res Inst IuFOR, Valladolid, Spain; [Ramirez Arevalo, Freddy] Univ Nacl Amazonia Peruana, Iquitos, Peru; [Restrepo-Correa, Zorayda] Fdn Con Vida &amp; Corp COL TREE, SECC, Medellin, Colombia; [Rodeghiero, Mirco] Univ Trento, Ctr Agr, Alimenti, Ambiente, San Michele All Adige, Italy; [Roopsind, Anand] Conservat Int, Ctr Nat Climate Solut, Arlington, VA USA; [Rovero, Francesco] Univ Florence, Dept Biol, Florence, Italy; [Rovero, Francesco] MUSE Museo Sci, Trop Biodivers Sect, Trento, Italy; [Rutishauser, Ervan] Info Flora, Geneva, Switzerland; [Saikia, Purabi] Cent Univ Jharkhand, Dept Environm Sci, Ranchi, India; [Salas-Eljatib, Christian] Univ La Frontera, Vicerrectoria Invest &amp; Postgrad, Temuco, Chile; [Salas-Eljatib, Christian] Univ Chile, Dept Gest Forestal &amp; Medio Ambiente, Santiago, Chile; [Saner, Philippe] Rhino &amp; Forest Fund eV, Kehl, Germany; [Schepaschenko, Dmitry] Siberian Fed Univ, Krasnoyarsk, Russia; [Scherer-Lorenzen, Michael] Univ Freiburg, Geobot, Fac Biol, Freiburg, Germany; [Schmid, Bernhard] Univ Zurich, Dept Geog, Remote Sensing Labs, Zurich, Switzerland; [Seben, Vladimir] Forest Res Inst Zvolen, Natl Forest Ctr, Zvolen, Slovakia; [Serra-Diaz, Josep M.] Univ Lorraine, AgroParisTech, INRAE, Silva, Nancy, France; [Serra-Diaz, Josep M.] Aarhus Univ, Dept Biol, Ctr Biodivers Dynam Changing World BIOCHANGE, Aarhus, Denmark; [Sheil, Douglas] Norwegian Univ Life Sci, Fac Environm Sci &amp; Nat Resource Management, As, Norway; [Silva-Espejo, Javier E.] Univ La Serena, Dept Biol, La Serena, Chile; [Silveira, Marcos] Univ Fed Acre, Ctr Ciencias Biol &amp; Nat, Rio Branco, Brazil; [Singh, James] Guyana Forestry Commiss, Georgetown, French Guiana; [Slik, Ferry] Univ Brunei Darussalam, Environm &amp; Life Sci, Fac Sci, Gadong, Brunei; [Sonke, Bonaventure] Univ Yaounde I, Dept Biol, Higher Teachers Training Coll, Plant Systemat &amp; Ecol Lab, Yaounde, Cameroon; [Souza, Alexandre F.] Univ Fed Rio Grande do Norte, Dept Ecol, Natal, RN, Brazil; [Svenning, Jens-Christian] Aarhus Univ, Ctr Ecol Dynam Novel Biosphere ECONOVO, Aarhus, Denmark; [Svenning, Jens-Christian] Aarhus Univ, Ctr Biodivers Dynam Changing World BIOCHANGE, Dept Biol, Aarhus, Denmark; [Svenning, Jens-Christian] Aarhus Univ, Sect Ecoinformat &amp; Biodivers, Dept Biol, Aarhus, Denmark; [Svoboda, Miroslav] Czech Univ Life Sci, Fac Forestry &amp; Wood Sci, Prague, Czech Republic; [Swanepoel, Ben] Wildlife Conservat Soc, New York, NY USA; [ter Steege, Hans] Univ Utrecht, Dept Biol, Quantitat Biodivers Dynam, Utrecht, Netherlands; [Thomas, Raquel] Iwokrama Int Ctr Rainforest Conservat &amp; Dev IIC, Georgetown, French Guiana; [Umunay, Peter M.] Yale Univ, Sch Forestry &amp; Environm Studies, New Haven, CT 06511 USA; [Usoltsev, Vladimir A.] Ural State Forest Engn Univ, Russian Acad Sci, Ural Branch, Bot Garden, Ekaterinburg, Russia; [Valencia, Renato] Pontificia Univ Catolica Ecuador, Quito, Ecuador; [Valladares, Fernando] CSIC, Museo Nacl Ciencias Nat, LINCGlobal, Madrid, Spain; [van der Plas, Fons] Wageningen Univ, Plant Ecol &amp; Nat Conservat Grp, Wageningen, Netherlands; [Van Do, Tran] Vietnamese Acad Forest Sci, Silviculture Res Inst, Hanoi, Vietnam; [van Nuland, Michael E.] Stanford Univ, Dept Biol, Stanford, CA 94305 USA; [Viana, Helder] UTAD, Ctr Res &amp; Technol Agroenvironm &amp; Biol Sci, CITAB, Vila Real, Portugal; [Viana, Helder] Polytech Inst Viseu, Agr High Sch, Viseu, Portugal; [Vibrans, Alexander C.] Univ Reg Blumenau, Dept Forest Engn, Blumenau, Brazil; [Vieira, Simone] Univ Estadual Campinas, Environm Studies &amp; Res Ctr, UNICAMP, Campinas, Brazil; [von Gadow, Klaus] Stellenbosch Univ, Dept Forest &amp; Wood Sci, Stellenbosch, South Africa; [Wang, Hua-Feng; Zhu, Zhi-Xin] Hainan Univ, Sch Life &amp; Pharmaceut Sci, Key Lab Trop Biol Resources, Minist Educ, Haikou, Hainan, Peoples R China; [Watson, James V.] West Virginia Univ, Div Forestry &amp; Nat Resources, Morgantown, WV 26506 USA; [Werner, Gijsbert D. A.] Univ Oxford, Dept Zool, Oxford, England; [Wiser, Susan K.] Manaaki Whenua Landcare Res, Lincoln, New Zealand; [Wittmann, Florian] Karlsruhe Inst Technol, Inst Geog &amp; Geoecol, Dept Wetland Ecol, Karlsruhe, Germany; [Wortel, Verginia] Ctr Agr Res Suriname CELOS, Paramaribo, Suriname; [Zagt, Roderik] Tropenbos Int, Wageningen, Netherlands; [Zawila-Niedzwiecki, Tomasz] Polish State Forests, Coordinat Ctr Environm Projects, Warsaw, Poland; [Zhang, Chunyu; Zhao, Xiuhai] Beijing Forestry Univ, Res Ctr Forest Management Engn State Forestry &amp; G, Beijing, Peoples R China; [Gann, George D.] SER, Washington, DC USA</t>
  </si>
  <si>
    <t>Swiss Federal Institutes of Technology Domain; ETH Zurich; University of Minnesota System; University of Minnesota Twin Cities; Western Sydney University; University of Michigan System; University of Michigan; Purdue University System; Purdue University; Universitat de Lleida; Wageningen University &amp; Research; Washington University (WUSTL); University of Leeds; Food &amp; Agriculture Organization of the United Nations (FAO); University of Zurich; Swiss Federal Institutes of Technology Domain; Swiss Federal Institute for Forest, Snow &amp; Landscape Research; Universite Felix Houphouet-Boigny; University of Udine; National Biodiversity Future Center; State University System of Florida; University of Florida; Field Museum of Natural History (Chicago); University of California System; University of California Los Angeles; Institute Nacional de Pesquisas da Amazonia; University of Gottingen; Norwegian Institute of Bioeconomy Research; European Commission Joint Research Centre; EC JRC ISPRA Site; Forest Research Institute; Naturalis Biodiversity Center; Universidade Federal do Acre (UFAC); National Academies of Sciences, Engineering &amp; Medicine; Duke University; University of Liege; Universite de Montpellier; Centre National de la Recherche Scientifique (CNRS); CIRAD; INRAE; Institut de Recherche pour le Developpement (IRD); Mbarara University of Science &amp; Technology; Ghent University; Stefan cel Mare University of Suceava; Universidade de Sao Paulo; Manchester Metropolitan University; Martin Luther University Halle Wittenberg; German Research Foundation (DFG); German Centre for Integrative Biodiversity Research (iDiv); University of Florence; University of Bologna; University of Connecticut; University of the Sunshine Coast; Lakehead University; Czech Academy of Sciences; Global Change Research Centre of the Czech Academy of Sciences; Duke University; University of Missouri System; University of Missouri Saint Louis; Universidade de Sao Paulo; Universidade Estadual de Campinas; University of Cambridge; Universidad Juarez del Estado de Durango; West Virginia University; Concordia University - Canada; Universidade Regional de Blumenau (FURB); INRAE; AgroParisTech; CIRAD; University of Guelph; Czech Academy of Sciences; Institute of Botany of the Czech Academy of Sciences; University of South Bohemia Ceske Budejovice; University of Arizona; The Santa Fe Institute; University of London; Queen Mary University London; Czech Academy of Sciences; Biology Centre of the Czech Academy of Sciences; University of Exeter; Museu Paraense Emilio Goeldi; Natural Resources Institute Finland (Luke); University of Bern; Institute Penyelidikan Perhutanan Malaysia; Fondazione Edmund Mach; University of Oxford; University of Bayreuth; Universite de Montpellier; CIRAD; Institut National Polytechnique Felix Houphouet-Boigny; University of the Sunshine Coast; Royal Society for Protection of Birds; Stellenbosch University; CIRAD; INRAE; Centre National de la Recherche Scientifique (CNRS); Universite de Montpellier; Institut de Recherche pour le Developpement (IRD); Tokyo University of Agriculture; Polish Academy of Sciences; Poznan University of Life Sciences; University of Warsaw; University of Copenhagen; Universidade de Sao Paulo; Universidade Estadual de Campinas; University of Bristol; Bauman Moscow State Technical University; Field Museum of Natural History (Chicago); Ghent University; Smithsonian Institution; Smithsonian Tropical Research Institute; Adelaide University; University of South Australia; Dr. Hari Singh Gour University; Seoul National University (SNU); Seoul National University (SNU); Seoul National University (SNU); Kyoto University; University of Hamburg; Estonian University of Life Sciences; International Institute for Applied Systems Analysis (IIASA); Peoples Friendship University of Russia; Qingdao Agricultural University; Russian Academy of Sciences; University of Oxford; AgroParisTech; Universite de Montpellier; CIRAD; Institut de Recherche pour le Developpement (IRD); INRAE; Centre National de la Recherche Scientifique (CNRS); Universidade do Estado de Mato Grosso; University of York - UK; Universidad Nacional Autonoma de Mexico; Universidad del Tolima; Warsaw University of Life Sciences; Universidad Nacional de San Antonio Abad del Cusco; United International University (UIU); Universidad Juarez del Estado de Durango; Universidade de Santiago de Compostela; University of Zurich; United States Department of Agriculture (USDA); United States Forest Service; University of Quebec; University of Quebec Montreal; Russian Academy of Sciences; Siberian Branch of the Russian Academy of Sciences; Krasnoyarsk Science Center of the Siberian Branch of the Russian Academy of Sciences; Sukachev Institute of Forest, Siberian Branch, Russian Academy of Sciences; Wageningen University &amp; Research; Pondicherry University; Instituto Nacional de Tecnologia Agropecuaria (INTA); Western Sydney University; Institute Nacional de Pesquisas da Amazonia; Universidade Federal do Sul da Bahia; Nature Conservancy; Technical University of Munich; Universidad de Valladolid; Universidad Nacional de la Amazonia Peruana; University of Trento; Conservation International; University of Florence; Central University of Jharkhand; Universidad de La Frontera; Universidad de Chile; Siberian Federal University; University of Freiburg; University of Zurich; National Forest Center - Slovakia; Universite de Lorraine; INRAE; AgroParisTech; Aarhus University; Norwegian University of Life Sciences; Universidad de La Serena; Universidade Federal do Acre (UFAC); University Brunei Darussalam; University of Yaounde I; Universidade Federal do Rio Grande do Norte; Aarhus University; Aarhus University; Aarhus University; Czech University of Life Sciences Prague; Wildlife Conservation Society; Utrecht University; Yale University; Russian Academy of Sciences; Botanical Garden of the Ural Branch of Russian Academy of Sciences; Ural State Forest Engineering University; Pontificia Universidad Catolica del Ecuador; Consejo Superior de Investigaciones Cientificas (CSIC); CSIC - Museo Nacional de Ciencias Naturales (MNCN); Wageningen University &amp; Research; Stanford University; University of Tras-os-Montes &amp; Alto Douro; Instituto Politecnico de Viseu; Universidade Regional de Blumenau (FURB); Universidade Estadual de Campinas; Stellenbosch University; Hainan University; West Virginia University; University of Oxford; Landcare Research - New Zealand; Helmholtz Association; Karlsruhe Institute of Technology; Beijing Forestry University</t>
  </si>
  <si>
    <t>Mo, LD; Zohner, CM; Crowther, TW (corresponding author), ETH, Swiss Fed Inst Technol, Inst Integrat Biol, Zurich, Switzerland.</t>
  </si>
  <si>
    <t>lidong.mo@usys.ethz.ch; constantin.zohner@usys.ethz.ch; tom.crowther@usys.ethz.ch</t>
  </si>
  <si>
    <t>Antón-Fernández, Clara/C-2427-2009; KHAN, MOHAMMED/Q-7641-2019; Umunay, Peter/AAS-4870-2020; Viana, Helder/B-2885-2010; Šebeň, Vladimír/Q-9515-2019; Jagodziński, Andrzej/AAA-2537-2021; DeVries, Ben/JXN-8651-2024; Rovero, Francesco/AAI-3157-2020; Marimon Junior, Ben Hur/AAT-9354-2020; Meave, Jorge/B-3673-2008; Zo-Bi, Irie/GLS-6313-2022; Zambrano, Angelica/Q-4758-2017; Crim, Philip/X-8219-2019; Barroso, Jorcely/H-5852-2017; Ibanez, Thomas/I-6061-2019; Souza, Alexane F/G-3016-2011; Brancalion, Pedro/D-6995-2012; Schongart, Jochen/I-2659-2016; Malhi, Yadvinder/I-4668-2012; Poulsen, John/O-5332-2019; Shvidenko, Anatoly/I-1505-2016; Ramirez, Fredy/R-1522-2016; PIEDADE, Maria Teresa Fernandez/C-5372-2013; Karminov, Victor/AAB-2092-2022; Djordjevic, Ilija/AAN-3307-2020; Serra-Diaz, Josep M/C-3614-2015; Jucker, Tommaso/S-4724-2017; Pretzsch, Hans/AAC-5565-2019; Fayle, Tom/A-2721-2009; Schepaschenko, Dmitry/E-9603-2012; JOLY, Carlos/C-4523-2012; Keppel, Gunnar/F-3767-2013; Neldner, Victor/V-6879-2019; Piotto, Daniel/V-1232-2019; Feldpausch, Ted/D-3436-2009; Decuyper, Mathieu/AAD-1741-2019; Araza, Arnan/HKO-9733-2023; Hui, Cang/A-1781-2008; Imai, Nobuo/AAR-7008-2020; Gasper, André/D-2563-2013; Marcon, Eric/B-5631-2009; Marimon, Beatriz/J-6389-2012; Mukul, Sharif/H-5664-2012; Serra-Diaz, JM/F-7973-2011; Nabuurs, Gert-Jan/D-8048-2015; Laarmann, Diana/A-9832-2019; Silveira, Marcos/H-7906-2013; Salas-Eljatib, Christian/I-3588-2013; Valladares, Fernando/K-9406-2014; Renner, Susanne/J-8895-2014; Parfenova, Elena/T-5101-2017; Schmid, Bernhard/C-8625-2009; Souza, Alexandre/G-3016-2011; Bruelheide, Helge/G-3907-2013; Rutishauser, Ervan/A-9076-2011; Balazy, Radomir/Q-6338-2016; Cumming, J./J-6041-2019; Cazzolla Gatti, Roberto/ABD-7380-2021; Scherer-Lorenzen, Michael/AGB-4140-2022; crowther, thomas/B-4807-2012; Targhetta, Natalia/LQL-2078-2024; Niklaus, Pascal/G-5786-2010; Fandohan, Belarmain/AAU-8444-2021; Svoboda, Miroslav/E-6860-2010; Vibrans, Alexander/C-3089-2013; Herold, Martin/F-8553-2012; Reich, Peter/AFQ-0566-2022; Rolim, Samir/A-5340-2013; Alves, Luciana/E-1141-2012; Chazdon, Robin/O-9766-2018; Liang, Jingjing/AAO-6865-2020; Rojas, Sebastian/C-1469-2015; Chen, Han/A-1359-2008; Pitman, Nigel/A-7681-2008; Johannsen, Vivian Kvist/A-1926-2015; Korjus, Henn/N-3919-2014; Gianelle, Damiano/G-9437-2011; Svenning, Jens-Christian/C-8977-2012; Broadbent, Eben/AFL-1770-2022; de Miguel, Sergio/B-8358-2016; Johannsen, Vivian/AAH-1062-2020; Rodeghiero, Mirco/G-8559-2011; de Miguel, Sergio/B-8358-2016; Lukina, Natalia/ABG-2669-2021; Herault, Bruno/B-2765-2011; Derroire, Geraldine/I-8959-2012; Maitner, Brian/AEQ-8825-2022; Piedade, Maria Teresa/C-5372-2013; Kepfer Rojas, Sebastian/C-1469-2015; Martin, Emanuel/ABD-1876-2020; Ammer, Christian/ABG-4629-2020; Ma, Haozhi/KCJ-5052-2024; Cienciala, Emil/F-1873-2011; Barroso, Jorcely Gonçalves/H-5852-2017; Peri, Pablo/ACF-3770-2022; Enquist, Brian/B-6436-2008; Kucher, Dmitry/AAG-3487-2020; Herbohn, John/B-3038-2008; Tchebakova, Nadezhda/H-1987-2016; Coomes, David/H-5630-2011; Schall, Peter/Q-5962-2019; Jaroszewicz, Bogdan/AAC-8184-2020; Usoltsev, Vladimir/M-8253-2018; van der Plas, Fons/A-2242-2017; Wiser, Susan/G-1975-2011; Verbeeck, Hans/A-2106-2009; Saikia, Purabi/A-1736-2013; Pfautsch, Sebastian/J-8676-2012; Vieira, Simone/H-1225-2011; Picard, Nicolas/T-2447-2018; Wang, Hua-Feng/GNM-5262-2022; Doležal, Jiří/H-1583-2014; Phillips, Oliver/A-1523-2011; ter Steege, Hans/B-5866-2011; Schelhaas, Mart-Jan/I-4731-2012; Van Tran/H-8431-2013; Bastian, Meredith/IXN-1301-2023; Werner, Gijsbert/J-1508-2012; Tikhonova, Elena/T-9794-2017; de Gasper, André Luís/D-2563-2013; Brienen, Roel/AAU-9959-2020; Cazzolla Gatti, Roberto/G-5462-2015; Alves, Luciana/E-1141-2012; César, Ricardo/I-3168-2014; Joly, Carlos Alfredo/C-4523-2012; Hérault, Bruno/B-2765-2011</t>
  </si>
  <si>
    <t>Viana, Helder/0000-0003-4024-3472; Mo, Lidong/0000-0003-3805-7638; Hengeveld, Geerten/0000-0002-9592-3080; Marimon Junior, Ben Hur/0000-0002-6359-6281; G P Gamarra, Javier/0000-0002-1290-9559; Jagodzinski, Anzej/0000-0001-6899-0985; Crowther, Thomas/0000-0001-5674-8913; Souza, Alexane F/0000-0001-7468-3631; Bitariho, Robert/0000-0002-3461-0013; Ramirez, Fredy/0000-0003-2441-9984; PIEDADE, Maria Teresa Fernandez/0000-0002-7320-0498; Alvarez-Davila, Esteban/0000-0001-9032-0099; Serra-Diaz, Josep M/0000-0003-1988-1154; Jucker, Tommaso/0000-0002-0751-6312; Keppel, Gunnar/0000-0001-7092-6149; Šebeň, Vladimír/0000-0003-3692-446X; van den Hoogen, Johan/0000-0001-6624-8461; Češljar, Goran/0000-0003-0438-1050; Mukul, Sharif/0000-0001-6955-2469; Rolim, Samir/0000-0002-9962-8708; Djordjevic, Ilija/0000-0001-9499-3565; Crim, Philip/0000-0002-5039-4306; Herold, Martin/0000-0003-0246-6886; Jaroszewicz, Bogdan/0000-0002-2042-8245; Alves, Luciana/0000-0002-8944-1851; Pitman, Nigel/0000-0002-9211-2880; Johannsen, Vivian Kvist/0000-0002-1268-9787; Verbeeck, Hans/0000-0003-1490-0168; Korjus, Henn/0000-0001-8522-7869; Gianelle, Damiano/0000-0001-7697-5793; de Miguel, Sergio/0000-0002-9738-0657; Rodeghiero, Mirco/0000-0003-3228-4557; de Miguel, Sergio/0000-0002-9738-0657; Herault, Bruno/0000-0002-6950-7286; Derroire, Geraldine/0000-0001-7239-2881; Zohner, Constantin/0000-0002-8302-4854; Kepfer Rojas, Sebastian/0000-0002-1681-2877; Meave, Jorge A/0000-0002-6241-8803; Barroso, Jorcely Gonçalves/0000-0003-3017-9462; Enquist, Brian/0000-0002-6124-7096; Kucher, Dmitry/0000-0002-7919-3487; Schall, Peter/0000-0003-4808-818X; van der Plas, Fons/0000-0003-4680-543X; Kenfack, David/0000-0001-8208-3388; Chen, Han/0000-0001-9477-5541; Verbeeck, Hans/0000-0003-1490-0168; Picard, Nicolas/0000-0001-5548-9171; Phillips, Oliver/0000-0002-8993-6168; ter Steege, Hans/0000-0002-8738-2659; de Gasper, André Luís/0000-0002-1940-9581; Cazzolla Gatti, Roberto/0000-0001-5130-8492; Alves, Luciana/0000-0002-8944-1851; Joly, Carlos Alfredo/0000-0002-7945-2805;</t>
  </si>
  <si>
    <t>China Scholarship Council; SNF Ambizione Fellowship; DOB Ecology; Bernina Foundation; ESA Climate Change Initiative Biomass project - European Space Agency; Open-Earth-Monitor Project - European Union; European Space Agency; IIASA; RAINFOR; AfriTRON; ForestPlots.net; ForestGEO; Smithsonian Tropical Research Institute; TmFO; Universite de Toulouse; University of Leeds; UCL; CIRAD; Romanian National Council for Higher Education Funding; CNFIS [PZ00P3_193646]; Danish National Research Foundation; VILLUM FONDEN; Royal Society [4000123662/18/I-NB]; European Research Council; UK Natural Environment Research Council; Gordon and Betty Moore Foundation; European Union; Czech Science Foundation; FCT - Portuguese Foundation for Science and Technology; ICNF-Instituto da Conservacao da Natureza, Portugal, National Forest Inventory; Conselho Nacional de Desenvolvimento Cientifico e Tecnologico (CNPq); Government of Catalonia (Generalitat de Catalunya); Deutsche Forschungsgemeinschaft (DFG) Priority Program 1374 Biodiversity Exploratories; NERC; [CNFIS-FDI-2023-F-0579]; [DNRF173]; [16549]; [ICA\R1\180100]; [291585]; [NE/B504630/1]; [NE/D010306/1]; [NE/G012067/1]; [NE/D005590/1]; [NE/I028122/1]; [NE/S011811/1]; [265171]; [21-06446 S]; [UIDB/04033/2020]; [520053/1998-2]; [NE/W001691/1]; [NE/N011570/1]; [NE/R017980/1]; Natural Environment Research Council [NE/S011811/1, NE/N011570/1, NE/N012542/1, NE/R017980/1, NE/I028122/1, NE/D005590/1, NE/D010306/1] Funding Source: researchfish; Villum Fonden [00016549] Funding Source: researchfish; Grants-in-Aid for Scientific Research [21KK0271] Funding Source: KAKEN; NERC [NE/N012542/1] Funding Source: UKRI</t>
  </si>
  <si>
    <t>China Scholarship Council(China Scholarship Council); SNF Ambizione Fellowship; DOB Ecology; Bernina Foundation(ACEV Foundation); ESA Climate Change Initiative Biomass project - European Space Agency; Open-Earth-Monitor Project - European Union; European Space Agency(European Space Agency); IIASA; RAINFOR; AfriTRON; ForestPlots.net; ForestGEO(Smithsonian InstitutionSmithsonian Tropical Research Institute); Smithsonian Tropical Research Institute(Smithsonian InstitutionSmithsonian Tropical Research Institute); TmFO; Universite de Toulouse; University of Leeds; UCL; CIRAD; Romanian National Council for Higher Education Funding; CNFIS; Danish National Research Foundation(Danmarks Grundforskningsfond); VILLUM FONDEN(Villum Fonden); Royal Society(Royal Society UK); European Research Council(European Research Council (ERC)); UK Natural Environment Research Council(UK Research &amp; Innovation (UKRI)Natural Environment Research Council (NERC)); Gordon and Betty Moore Foundation(Gordon &amp; Betty Moore Foundation); European Union(European Union (EU)); Czech Science Foundation(Grant Agency of the Czech Republic); FCT - Portuguese Foundation for Science and Technology(Fundacao para a Ciencia e a Tecnologia (FCT)); ICNF-Instituto da Conservacao da Natureza, Portugal, National Forest Inventory; Conselho Nacional de Desenvolvimento Cientifico e Tecnologico (CNPq)(Conselho Nacional de Desenvolvimento Cientifico e Tecnologico (CNPQ)); Government of Catalonia (Generalitat de Catalunya)(Generalitat de Catalunya); Deutsche Forschungsgemeinschaft (DFG) Priority Program 1374 Biodiversity Exploratories(German Research Foundation (DFG)); NERC(UK Research &amp; Innovation (UKRI)Natural Environment Research Council (NERC)); ; ; ; ; ; ; ; ; ; ; ; ; ; ; ; ; ; ; Natural Environment Research Council(UK Research &amp; Innovation (UKRI)Natural Environment Research Council (NERC)); Villum Fonden(Villum Fonden); Grants-in-Aid for Scientific Research(Ministry of Education, Culture, Sports, Science and Technology, Japan (MEXT)Japan Society for the Promotion of ScienceGrants-in-Aid for Scientific Research (KAKENHI)); NERC(UK Research &amp; Innovation (UKRI)Natural Environment Research Council (NERC))</t>
  </si>
  <si>
    <t>We sincerely acknowledge S. Lewis and D. S. Maynard for their valuable suggestions and contributions to this project. This work was supported by grants to L. Mo from the China Scholarship Council, C.M.Z. from the SNF Ambizione Fellowship programme (#PZ00P3_193646) and T.W.C. from DOB Ecology and the Bernina Foundation. We thank RESTOR (www.restor.eco) for providing data and Google Earth Engine for analytical support. This study was in part supported by the ESA Climate Change Initiative Biomass project funded by the European Space Agency (4000123662/18/I-NB) and the Open-Earth-Monitor Project funded by the European Union. The GEO-TREES initiative (https://geo-trees.org/) contributed plot data to this study, supported by the European Space Agency, IIASA, RAINFOR, AfriTRON, ForestPlots.net, ForestGEO, Smithsonian Tropical Research Institute, TmFO, Universite de Toulouse, University of Leeds, UCL and CIRAD. The French National Forest Inventory data were downloaded by the Global Forest Biodiversity initiative (GFBI) at https://inventaire-forestier.ign.fr/dataifn/; the Italian Forest Inventory data were downloaded by the GFBI at https://inventarioforestale.org/. O. Bouriaud acknowledges funding from the Romanian National Council for Higher Education Funding, CNFIS, project number CNFIS-FDI-2023-F-0579. J.-C.S. considers this work a contribution to Center for Ecological Dynamics in a Novel Biosphere (ECONOVO), funded by the Danish National Research Foundation (grant DNRF173) and his VILLUM Investigator project 'Biodiversity Dynamics in a Changing World', funded by VILLUM FONDEN (grant 16549). ForestPlots.net and RAINFOR contributions led by O.L.P. were supported by several sources, including the Royal Society (GCRF International Collaboration Award ICA\R1\180100), the European Research Council (Advanced Grant 291585), the UK Natural Environment Research Council (NE/B504630/1, NE/D010306/1, NE/G012067/1, NE/D005590/1, NE/I028122/1, NE/S011811/1) and the Gordon and Betty Moore Foundation. The exploratory plots of FunDivEUROPE were established through funding from the European Union Seventh Framework Programme FP7/2007-2013 under grant 265171. T.M.F. was supported by a Czech Science Foundation Standard Grant (21-06446 S). We thank the FCT - Portuguese Foundation for Science and Technology, project UIDB/04033/2020 and ICNF-Instituto da Conservacao da Natureza, Portugal, National Forest Inventory for support. This study used GFBI plot data originally collected in Brazil with funding by Conselho Nacional de Desenvolvimento Cientifico e Tecnologico (CNPq) (project 520053/1998-2). We are grateful to all the ministries and agencies from the Government of Spain that supported the collection, compilation and coordination of forest inventory data, also including the Spanish Forest Inventories. S.d.M. was supported by the Serra Hunter fellowship provided by the Government of Catalonia (Generalitat de Catalunya). C. Ammer and P. Schall thank the Deutsche Forschungsgemeinschaft (DFG) Priority Program 1374 Biodiversity Exploratories. We acknowledge the use of data drawn from the Natural Forest plot data collected between January 2009 and March 2014 by the LUCAS programme for the New Zealand Ministry for the Environment. Data were sourced through the NZ National Vegetation Survey (NVS) Databank. Data from T.R.F. was supported by NERC (NE/W001691/1, NE/N011570/1, NE/R017980/1).</t>
  </si>
  <si>
    <t>0028-0836</t>
  </si>
  <si>
    <t>1476-4687</t>
  </si>
  <si>
    <t>Nature</t>
  </si>
  <si>
    <t>DEC 7</t>
  </si>
  <si>
    <t>10.1038/s41586-023-06723-z</t>
  </si>
  <si>
    <t>CC0U7</t>
  </si>
  <si>
    <t>Green Accepted, Green Submitted, Green Published, hybrid</t>
  </si>
  <si>
    <t>WOS:001102765700001</t>
  </si>
  <si>
    <t>Liu, JY; Gui, F; Zhou, Q; Cai, HW; Xu, KD; Zhao, S</t>
  </si>
  <si>
    <t>Liu, Jingyi; Gui, Feng; Zhou, Qian; Cai, Huiwen; Xu, Kaida; Zhao, Sheng</t>
  </si>
  <si>
    <t>Carbon Footprint of a Large Yellow Croaker Mariculture Models Based on Life-Cycle Assessment</t>
  </si>
  <si>
    <t>life-cycle assessment; large yellow croaker; cage mariculture; carbon footprint; sustainable environment</t>
  </si>
  <si>
    <t>ENVIRONMENTAL-IMPACT ASSESSMENT; AGRICULTURAL PRODUCTION; AQUACULTURE SYSTEMS; ASSESSMENT LCA; GROW-OUT; EMISSIONS; PERFORMANCE; MANAGEMENT; METHODOLOGY; SEAFOOD</t>
  </si>
  <si>
    <t>According to the life-cycle assessment method, in this study, we took the traditional plate cage (TPC) mariculture and deep water wind wave-resistant cage (DWWWRC) mariculture of large yellow croaker in China as the research object. We counted and calculated the carbon footprint of the whole life cycle of large yellow croaker cultured in Zhoushan. By analyzing and comparing the advantages and disadvantages of the two according to a perspective of carbon emissions, we found that the carbon footprint of DWWWRC was smaller than that of TPC, which is more suitable for China's large yellow croaker mariculture. We proposed corresponding measures to reduce carbon emissions, such as using clean energy, extending cage life, and improving feed utilization. This study fills the gap in the current research direction of the carbon footprint of large yellow croaker farming in China and provides strong technical support for the sustainable development of China's large yellow croaker cage farming industry.</t>
  </si>
  <si>
    <t>[Liu, Jingyi] Zhejiang Ocean Univ, Natl Engn Res Ctr Marine Aquaculture, Zhoushan 316022, Peoples R China; [Gui, Feng; Zhou, Qian; Cai, Huiwen; Zhao, Sheng] Zhejiang Ocean Univ, Marine Sci &amp; Technol Coll, Zhoushan 316022, Peoples R China; [Xu, Kaida] Zhejiang Marine Fisheries Res Inst, Zhejiang Prov Key Lab Mariculture &amp; Enhancement, Zhoushan 316021, Peoples R China</t>
  </si>
  <si>
    <t>Zhejiang Ocean University; Zhejiang Ocean University</t>
  </si>
  <si>
    <t>Zhao, S (corresponding author), Zhejiang Ocean Univ, Marine Sci &amp; Technol Coll, Zhoushan 316022, Peoples R China.</t>
  </si>
  <si>
    <t>liujingyi@zjou.edu.cn; fgui@zjou.edu.cn; zhouqian@zjou.edu.cn; caihuiwen@zjou.edu.cn; zhaosh@zjou.edu.cn</t>
  </si>
  <si>
    <t>10.3390/su15086658</t>
  </si>
  <si>
    <t>F5YJ7</t>
  </si>
  <si>
    <t>WOS:000983096400001</t>
  </si>
  <si>
    <t>Yang, B; Wang, YF; Dunya, R; Yuan, XS</t>
  </si>
  <si>
    <t>Yang, Bian; Wang, Yufeng; Dunya, Rahman; Yuan, Xiangshang</t>
  </si>
  <si>
    <t>Study on the driving factors and decoupling effect of carbon emission from pig farming in China-based on LMDI and Tapio model</t>
  </si>
  <si>
    <t>Pig farming; Carbon emission; LCA method; LMDI decomposition; Decoupling effect</t>
  </si>
  <si>
    <t>DECOMPOSITION; CONSUMPTION</t>
  </si>
  <si>
    <t>The livestock sector accounts for 18% of total anthropogenic carbon emissions and is an important source of global greenhouse gas (GHG) emissions. China occupies a large proportion of total livestock carbon emissions worldwide, especially in the pig industry, which is significant to China's agricultural economy and also a key area for China to achieve the Carbon peaking and Carbon neutrality goals. This study uses the life cycle approach to calculate the GHG emission status of China's pig farming industry from 2001 to 2020, and then, we establish a logarithmic mean Divisia index (LMDI) model to identify the main driving factors and a Tapio decoupling model to analyze its decoupling status. We decompose the emission sources as well as decoupling index into five drivers: technological progress, livestock structure, policy bias, affluence, and population. The results reveal that the carbon emission of China's pig industry is in a weak growth trend and overall in a weak decoupling state but has volatility, which is closely related to the Pig Cycle in China. Decomposition analysis shows that increasing affluence and population growth are the main drivers of GHG emissions; simultaneously, technological progress, livestock structure, and policy bias are the main drivers of emission reduction. Meanwhile, technological and policy factors positively contribute to the decoupling status, while affluence level, population, and livestock structure changes negatively inhibit the decoupling status. The study concludes that technological advances, optimized economic structures, the guidance of green consumption patterns, and the solution to the Pig Cycle problem are crucial to further reduce GHG emissions from China's pig industry; meanwhile, technological changes have a dominant role in promoting carbon decoupling in pig farming.</t>
  </si>
  <si>
    <t>[Yang, Bian; Dunya, Rahman; Yuan, Xiangshang] Sichuan Agr Univ, Coll Econ, Chengdu 611130, Sichuan, Peoples R China; [Wang, Yufeng] Sichuan Agr Univ, Coll Management, Chengdu 611130, Sichuan, Peoples R China</t>
  </si>
  <si>
    <t>Sichuan Agricultural University; Sichuan Agricultural University</t>
  </si>
  <si>
    <t>Wang, YF (corresponding author), Sichuan Agr Univ, Coll Management, Chengdu 611130, Sichuan, Peoples R China.</t>
  </si>
  <si>
    <t>yangbian@stu.sicau.edu.cn; wangyf@sicau.edu.cn; rascom98@ymail.com; 805207899@qq.com</t>
  </si>
  <si>
    <t>Dunya, Rahman/N-7222-2017</t>
  </si>
  <si>
    <t>Thanks to the hard-working editors and valuable comments from reviewers.</t>
  </si>
  <si>
    <t>10.1007/s10668-023-04007-0</t>
  </si>
  <si>
    <t>W9W2C</t>
  </si>
  <si>
    <t>WOS:001101019300004</t>
  </si>
  <si>
    <t>Liu, YN; Zhao, XQ; Cheng, YC; Xie, R; Meng, TT; Chen, LY; Ren, YF; Xue, CL; Zhao, K; Wei, SL; Fang, J; Zhang, XQ; Sun, FC; Lu, ZY</t>
  </si>
  <si>
    <t>Liu, Yanan; Zhao, Xiaoqing; Cheng, Yuchen; Xie, Rui; Meng, Tiantian; Chen, Liyu; Ren, Yongfeng; Xue, Chunlei; Zhao, Kun; Wei, Shuli; Fang, Jing; Zhang, Xiangqian; Sun, Fengcheng; Lu, Zhanyuan</t>
  </si>
  <si>
    <t>Organic Nitrogen Substitution Enhances Carbon Sequestration but Increases Greenhouse Gas Emissions in Maize Cropping Systems</t>
  </si>
  <si>
    <t>nitrogen fertilizer; organic substitution; maize; greenhouse gas emissions; carbon sequestration</t>
  </si>
  <si>
    <t>N2O EMISSIONS; SOIL; MANURE; YIELD; AGROECOSYSTEMS; FERTILIZERS; MANAGEMENT; COMPOST</t>
  </si>
  <si>
    <t>Excessive chemical fertilizers degrade soil and increase greenhouse gas (GHG) emissions. Organic substitution of nitrogen fertilizers is recognized as a sustainable agricultural-management practice, yet its dual role in carbon sequestration and emissions renders the net GHG balance (NGHGB) uncertain. To assess the GHG mitigation potential of organic substitution strategies, this study analyzed GHG fluxes, soil organic carbon (SOC) dynamics, indirect GHG emissions, and Net Primary Productivity (NPP) based on a long-term field positioning experiment initiated in 2016. Six fertilizer regimes were systematically compared: no fertilizer control (CK); only phosphorus and potassium fertilizer (PK); total chemical fertilizer (NPK); 1/3 chemical N substituted with sheep manure (OF1); dual substitution protocol with 1/6 chemical N substituted by sheep manure and 1/6 substituted by straw-derived N (OF2); complete chemical N substitution with sheep manure (OF3). The results showed that OF1 and OF2 maintained crop yields similar to those under NPK, whereas OF3 reduced yield by over 10%; relative to NPK, OF1, OF2, and OF3 significantly increased SOC sequestration rates by 50.70-149.20%, reduced CH4 uptake by 7.9-70.63%, increased CO2 emissions by 1.4-23.9%, decreased N2O fluxes by 3.6-56.2%, and mitigated indirect GHG emissions from farm inputs by 24.02-63.95%. The NGHGB was highest under OF1, 9.44-23.99% greater than under NPK. These findings demonstrate that partial organic substitution increased carbon sequestration, maintained crop yields, whereas high substitution rates increase the risk of carbon emissions. The study results indicate that substituting 1/3 of chemical nitrogen with sheep manure in maize cropping systems represents an effective fertilizer management approach to simultaneously balance productivity and ecological sustainability.</t>
  </si>
  <si>
    <t>[Liu, Yanan; Xie, Rui; Meng, Tiantian; Lu, Zhanyuan] Hebei Agr Univ, Coll Agron, Baoding 071000, Peoples R China; [Liu, Yanan; Zhao, Xiaoqing; Cheng, Yuchen; Xie, Rui; Meng, Tiantian; Chen, Liyu; Ren, Yongfeng; Xue, Chunlei; Zhao, Kun; Wei, Shuli; Fang, Jing; Zhang, Xiangqian; Sun, Fengcheng; Lu, Zhanyuan] Inner Mongolia Acad Agr &amp; Anim Husb Sci, Hohhot 010031, Peoples R China; [Liu, Yanan; Zhao, Xiaoqing; Cheng, Yuchen; Xie, Rui; Meng, Tiantian; Chen, Liyu; Ren, Yongfeng; Zhao, Kun; Wei, Shuli; Fang, Jing; Zhang, Xiangqian; Sun, Fengcheng; Lu, Zhanyuan] Minist Agr &amp; Rural Affairs Peoples Republ China, Key Lab Black Soil Protect &amp; Utilizat Hohhot, Hohhot 010031, Peoples R China</t>
  </si>
  <si>
    <t>Hebei Agricultural University; Inner Mongolia Academy of Agricultural &amp; Animal Husbandry Sciences</t>
  </si>
  <si>
    <t>Lu, ZY (corresponding author), Hebei Agr Univ, Coll Agron, Baoding 071000, Peoples R China.;Zhang, XQ; Sun, FC; Lu, ZY (corresponding author), Inner Mongolia Acad Agr &amp; Anim Husb Sci, Hohhot 010031, Peoples R China.;Zhang, XQ; Sun, FC; Lu, ZY (corresponding author), Minist Agr &amp; Rural Affairs Peoples Republ China, Key Lab Black Soil Protect &amp; Utilizat Hohhot, Hohhot 010031, Peoples R China.</t>
  </si>
  <si>
    <t>1384894790@163.com; zhaoxq204@163.com; ycch2024@163.com; xierui12358@163.com; 15754882732@163.com; cly@imaaahs.ac.cn; renyongfeng_1984@163.com; xcl13474717283@163.com; zhaokun_522@163.com; wslweishuli@163.com; fangjing721@163.com; zhangxiangqian_2008@126.com; sfcnmnky@sina.com; lzhy2811@163.com</t>
  </si>
  <si>
    <t>; WEI, SHULI/GWZ-6667-2022</t>
  </si>
  <si>
    <t>Liu, Yanan/0009-0005-6022-158X; Lu, Zhanyuan/0009-0006-0862-4813; Meng, Tiantian/0009-0003-2566-8314</t>
  </si>
  <si>
    <t>Leading Talent Project of Science and Technology Leading Talent Team Project of Inner Mongolia Autonomous Region [2022LJRC0010]; Leading Talent Project of Science and Technology Leading Talent Team Project of Inner Mongolia Autonomous Region; Scientific and Technological Projects of Grassland Talents in Inner Mongolia Autonomous Region [2022MS03068]; Inner Mongolia Autonomous Region Natural Science Foundation Project [2023YFD1500202]; National Key Research and Development Program of China [2024QNJJN07]; Young Innovation Fund Project of the Inner Mongolia Academy of Agricultural &amp; Animal Husbandry Sciences</t>
  </si>
  <si>
    <t>Leading Talent Project of Science and Technology Leading Talent Team Project of Inner Mongolia Autonomous Region; Leading Talent Project of Science and Technology Leading Talent Team Project of Inner Mongolia Autonomous Region; Scientific and Technological Projects of Grassland Talents in Inner Mongolia Autonomous Region; Inner Mongolia Autonomous Region Natural Science Foundation Project; National Key Research and Development Program of China(National Key Research &amp; Development Program of China); Young Innovation Fund Project of the Inner Mongolia Academy of Agricultural &amp; Animal Husbandry Sciences</t>
  </si>
  <si>
    <t>This study was gratefully supported by the Leading Talent Project of Science and Technology Leading Talent Team Project of Inner Mongolia Autonomous Region (2022LJRC0010); Scientific and Technological Projects of Grassland Talents in Inner Mongolia Autonomous Region, Inner Mongolia Autonomous Region Natural Science Foundation Project (2022MS03068); National Key Research and Development Program of China (2023YFD1500202); Young Innovation Fund Project of the Inner Mongolia Academy of Agricultural &amp; Animal Husbandry Sciences (2024QNJJN07).</t>
  </si>
  <si>
    <t>JUL 15</t>
  </si>
  <si>
    <t>10.3390/agronomy15071703</t>
  </si>
  <si>
    <t>5NI3S</t>
  </si>
  <si>
    <t>WOS:001539766700001</t>
  </si>
  <si>
    <t>Wei, J; Zhang, JJ; Cai, BF; Wang, K; Liang, S; Geng, YH</t>
  </si>
  <si>
    <t>Wei, Jing; Zhang, Jianjun; Cai, Bofeng; Wang, Ke; Liang, Sen; Geng, Yuhuan</t>
  </si>
  <si>
    <t>Characteristics of carbon dioxide emissions in response to local development: Empirical explanation of Zipf's law in Chinese cities</t>
  </si>
  <si>
    <t>Carbon dioxide emissions; City development; Zipf's law; Rank-size rule; China</t>
  </si>
  <si>
    <t>CITY SIZE DISTRIBUTION; CO2 EMISSIONS; ECONOMIC-GROWTH; KUZNETS CURVE; RIVER DELTA; URBANIZATION; POPULATION; EVOLUTION; IMPACT; REGION</t>
  </si>
  <si>
    <t>Carbon emissions and city development are currently two major areas of interest worldwide. With the continuous development of cities, the problem of carbon emissions has received substantial attention. Analyzing the relationship between carbon emissions and city development is key to building low-carbon cities. This paper selects the revised Zipf's law to explore diverse carbon emission characteristics in different stages of city development and tries to verify the balance of city development and the rationality of key emitting sectors in China, thus filling a gap in this domain. Based on the analysis of different emitting sectors and diverse city categories, several discoveries are made. First, nearly 80% of Chinese cities have reached the ideal state of Zipf's law between carbon dioxide (CO2) emissions and city development. In general, carbon emissions and city development are basically matched at the present stage. Second, in cities, the carbon emissions of the agricultural and industrial processes sectors are relatively balanced and stable with the city development. In addition, only the traffic sector is in the stage of intensive development. Other sectors (industrial energy, rural household, urban household, services, and indirect emissions) need to be further optimized. Third, CO2 emissions in other type of cities are basically matched with the city development. Industrial cities, megalopolises and metropolises are in the stage of intensive development, while cities of other types (service-oriented cities and small-medium cities) need to be further optimized. Fourth, corresponding measures, such as adjusting energy and industrial structure, optimizing resource allocation, and promoting intensive production, need to be taken to optimize carbon emissions in cities of different types and in different emitting sectors. Our study provides a particular theoretical basis and practical value, for China and other countries in similar situations, to coordinate the matching correlation between city development and carbon emissions in the future. (C) 2020 Elsevier B.V. All rights reserved.</t>
  </si>
  <si>
    <t>[Wei, Jing; Zhang, Jianjun; Wang, Ke; Liang, Sen] China Univ Geosci Beijing, Sch Land Sci &amp; Technol, 29 Xueyuan Rd, Beijing 100083, Peoples R China; [Zhang, Jianjun] Minist Nat Resources, Key Lab Land Consolidat &amp; Rehabil, Beijing 100083, Peoples R China; [Zhang, Jianjun; Geng, Yuhuan] Univ Quebec Montreal, Inst Environm Sci, Dept Biol Sci, Montreal, PQ H3C 3P8, Canada; [Cai, Bofeng] Chinese Acad Environm Planning, Ctr Climate Change &amp; Environm Policy, Beijing 100012, Peoples R China; [Geng, Yuhuan] Beijing Union Univ, Tourism Inst, 99 Beisihuan East Rd, Beijing 100101, Peoples R China</t>
  </si>
  <si>
    <t>China University of Geosciences; Ministry of Natural Resources of the People's Republic of China; University of Quebec; University of Quebec Montreal; Chinese Academy of Environmental Planning; Beijing Union University</t>
  </si>
  <si>
    <t>Zhang, JJ (corresponding author), China Univ Geosci Beijing, Sch Land Sci &amp; Technol, 29 Xueyuan Rd, Beijing 100083, Peoples R China.;Cai, BF (corresponding author), Chinese Acad Environm Planning, Ctr Climate Change &amp; Environm Policy, Beijing 100012, Peoples R China.</t>
  </si>
  <si>
    <t>zhangjianjun@cugb.edu.cn; caibf@caep.org.cn</t>
  </si>
  <si>
    <t>Wang, Ke/HGC-1797-2022</t>
  </si>
  <si>
    <t>National Natural Science Foundation of China [71673107]; Fundamental Research Funds for the Central Universities [2652018042, 2652019305]; Support Plan for High-Level Teaching Staff Construction in Beijing Universities; [CITTCD201704074]</t>
  </si>
  <si>
    <t>National Natural Science Foundation of China(National Natural Science Foundation of China (NSFC)); Fundamental Research Funds for the Central Universities(Fundamental Research Funds for the Central Universities); Support Plan for High-Level Teaching Staff Construction in Beijing Universities;</t>
  </si>
  <si>
    <t>This research is funded by the project entitled An Emission-Transport-Exposure Model Based Study on the Evaluation of the Environmental Impact of Carbon Market (No. 71673107) supported by the National Natural Science Foundation of China, the Fundamental Research Funds for the Central Universities (2652018042, 2652019305) and Support Plan for High-Level Teaching Staff Construction in Beijing Universities (CIT&amp;TCD201704074).</t>
  </si>
  <si>
    <t>FEB 25</t>
  </si>
  <si>
    <t>10.1016/j.scitotenv.2020.143912</t>
  </si>
  <si>
    <t>PN4EF</t>
  </si>
  <si>
    <t>WOS:000604432900112</t>
  </si>
  <si>
    <t>Lampridi, M; Kateris, D; Myresiotis, C; Berruto, R; Fragos, V; Kotsopoulos, T; Bochtis, D</t>
  </si>
  <si>
    <t>Lampridi, Maria; Kateris, Dimitrios; Myresiotis, Charalampos; Berruto, Remigio; Fragos, Vassilios; Kotsopoulos, Thomas; Bochtis, Dionysis</t>
  </si>
  <si>
    <t>Leveraging Digital Technologies for Carbon Footprint Tracking in Perennial Cultivations: A Case Study of Walnut Orchard Establishment in Central Greece</t>
  </si>
  <si>
    <t>carbon footprint; walnut orchard; FMIS; digital farming; carbon sequestration</t>
  </si>
  <si>
    <t>EMISSIONS; ENERGY; FOOD</t>
  </si>
  <si>
    <t>The present paper aims to quantify the carbon emissions associated with the establishment of 15 walnut orchards (Juglans californica) in the greater area of Magnisia, Greece, with the use of a carbon footprint tool interconnected to a Farm Management Information System. The data collection spanned the first five years following the planting of the trees, providing a comprehensive view of the emissions during this critical establishment phase. Over the five-year period examined (February 2019-December 2023), the results revealed net carbon emissions amounting to 13.71 tn CO2 eq ha-1, with the calculated emissions showing an increasing trend from the first year through the fifth year. Scope 1 (7.38 tn CO2 eq ha-1) and Scope 2 (3.71 tn CO2 eq ha-1) emissions emerged as the most significant, while irrigation (drip irrigation) and fertilizing practices were identified as the highest contributors to emissions. This study highlights the significance of using integrated digital tools for monitoring the performance of cultivations rather than standalone tools that are currently widely available. Integrated tools that incorporate various applications simplify data collection, encourage accurate record-keeping, and facilitate certification processes. By automating data entry and calculations, these tools reduce human error during agricultural carbon management and save time; thus, the integration of digital monitoring tools is vital in improving data accuracy, streamlining certification processes, and promoting eco-friendly practices, crucial for the evolving carbon market.</t>
  </si>
  <si>
    <t>[Lampridi, Maria; Kateris, Dimitrios; Myresiotis, Charalampos; Bochtis, Dionysis] Ctr Res &amp; Technol Hellas CERTH, Inst Bioecon &amp; Agritechnol iBO, 6th Km Charilaou,Thermi Rd, Thessaloniki 57001, Greece; [Lampridi, Maria; Fragos, Vassilios; Kotsopoulos, Thomas] Aristotle Univ Thessaloniki, Fac Agr Forestry &amp; Nat Environm, Sch Agr, 54124 Thessaloniki, Greece; [Lampridi, Maria; Bochtis, Dionysis] farmB Digital Agr SA, Dekatis Evdomis Noemvriou 79, Thessaloniki 55534, Greece; [Berruto, Remigio] Interuniv Dept Reg &amp; Urban Studies &amp; Planning, Viale Matttioli 39, I-10125 Turin, Italy</t>
  </si>
  <si>
    <t>Centre for Research &amp; Technology Hellas; Aristotle University of Thessaloniki</t>
  </si>
  <si>
    <t>Kateris, D (corresponding author), Ctr Res &amp; Technol Hellas CERTH, Inst Bioecon &amp; Agritechnol iBO, 6th Km Charilaou,Thermi Rd, Thessaloniki 57001, Greece.</t>
  </si>
  <si>
    <t>m.lampridi@certh.gr; d.kateris@certh.gr; c.myresiotis@certh.gr; remigio.berruto@unito.it; fragos@agro.auth.gr; mkotsop@agro.auth.gr; d.bochtis@certh.gr</t>
  </si>
  <si>
    <t>Dionysis, Bochtis/P-4648-2018; Fragos, Vassilios/ABC-5843-2020; Berruto, Remigio/KWT-5054-2024; KOTSOPOULOS, THOMAS/AAB-6863-2021; Bochtis, Dionysis/P-4648-2018</t>
  </si>
  <si>
    <t>Fragos, Vassilios/0000-0001-5022-1168; Kateris, Dimitrios/0000-0002-5731-9472; BERRUTO, Remigio/0000-0001-5633-7022; Lampridi, Maria/0000-0002-3215-7972; Bochtis, Dionysis/0000-0002-7058-5986; KOTSOPOULOS, THOMAS/0000-0001-5252-5966</t>
  </si>
  <si>
    <t>10.3390/agronomy14102241</t>
  </si>
  <si>
    <t>K3U0U</t>
  </si>
  <si>
    <t>WOS:001343149600001</t>
  </si>
  <si>
    <t>Wang, XW; Yao, SW; Dou, MY</t>
  </si>
  <si>
    <t>Wang, Xingwei; Yao, Shiwen; Dou, Miaoyue</t>
  </si>
  <si>
    <t>Quantifying the economic-energy-carbon synergy and trade-offs induced by China's water supply constraints</t>
  </si>
  <si>
    <t>Synergy and trade-offs; Supply-constrained multi-regional input-output; model; Water supply constraint; Water-energy-carbon nexus</t>
  </si>
  <si>
    <t>SCARCITY; NEXUS; CONSERVATION; IMPACTS; LEVEL</t>
  </si>
  <si>
    <t>Water, an essential component of economic development, with high coupling of energy and carbon emissions, is presently encountering a scarcity issue within China. In response, China has launched the water management strategy of production determined by water. But the nationwide economic, energy, and carbon benefits of this initiative have yet to be assessed, which is crucial considering China is the largest carbon emitter and energy consumer. In this study, we establish a comprehensive framework to incorporate economic losses, energy consumption, and carbon emissions into the analysis of water constrained measures. Firstly, we evaluated the current status of water-energy-carbon in China. Then, the water-scarce regions and sectors was identified to formulate 216 water-constrained scenarios. Finally, we extended the multi-regional input-output model (MRIO) to accommodate supply constraints for quantifying the cross-system impacts of the scenarios. The results underscore agriculture, chemicals, food and tobacco, electricity and heating production, and construction as focal water-intensive and constrained sectors. With water constraint, the agricultural sector can minimize economic losses but only yield limited energy saving and emission reduction. While the construction, metal product manufacturing, electricity and heating production, and chemicals industries, can achieve higher synergistic benefits of water conservation, energy saving, and emission reduction under water constraints. Additionally, the northern coastal region displayed the strongest response, with 1 m3 water constraint leads to energy savings of 0.945-6.354 kgce and emission reductions of 2.11-39.32 kgCO2. The study provides valuable insights for the development of multi-objective water constrained policies.</t>
  </si>
  <si>
    <t>[Wang, Xingwei] Tsinghua Univ, Sch Environm, Beijing 100084, Peoples R China; [Yao, Shiwen; Dou, Miaoyue] China Univ Petr East China, Sch Econ &amp; Management, Qingdao 266580, Peoples R China</t>
  </si>
  <si>
    <t>Tsinghua University; China University of Petroleum</t>
  </si>
  <si>
    <t>Wang, XW (corresponding author), Tsinghua Univ, Sch Environm, Beijing 100084, Peoples R China.</t>
  </si>
  <si>
    <t>wang-xw22@mails.tsinghua.edu.cn</t>
  </si>
  <si>
    <t>Wang, Xingwei/0000-0001-7605-218X</t>
  </si>
  <si>
    <t>10.1016/j.jclepro.2024.143011</t>
  </si>
  <si>
    <t>XT6G5</t>
  </si>
  <si>
    <t>WOS:001263962500001</t>
  </si>
  <si>
    <t>Zhang, JC; Zhou, XW; Zhou, YC; Zhang, ZM</t>
  </si>
  <si>
    <t>Zhang, Jiachun; Zhou, Xinwei; Zhou, Yunchao; Zhang, Zhenming</t>
  </si>
  <si>
    <t>Reliability of CO2 emissions for assessing the carbon sequestration effect of biochar and its co-application with fertilizer</t>
  </si>
  <si>
    <t>Soil; Organic carbon; Climate change; Meta-analysis</t>
  </si>
  <si>
    <t>SOIL; NITROGEN; FLUXES; N2O</t>
  </si>
  <si>
    <t>Soil carbon dioxide (CO2) emissions have some feedback effects on soil carbon pool dynamics, which are critical for assessments of climate change and agroecosystem management. However, the wide variation in the sensitivity of CO2 emissions and soil carbon pools to changes in carbon sequestration measures (biochar and its co-application with fertilizers), coupled with the lack of clarity in the drivers of this variation and potential inconsistencies in changes in CO2 emissions and soil carbon pools, compromise the reliability of CO2-based assessments. Here, we investigated the direct effects of biochar (BC) and biochar-fertilizer (BCF) on CO2 emissions and soil carbon pools using global-scale data; specifically, we used hierarchical models to assess the overall effects and a gradient boosted decision tree model to quantify the effects of possible explanatory factors. The overall effects of BC and BCF on CO2 emissions, soil organic carbon (SOC), and microbial biomass carbon (MBC) were all positive and significant (LRR++ = 0.0887-0.2943, 9.98-34.22 %, p &lt; 0.05), except for the overall effect of BCF on CO2 (LRR++ = 0.0576(,) 5.93 %, p = 0.2893). All explanatory factors explain heterogeneity in the effect sizes, and crop type, BC type, and soil texture had strong effects. Continuous variables such as BC and fertilizer addition and duration of the experiment were all linearly related to effect sizes. The response of CO2 emissions to BC was inconsistent with the SOC response and consistent with the MBC response; the response of CO2 emissions to BCF was consistent with both the SOC and MBC responses. This study suggests that the reliability of applying CO2 emissions to examine changes in soil carbon pools under BC and fertilizer application are context-dependent. The results of this study provide basic theoretical insights with implications for enhancing carbon sequestration in agricultural soils and mitigating global climate change.</t>
  </si>
  <si>
    <t>[Zhang, Jiachun; Zhou, Yunchao] Guizhou Univ, Coll Forestry, Res Ctr Forest Resources &amp; Environm Guizhou Prov, Guiyang 550025, Guizhou, Peoples R China; [Zhang, Jiachun; Zhou, Xinwei] Guizhou Bot Garden, Guiyang 550004, Guizhou, Peoples R China; [Zhang, Zhenming] Guizhou Univ, Coll Resource &amp; Environm Engn, Guiyang 550025, Guizhou, Peoples R China; [Zhang, Zhenming] Guizhou Univ, Key Lab Karst Georesources &amp; Environm, Minist Educ, Guiyang 550025, Peoples R China; [Zhang, Zhenming] Minist Educ, Guizhou Karst Environm Ecosyst Observat &amp; Res Stn, Guiyang 550025, Peoples R China</t>
  </si>
  <si>
    <t>Guizhou University; Guizhou University; Guizhou University</t>
  </si>
  <si>
    <t>Zhou, YC (corresponding author), Guizhou Univ, Coll Forestry, Res Ctr Forest Resources &amp; Environm Guizhou Prov, Guiyang 550025, Guizhou, Peoples R China.</t>
  </si>
  <si>
    <t>yczhou@gzu.edu.cn</t>
  </si>
  <si>
    <t>Guizhou Provincial Key Technology RD Program [[2021]491]; National Natural Science Foundation of China [32401550, 42467038]</t>
  </si>
  <si>
    <t>Guizhou Provincial Key Technology RD Program; National Natural Science Foundation of China(National Natural Science Foundation of China (NSFC))</t>
  </si>
  <si>
    <t>This work was financially supported by Guizhou Provincial Key Technology R&amp;D Program (No. [2021]491), National Natural Science Foundation of China (No. 32401550, 42467038).</t>
  </si>
  <si>
    <t>10.1016/j.eti.2025.104445</t>
  </si>
  <si>
    <t>6TI6V</t>
  </si>
  <si>
    <t>WOS:001561537700001</t>
  </si>
  <si>
    <t>Agricultural Machinery Manufacturing Sector in Palestine - Reality and Challenges</t>
  </si>
  <si>
    <t>This paper presents briefly the current status of agricultural machinery manufacturing sector in Palestine. The current agricultural mechanization status, workshops names, locations and activities are mentioned. In addition, companies dealing with agricultural mechanization are listed. The motivations for improving agricultural machinery manufacturing sector are also discussed. Some technical recommendations for improving this manufacturing capacity are provided.</t>
  </si>
  <si>
    <t>[Abu-Khalaf, Nawaf] Palestine Tech Univ Kadoorie PTUK, Coll Agr Sci &amp; Technol, POB 7, Tulkarm, Palestine; [Natour, Yasser A. R.] Palestinian Minist Agr MOA, Field Crops &amp; Agr Mechanizat Dept, Ramallah, Palestine</t>
  </si>
  <si>
    <t>Abu-Khalaf, N (corresponding author), Palestine Tech Univ Kadoorie PTUK, Coll Agr Sci &amp; Technol, POB 7, Tulkarm, Palestine.</t>
  </si>
  <si>
    <t>n.abukhalaf@ptuk.edu.ps; yassernatour@hotmail.com</t>
  </si>
  <si>
    <t>Abu-Khalaf, Nawaf/R-8617-2019</t>
  </si>
  <si>
    <t>WOS:000755822100008</t>
  </si>
  <si>
    <t>Wang, YX; Tian, Z; Jing, XD; Li, MY</t>
  </si>
  <si>
    <t>Wang, Yuxuan; Tian, Ze; Jing, Xiaodong; Li, Mengyao</t>
  </si>
  <si>
    <t>Development Dynamics and Influencing Factors of China's Agricultural Green Ecological Efficiency Based on an Evaluation Model Incorporating Ecosystem Service Value and Carbon Emissions</t>
  </si>
  <si>
    <t>ecosystem service value; carbon emissions; agricultural green eco-efficiency; green total factor productivity; China</t>
  </si>
  <si>
    <t>SUSTAINABLE INTENSIFICATION; URBAN AGRICULTURE; CONVERGENCE; EVOLUTION</t>
  </si>
  <si>
    <t>Sustainable agricultural development requires ensuring food security while preserving essential ecological conditions. This study incorporated ecosystem service value and carbon emissions as the positive and negative ecological outputs of agriculture, respectively, to account for the AGEE of 31 Chinese provinces from 2012 to 2021 and to analyse its spatiotemporal characteristics. The Malmquist Index was employed to calculate the green total factor productivity (GTP) as a quantitative indicator of AGEE dynamics, providing further insights into the sources and equilibrium of AGEE growth, as well as provincial-level improvement paths. Furthermore, the Spatial Durbin Model was applied to systematically analyse the influencing factors and their associated spatial spillover effects. The results show the following: (1) AGEE demonstrated steady improvement, with a mean value of 0.576, and was spatially concentrated along a northeast-southwest axis, exhibiting regional disparities and polarisation. (2) GTP consistently exceeded 1, indicating overall AGEE growth, primarily driven by technological scale expansion. Regional imbalances in AGEE growth had emerged, with heterogeneous causes across economic regions. Three identified AGEE improvement paths-technological catch-up, green innovation, and technological progress-varied by province, with green innovation being the most common priority. (3) AGEE exhibited spatial autocorrelation, with rural income, adequate irrigation, and cropping structure promoting AGEE. Effective irrigation also exhibited a positive spatial spillover effect, whereas industrial structure hindered AGEE. These findings provide valuable insights for advancing green agricultural practices and sustainable regional development.</t>
  </si>
  <si>
    <t>[Wang, Yuxuan; Tian, Ze] Hohai Univ, Business Sch, Nanjing 211100, Peoples R China; [Tian, Ze] Hohai Univ, Low Carbon Econ Res Inst, Nanjing 210098, Peoples R China; [Jing, Xiaodong] Minist Ecol &amp; Environm China, Nanjing Inst Environm Sci, Nanjing 210042, Peoples R China; [Li, Mengyao] Univ Melbourne, Asia Inst, Melbourne, Vic 3010, Australia; [Li, Mengyao] Univ Manchester, Sch Environm Educ &amp; Dev, Manchester M13 9PL, England</t>
  </si>
  <si>
    <t>Hohai University; Hohai University; Nanjing Institute of Environmental Sciences, Ministry of Ecology &amp; Environment; University of Melbourne; University of Manchester</t>
  </si>
  <si>
    <t>Tian, Z (corresponding author), Hohai Univ, Business Sch, Nanjing 211100, Peoples R China.;Tian, Z (corresponding author), Hohai Univ, Low Carbon Econ Res Inst, Nanjing 210098, Peoples R China.;Jing, XD (corresponding author), Minist Ecol &amp; Environm China, Nanjing Inst Environm Sci, Nanjing 210042, Peoples R China.</t>
  </si>
  <si>
    <t>wangyuxuan1021@hhu.edu.cn; 20031655@hhu.edu.cn; jingxiaodong@hhu.edu.cn; mengyaol7@student.unimelb.edu.au</t>
  </si>
  <si>
    <t>Jing, Xiaodong/0000-0001-7606-456X</t>
  </si>
  <si>
    <t>National Scholarship Fund by the China Scholarship Council; Fundamental Research Funds for Central University Scientific Research Project [B2402-07110]; National Social Science Foundation of China [21FJYB047]; Melbourne Research Scholarship; [202306710151]</t>
  </si>
  <si>
    <t>National Scholarship Fund by the China Scholarship Council; Fundamental Research Funds for Central University Scientific Research Project; National Social Science Foundation of China(National Office of Philosophy and Social Sciences); Melbourne Research Scholarship;</t>
  </si>
  <si>
    <t>This research was funded by the award of the National Scholarship Fund by the China Scholarship Council (Grant No. 202306710151), the Fundamental Research Funds for Central University Scientific Research Project (Grant No. B2402-07110), the National Social Science Foundation of China (Grant No. 21FJYB047) and the Melbourne Research Scholarship.</t>
  </si>
  <si>
    <t>10.3390/su17188253</t>
  </si>
  <si>
    <t>7WH4E</t>
  </si>
  <si>
    <t>WOS:001581180600001</t>
  </si>
  <si>
    <t>Wang, ZX; Guan, XB; Du, XY; Yu, Y; Yang, XG</t>
  </si>
  <si>
    <t>Wang, Zhengxuan; Guan, Xuebing; Du, Xinyu; Yu, Ying; Yang, Xiguang</t>
  </si>
  <si>
    <t>Mechanism Between Economic Growth and Carbon Emissions and Its Impact on Industrial Structure Rationalization in Northeast China</t>
  </si>
  <si>
    <t>Northeast China; carbon emissions; economic development; industrial structure; Theil index; Tapio</t>
  </si>
  <si>
    <t>DRIVING FACTORS; POLICY</t>
  </si>
  <si>
    <t>Against the backdrop of the deepening implementation of the Double Carbon goals, reducing carbon emissions poses great pressure on China. As major agricultural and industrial provinces, the industrial structure of the three northeastern provinces has a crucial impact on carbon emissions. In order to explore this phenomenon, this study employed provincial and municipal data from 2007 to 2019 to simulate the spatial and temporal patterns of carbon emissions and GDP in Northeast China. The Tapio decoupling model was applied to assess the elasticity coefficient between economic development and carbon emissions, while the Theil index was used to evaluate the rationalization of the industrial structure. Then, a multiple linear regression model (MLR) was innovatively applied to explore the relationship between the indexes of the two models. This study found that carbon emissions and GDP in the three provinces both exhibited the characteristic of Liaoning &gt; Heilongjiang &gt; Jilin. In the decoupling analysis, 64.7% of the cities were dominated by benign decoupling. The negative decoupling areas were primarily composed of industrial cities in the southwest and resource-based cities in the east. In the rationalization analysis, there were large-scale irrational areas in 2019, which were concentrated in northwestern and southwestern industrial cities, and occasionally in eastern resource-based cities. There was a certain degree of spatial overlap between these two problematic areas. The MLR result showed that there was a positive correlation between the elasticity coefficient and the Theil index, indicating that optimizing the industrial structure can promote the upgrading of the decoupling status toward strong decoupling. This study provided a theoretical basis for improving the decoupling of carbon emissions and economic development through industrial structure rationalization. For overlapping regions, emission reduction can be prioritized through the rationalization of the industrial structure to achieve a better decoupling status.</t>
  </si>
  <si>
    <t>[Wang, Zhengxuan; Guan, Xuebing; Du, Xinyu; Yu, Ying; Yang, Xiguang] Northeast Forestry Univ, Coll Forestry, Harbin 150040, Peoples R China</t>
  </si>
  <si>
    <t>Northeast Forestry University - China</t>
  </si>
  <si>
    <t>Yang, XG (corresponding author), Northeast Forestry Univ, Coll Forestry, Harbin 150040, Peoples R China.</t>
  </si>
  <si>
    <t>wangz_x@nefu.edu.cn; 2021121116@nefu.edu.cn; duxinyu2354@nefu.edu.cn; yuying@nefu.edu.cn; yangxiguang@nefu.edu.cn</t>
  </si>
  <si>
    <t>Yang, Xiguang/AAI-2136-2020</t>
  </si>
  <si>
    <t>National Science Foundation of China; [31971580]; [32471855]</t>
  </si>
  <si>
    <t>National Science Foundation of China(National Natural Science Foundation of China (NSFC)); ;</t>
  </si>
  <si>
    <t>This research was funded by the National Science Foundation of China (grant No. 31971580 and grant No. 32471855).</t>
  </si>
  <si>
    <t>AUG 10</t>
  </si>
  <si>
    <t>10.3390/su17167227</t>
  </si>
  <si>
    <t>6RC4R</t>
  </si>
  <si>
    <t>WOS:001560012700001</t>
  </si>
  <si>
    <t>Gorooei, A; Srivastava, AK; Jahanbakhshi, F; Ahmadi, A; Aynehban, A; Nendel, C; Gaiser, T; Kamali, B</t>
  </si>
  <si>
    <t>Gorooei, Aram; Srivastava, Amit Kumar; Jahanbakhshi, Farshid; Ahmadi, Ali; Aynehban, Amir; Nendel, Claas; Gaiser, Thomas; Kamali, Bahareh</t>
  </si>
  <si>
    <t>Projected climate change impacts on future soil organic carbon dynamics and wheat yields under different agricultural management strategies for two contrasting environments in Iran</t>
  </si>
  <si>
    <t>Simulation model; Climate change impacts; Crop yield; Soil organic carbon sequestration; Crop rotation; Crop residues</t>
  </si>
  <si>
    <t>CROP YIELDS; MODEL; SEQUESTRATION; SIMULATION; MONICA; ROTATION; TILLAGE; CO2; MINERALIZATION; RESPIRATION</t>
  </si>
  <si>
    <t>Understanding how agricultural practices and climate change impact crop yields and soil organic carbon (SOC) is crucial for maintaining agroecosystem functioning. In this study, MONICA model was used for assessing the impacts of agricultural strategies: conventional (CON), organic (ORG), and integrated (INT), and crop rotation systems: fallow-wheat (F-W), maize-wheat (M-W), sesame-wheat (S-W), and mung bean-wheat (B-W) on the yield and above ground biomass (AGB) of aforementioned crops and the change in SOC stocks for the semi-arid region of Ahvaz (Iran). We also assessed the impacts of CO2 emissions of societal development pathways SSP245 (480 ppm) and SSP585 (600 ppm) on future (2030-2060) changes in yield, AGB, and SOC for a M-W rotation under the mentioned agricultural strategies in the contrasting climate zones of Ahvaz and Torbat-Heydareye. MAE and NRMSE values of the calibrated model were 0.4 Mg ha -1 and 12% for wheat yield and 0.5 Mg ha -1 and 10.4% for wheat AGB. The low NRMSE values for SOC simulations (7.7%) indicated that MONICA accurately reproduced observed SOC. Projected wheat yield and AGB, and SOC contents, influenced by elevated CO2 levels and rising temperatures. In future scenarios, CO2 enrichment and warming improved yield and SOC in the semi-arid cold climate (Torbat-Heydareye) but reduced both in the semi-arid warm climate (Ahvaz). Climate change had a stronger impact on SOC under CON than under organic-based management strategies at both sites. This highlights the need to assess agricultural strategies regionally, considering climate projections and soil types.</t>
  </si>
  <si>
    <t>[Gorooei, Aram; Srivastava, Amit Kumar; Jahanbakhshi, Farshid; Gaiser, Thomas; Kamali, Bahareh] Univ Bonn, Inst Crop Sci &amp; Resource Conservat INRES, Bonn, Germany; [Gorooei, Aram] Julius Kuhn Inst JKI, Inst Strategies &amp; Technol Assessment, Fed Res Ctr Cultivated Plants, D-14532 Kleinmachnow, Germany; [Srivastava, Amit Kumar; Nendel, Claas] Leibniz Ctr Agr Landscape Res ZALF, Muncheberg, Germany; [Ahmadi, Ali] Tech Univ Clausthal, Geomech &amp; Multiphys Syst, Clausthal Zellerfeld, Germany; [Aynehban, Amir] Shahid Chamran Univ Ahvaz, Fac Agr Plant Prod &amp; Genet, Ahvaz, Iran</t>
  </si>
  <si>
    <t>University of Bonn; Julius Kuhn-Institut; Leibniz Association; Leibniz Zentrum fur Agrarlandschaftsforschung (ZALF); TU Clausthal; Shahid Chamran University of Ahvaz</t>
  </si>
  <si>
    <t>Gorooei, A (corresponding author), Univ Bonn, Inst Crop Sci &amp; Resource Conservat INRES, Bonn, Germany.;Gorooei, A (corresponding author), Julius Kuhn Inst JKI, Inst Strategies &amp; Technol Assessment, Fed Res Ctr Cultivated Plants, D-14532 Kleinmachnow, Germany.</t>
  </si>
  <si>
    <t>gorooei@uni-bonn.de</t>
  </si>
  <si>
    <t>Gaiser, Thomas/AAD-6326-2021; Nendel, Claas/C-8844-2013</t>
  </si>
  <si>
    <t>Rheinische Friedrich-Wilhelms-Universitt Bonn (1040) [DFG-493582952]; German Research Foundation (DFG); Institute of Crop Science and Resource Conservation (INRES), Germany; Shahid Chamran University of Ahvaz, Iran [031B0151A]; STEP 1 A program at the University of Bonn - German Federal Ministry of Education and Research (BMBF) through the BonaRes project [2070-390732324, 01LL2204C]; DFG under Germany's Excellence Strategy-EXC</t>
  </si>
  <si>
    <t>Rheinische Friedrich-Wilhelms-Universitt Bonn (1040); German Research Foundation (DFG)(German Research Foundation (DFG)); Institute of Crop Science and Resource Conservation (INRES), Germany; Shahid Chamran University of Ahvaz, Iran(Shahid Chamran University of Ahvaz); STEP 1 A program at the University of Bonn - German Federal Ministry of Education and Research (BMBF) through the BonaRes project(Federal Ministry of Education &amp; Research (BMBF)); DFG under Germany's Excellence Strategy-EXC(German Research Foundation (DFG))</t>
  </si>
  <si>
    <t>The authors express their gratitude to Mr. Gunther Krauss for his valuable advice on the R codes. The authors acknowledge funding and support from the German Research Foundation (DFG, project number DFG-493582952), the Institute of Crop Science and Resource Conservation (INRES), Germany, and Shahid Chamran University of Ahvaz, Iran, for providing research facilities. Aram Gorooei is supported by the STEP 1 A program at the University of Bonn. Amit Kumar Srivastava is funded by the German Federal Ministry of Education and Research (BMBF) through the BonaRes project (Module A), subproject 'Sustainable Subsoil Management-Soil3' (Grant 031B0151A). Additional funding comes from the DFG under Germany's Excellence Strategy-EXC 2070-390732324 and COINS (Grant 01LL2204C). The authors also thank the anonymous referees for their constructive feedback.</t>
  </si>
  <si>
    <t>10.1007/s11027-025-10242-9</t>
  </si>
  <si>
    <t>6QJ7Z</t>
  </si>
  <si>
    <t>WOS:001559524200001</t>
  </si>
  <si>
    <t>Riggers, C; Poeplau, C; Don, A; Frühauf, C; Dechow, R</t>
  </si>
  <si>
    <t>Riggers, Catharina; Poeplau, Christopher; Don, Axel; Fruehauf, Cathleen; Dechow, Rene</t>
  </si>
  <si>
    <t>How much carbon input is required to preserve or increase projected soil organic carbon stocks in German croplands under climate change?</t>
  </si>
  <si>
    <t>Modeling; Soil organic matter; OC sequestration; Multi-model ensemble; Representative concentration pathways; 4 per 1000</t>
  </si>
  <si>
    <t>AGRICULTURAL SOILS; MATTER DECOMPOSITION; MULTIMODEL ENSEMBLE; LARGE UNCERTAINTY; ROOT BIOMASS; MODEL; TRENDS; CROPS; LAND; TEMPERATURE</t>
  </si>
  <si>
    <t>Aims Increasing soil organic carbon (SOC) stocks is discussed as negative emission technology with the potential to remove relevant amounts of carbon from the atmosphere. At the same time, climate change-driven losses of SOC to the atmosphere might impede such goals. Methods In this study, we used an ensemble of different SOC models and climate projections to project SOC stocks in German croplands up to 2099 under different climate change scenarios. We then estimated the required increase in organic carbon (OC) input to preserve or increase SOC stocks. Results Projected SOC stocks of German croplands are estimated to decline under current OC input levels and management, both with and without climate change. Depending on the climate scenario, we estimated that the OC input to the soil in 2099 needs to be between 51% (+ 1.3 Mg ha(- 1)) and 93% (+ 2.3 Mg ha(- 1)) higher than today to preserve current SOC stock levels. A SOC stock increase of 34.4% (4 parts per thousand a(- 1)) would even require an OC input increase of between 221% (+ 5.5 Mg ha(- 1)) and 283% (+ 7.1 Mg ha(- 1)). Conclusions Our study highlights that under climate change increasing SOC stocks is considerable challenging since projected SOC losses have to be compensated first before SOC built up is possible. This would require unrealistically high OC input increases with drastic changes in agricultural management.</t>
  </si>
  <si>
    <t>[Riggers, Catharina; Poeplau, Christopher; Don, Axel; Dechow, Rene] Thunen Inst Climate Smart Agr, Bundesallee 65, D-38116 Braunschweig, Germany; [Fruehauf, Cathleen] ZAMF, Deutsch Wetterdienst, Bundesallee 33, D-38116 Braunschweig, Germany</t>
  </si>
  <si>
    <t>Johann Heinrich von Thunen Institute; Deutscher Wetterdienst</t>
  </si>
  <si>
    <t>Riggers, C (corresponding author), Thunen Inst Climate Smart Agr, Bundesallee 65, D-38116 Braunschweig, Germany.</t>
  </si>
  <si>
    <t>catharina.riggers@thuenen.de</t>
  </si>
  <si>
    <t>Riggers, Catharina/0000-0002-7907-7574; Poeplau, Christopher/0000-0003-3108-8810</t>
  </si>
  <si>
    <t>Projekt DEAL</t>
  </si>
  <si>
    <t>Open Access funding enabled and organized by Projekt DEAL.</t>
  </si>
  <si>
    <t>10.1007/s11104-020-04806-8</t>
  </si>
  <si>
    <t>JAN 2021</t>
  </si>
  <si>
    <t>QZ7BD</t>
  </si>
  <si>
    <t>WOS:000607516900003</t>
  </si>
  <si>
    <t>Yang, K; Wu, KY; Wang, GQ; Sun, R; Aluoch, SO; Dong, WX; Hu, CS; Li, XX</t>
  </si>
  <si>
    <t>Yang, Kang; Wu, Kunyan; Wang, Gaoqi; Sun, Rui; Aluoch, Stephen Okoth; Dong, Wenxu; Hu, Chunsheng; Li, Xiaoxin</t>
  </si>
  <si>
    <t>Short-Term Effects of Partial Substitution of Mineral Fertilisers With Compost and Biogas Slurry on Carbon Dioxide, Nitrous Oxide, and Nitrogen Emissions</t>
  </si>
  <si>
    <t>SOIL USE AND MANAGEMENT</t>
  </si>
  <si>
    <t>CO2, N2O and N2 emissions; N-cycling functional genes; partial substitution of mineral fertilisers with compost and biogas slurry</t>
  </si>
  <si>
    <t>N2O EMISSION; SOIL; MANURE; ANTIBIOTICS</t>
  </si>
  <si>
    <t>Compost and biogas slurry are increasingly used as organic fertilisers, but existing studies on their application on soil N2O emissions have been contradictory, studies on soil N2 emissions are lacking, and the mechanism of microbial control of gaseous N loss is unclear. This study investigated the effects of partially replacing mineral fertilisers with compost (30%) and biogas slurry (50%) on CO2, N2O, and N2 emissions, alongside soil nitrogen-cycling microbial communities in no nitrogen application (LN) and 600 kg N ha-1 year-1 fertilisation (HN) soils from China's North China Plain. Through controlled incubation experiments, gas flux measurements, and metagenomic analysis, we found that in the first 5 days of fertilised treatments, N2O emissions accounted for 85.26% and 94.18%, while N2 emissions accounted for 71.25% and 68.78% of total emissions under LN and HN, respectively. Organic substitutions reduced soil mineral nitrogen (-N) content by limiting exogenous nitrogen input and suppressing native organic matter mineralisation, thereby decreasing pulse emissions of N2O, N2, and CO2. While both substitutions promoted complete denitrification, biogas slurry at 50% substitution significantly enhanced nitrifying microbe abundance (Nitrosospira, Nitrospira) and nitrification-related functional genes (AmoC and Hao), increasing nitrification-driven N2O emissions compared to compost. For sustainable management, high-fertility soils benefit from partial substitution of mineral fertiliser with compost, whereas low-fertility soils require substitution ratios of biogas slurry for mineral fertiliser to boost microbial activity. These findings provide critical insights for optimising organic substitution strategies to balance productivity and environmental sustainability in intensive agricultural systems.</t>
  </si>
  <si>
    <t>[Yang, Kang; Wu, Kunyan; Wang, Gaoqi; Sun, Rui; Aluoch, Stephen Okoth; Dong, Wenxu; Hu, Chunsheng; Li, Xiaoxin] Chinese Acad Sci, Key Lab Agr Water Resources, Ctr Agr Resources Res, Key Lab Soil Ecol,Inst Genet &amp; Dev Biol, Shijiazhuang, Peoples R China; [Yang, Kang; Wu, Kunyan; Wang, Gaoqi; Aluoch, Stephen Okoth; Hu, Chunsheng] Univ Chinese Acad Sci, Beijing, Peoples R China</t>
  </si>
  <si>
    <t>Chinese Academy of Sciences; Center for Agricultural Resources Research, Institute of Genetic &amp; Developmental Biology, CAS; Institute of Genetics &amp; Developmental Biology, CAS; Chinese Academy of Sciences; University of Chinese Academy of Sciences, CAS</t>
  </si>
  <si>
    <t>Li, XX (corresponding author), Chinese Acad Sci, Key Lab Agr Water Resources, Ctr Agr Resources Res, Key Lab Soil Ecol,Inst Genet &amp; Dev Biol, Shijiazhuang, Peoples R China.</t>
  </si>
  <si>
    <t>xiaoxin_li@sjziam.ac.cn</t>
  </si>
  <si>
    <t>dong, wenxu/IRZ-2758-2023; Aluoch, Stephen/IUN-7123-2023</t>
  </si>
  <si>
    <t>Strategic Priority Research Program of the Chinese Academy of Sciences [XDA0440000]; Construction Subsidy Fund for Hebei Key Laboratory of Soil Ecology [226790207H]; Key R&amp;D Program of Hebei Province [21323601D]; National Key Research and Development Program of China [2022YFD1900300, 2023YFD1902604]</t>
  </si>
  <si>
    <t>Strategic Priority Research Program of the Chinese Academy of Sciences(Chinese Academy of Sciences); Construction Subsidy Fund for Hebei Key Laboratory of Soil Ecology; Key R&amp;D Program of Hebei Province; National Key Research and Development Program of China(National Key Research &amp; Development Program of China)</t>
  </si>
  <si>
    <t>This work was funded by the National Key R&amp;D Program of China (2022YFD1900300, 2023YFD1902604), the Strategic Priority Research Program of the Chinese Academy of Sciences (XDA0440000), the Construction Subsidy Fund for Hebei Key Laboratory of Soil Ecology (226790207H) and the Key R&amp;D Program of Hebei Province (21323601D).</t>
  </si>
  <si>
    <t>0266-0032</t>
  </si>
  <si>
    <t>1475-2743</t>
  </si>
  <si>
    <t>SOIL USE MANAGE</t>
  </si>
  <si>
    <t>Soil Use Manage.</t>
  </si>
  <si>
    <t>NOV 21</t>
  </si>
  <si>
    <t>e70150</t>
  </si>
  <si>
    <t>10.1111/sum.70150</t>
  </si>
  <si>
    <t>C1407</t>
  </si>
  <si>
    <t>WOS:001620226300001</t>
  </si>
  <si>
    <t>Aviso, KB; Sy, CL; Tan, RR; Ubando, AT</t>
  </si>
  <si>
    <t>Aviso, K. B.; Sy, C. L.; Tan, R. R.; Ubando, A. T.</t>
  </si>
  <si>
    <t>Fuzzy optimization of carbon management networks based on direct and indirect biomass co-firing</t>
  </si>
  <si>
    <t>Biomass Co-Firing; Biochar; Negative emissions technology (NET); Carbon management network (CMN); Fuzzy optimization</t>
  </si>
  <si>
    <t>LINEAR-PROGRAMMING MODEL; LIFE-CYCLE ASSESSMENT; ENVIRONMENTAL PERFORMANCE; ELECTRICITY-GENERATION; DEVELOPING-COUNTRIES; SUSTAINABLE BIOCHAR; ENERGY-PRODUCTION; POWER-PLANTS; EMISSIONS; REDUCTION</t>
  </si>
  <si>
    <t>A drastic reduction in greenhouse gas emissions from electricity generation will be needed to mitigate climate change to a safe level. Residual biomass from agriculture is an underutilized energy source that can contribute to the needed emissions cut, but its geographic dispersion presents logistical problems. Direct and indirect co-firing of biomass in existing power plants presents a flexible means of utilizing this resource. Indirect co-firing of biomass with biochar co-production can even give greater reduction in greenhouse gas emissions if the biochar is applied to soil as a form of carbon sequestration. In this paper, a fuzzy linear programming model is developed for optimizing a carbon management network based on direct and indirect biomass co-firing, coupled with biochar application to soil for the latter case. The model can match biomass sources to power plants; the power plants that use indirect co-firing are also matched to biochar application sites. The model is illustrated using a case study representative of a developing country with an agriculture-intensive economy. Results show that not all powerplants need to implement co-firing to reach a balance between reducing GHG emissions and the risk of introducing contaminants in soil. The model provides effective decision support for decarbonizing power generation, particularly in developing countries that still make use of coal-fired power plants and which have abundant biomass resources in the form of agricultural waste.</t>
  </si>
  <si>
    <t>[Aviso, K. B.; Tan, R. R.] De La Salle Univ, Chem Engn Dept, 2401 Taft Ave, Manila 0922, Philippines; [Sy, C. L.] De La Salle Univ, Ind Engn Dept, 2401 Taft Ave, Manila 0922, Philippines; [Ubando, A. T.] De La Salle Univ, Mech Engn Dept, 2401 Taft Ave, Manila 0922, Philippines</t>
  </si>
  <si>
    <t>De La Salle University; De La Salle University; De La Salle University</t>
  </si>
  <si>
    <t>Aviso, KB (corresponding author), De La Salle Univ, Chem Engn Dept, 2401 Taft Ave, Manila 0922, Philippines.</t>
  </si>
  <si>
    <t>kathleen.aviso@dlsu.edu.ph</t>
  </si>
  <si>
    <t>; Ubando, Aristotle/AAV-5353-2021; Aviso, Kathleen/ABA-4589-2020</t>
  </si>
  <si>
    <t>Sy, Charlle/0000-0001-7825-6709; Aviso, Kathleen/0000-0002-9994-5172;</t>
  </si>
  <si>
    <t>De La Salle University's Office of the Vice Chancellor for Academics</t>
  </si>
  <si>
    <t>The authors acknowledge Cortext.net for the free online access of the bibliometric analysis application used in the study. The authors also acknowledge the support of De La Salle University's Office of the Vice Chancellor for Academics under the Research Fellowship Program.</t>
  </si>
  <si>
    <t>10.1016/j.rser.2020.110035</t>
  </si>
  <si>
    <t>NI8VK</t>
  </si>
  <si>
    <t>WOS:000565624800004</t>
  </si>
  <si>
    <t>Xu, K; Hu, FL; Fan, ZL; Yin, W; Niu, YN; Wang, QM; Chai, Q</t>
  </si>
  <si>
    <t>Xu, Ke; Hu, Falong; Fan, Zhilong; Yin, Wen; Niu, Yining; Wang, Qiming; Chai, Qiang</t>
  </si>
  <si>
    <t>Delayed application of N fertilizer mitigates the carbon emissions of pea/maize intercropping via altering soil microbial diversity</t>
  </si>
  <si>
    <t>N fertilizer postponing application; pea/maize intercropping; soil properties; soil microbial diversity; carbon emission</t>
  </si>
  <si>
    <t>INTERSPECIFIC COMPETITION; NITROGEN-FERTILIZER; COMMUNITY STRUCTURE; RED SOIL; MAIZE; WHEAT; PRODUCTIVITY; YIELD; MANAGEMENT; FOOTPRINT</t>
  </si>
  <si>
    <t>Strategies to reduce carbon emissions have been a hotspot in sustainable agriculture production. The delayed N fertilizer application had the potential to reduce carbon emissions in pea (Pisum sativum L.)/maize (Zea mays L.) intercropping, but its microbial mechanism remains unclear. In this study, we investigated the effects of delayed N fertilizer application on CO2 emissions and soil microbial diversity in pea/maize intercropping. The soil respiration (Rs) rates of intercropped pea and intercropped maize were decreased by 24.7% and 25.0% with delayed application of N fertilizer, respectively. The total carbon emissions (TCE) of the pea/maize intercropping system were also decreased by 21.1% compared with that of the traditional N fertilizer. Proteobacteria, Bacteroidota, and Chloroflexi were dominant bacteria in pea and maize strips. Heatmap analysis showed that the soil catalase activity at the pea flowering stage and the soil Nu H-4(+ )Nu at the maize silking stage contributed more to the variations of bacterial relative abundances than other soil properties. Network analysis demonstrated that Rs was positively related to the relative abundance of Proteobacteria and Bacteroidota, while negatively related to the relative abundance of Chloroflexi in the pea/maize intercropping system. Overall, our results suggested that the delayed application of N fertilizer combined with the pea/maize intercropping system altered soil bacterial community diversity, thereby providing novel insights into connections between soil microorganisms and agricultural carbon emissions.</t>
  </si>
  <si>
    <t>[Xu, Ke; Hu, Falong; Fan, Zhilong; Yin, Wen; Wang, Qiming; Chai, Qiang] Gansu Agr Univ, Coll Agron, Lanzhou, Peoples R China; [Xu, Ke; Hu, Falong; Fan, Zhilong; Yin, Wen; Niu, Yining; Wang, Qiming; Chai, Qiang] State Key Lab Aridland Crop Sci, Lanzhou, Peoples R China</t>
  </si>
  <si>
    <t>Gansu Agricultural University</t>
  </si>
  <si>
    <t>Chai, Q (corresponding author), Gansu Agr Univ, Coll Agron, Lanzhou, Peoples R China.;Chai, Q (corresponding author), State Key Lab Aridland Crop Sci, Lanzhou, Peoples R China.</t>
  </si>
  <si>
    <t>Chai, Qiang/MVX-0075-2025</t>
  </si>
  <si>
    <t>National Key Research and Development Program of China [2021YFD1700202-02]; Double First-Class' Key Scientific Research Project of the Education Department in Gansu Province [GSSYLXM-02]; Natural Science Foundation of China [U21A20218, 32160765]; Science and Technology Project of Gansu Province [21JR7RA836, 20JR5RA037]</t>
  </si>
  <si>
    <t>National Key Research and Development Program of China(National Key Research &amp; Development Program of China); Double First-Class' Key Scientific Research Project of the Education Department in Gansu Province; Natural Science Foundation of China(National Natural Science Foundation of China (NSFC)); Science and Technology Project of Gansu Province</t>
  </si>
  <si>
    <t>This work was supported by the National Key Research and Development Program of China (2021YFD1700202-02), the Double First-Class' Key Scientific Research Project of the Education Department in Gansu Province (GSSYLXM-02), the Natural Science Foundation of China (U21A20218 and 32160765), and the Science and Technology Project of Gansu Province (21JR7RA836 and 20JR5RA037).</t>
  </si>
  <si>
    <t>SEP 23</t>
  </si>
  <si>
    <t>10.3389/fmicb.2022.1002009</t>
  </si>
  <si>
    <t>5S6ZG</t>
  </si>
  <si>
    <t>WOS:000875334700001</t>
  </si>
  <si>
    <t>Chang, F; Yue, SC; Li, S; Wang, H; Chen, YF; Yang, WJ; Wu, BY; Sun, HN; Wang, SW; Yin, LN; Deng, XP</t>
  </si>
  <si>
    <t>Chang, Feng; Yue, Shanchao; Li, Shuai; Wang, Hui; Chen, Yafei; Yang, Wenjia; Wu, Bingyan; Sun, Haini; Wang, Shiwen; Yin, Lina; Deng, Xiping</t>
  </si>
  <si>
    <t>Periodic straw-derived biochar improves crop yield, sequesters carbon, and mitigates emissions</t>
  </si>
  <si>
    <t>Wheat yield; Carbon sequestration; Greenhouse gas mitigation; Straw returning</t>
  </si>
  <si>
    <t>GREENHOUSE-GAS EMISSIONS; LOESS PLATEAU; SOIL CARBON; NITROGEN; WHEAT; FERTILIZATION; PRODUCTIVITY; ECOSYSTEM; DYNAMICS; SEQUESTRATION</t>
  </si>
  <si>
    <t>Increasing soil carbon sequestration is one of the main measures to mitigate greenhouse gas (GHG) emissions in agricultural systems, and straw-derived biochar returning has the potential to increase soil carbon sequestration and crop yield, mitigate GHG emissions, but its application is largely restricted due to the high input. It remains unclear whether periodic application of straw-derived biochar could effectively meet these challenges. To explore the appropriate mode of straw-derived biochar returning which aims to achieve the goal of increasing yield and carbon sequestration without reducing economic benefits, a 7-year site experiment was carried out to compare the effects of conventional tillage, wheat straw returning and straw-derived biochar returning on winter wheat yield, soil organic carbon (SOC) contents, GHG emissions and economic benefits on the Loess Plateau of China. The highest average yield over the 7-year experiment was found under straw biochar, and average yield over the 7-year experiment was increased by 9.94 % and 2.28 %, as compared with conventional tillage and wheat straw, respectively. Meanwhile, under straw biochar the SOC content was significantly increased by 24.61 % and 12.57 % than conventional tillage and wheat straw after 7 years (p &lt; 0.05). In addition, compared to conventional tillage and wheat straw, straw biochar increased the annual cumulative CO2 emissions, but reduced the annual cumulative N2O emissions; the net global warming potential under straw biochar decreased by 7.7 and 1.1 times (p &lt; 0.05), and the greenhouse gas emission intensity decreased by 8.6 and 1.6 times (p &lt; 0.05), those were mainly due to the fact that straw biochar increased wheat yield and SOC, but reduced N2O emissions. The 5-year cumulative net income and cumulative net ecosystem economic benefits under straw biochar were significantly increased by 12.16 % and 20.27 % compared to the conventional tillage, while the 7year net ecosystem economic benefits was comparable to the wheat straw (p &lt; 0.05). Taken together, our results suggest that the application of straw-derived biochar every five years could effectively increase carbon sequestration and mitigate GHG emissions, while maintaining the income simultaneously. Therefore, that the periodic straw-derived biochar returning could be an effective approach in rainfed agriculture of dryland, considering both economic and environmental effects.</t>
  </si>
  <si>
    <t>[Chang, Feng; Yue, Shanchao; Li, Shuai; Wang, Hui; Chen, Yafei; Yang, Wenjia; Wu, Bingyan; Sun, Haini; Wang, Shiwen; Yin, Lina; Deng, Xiping] Northwest A&amp;F Univ, Coll Nat Resources &amp; Environm, State Key Lab Soil Eros &amp; Dryland Farming Loess Pl, Yangling 712100, Shaanxi, Peoples R China; [Chang, Feng; Yue, Shanchao; Li, Shuai; Wang, Hui; Chen, Yafei; Yang, Wenjia; Wu, Bingyan; Wang, Shiwen; Yin, Lina; Deng, Xiping] Northwest A&amp;F Univ, Inst Soil &amp; Water Conservat, Xinong Rd 26, Yangling 712100, Shaanxi, Peoples R China; [Chang, Feng; Yue, Shanchao; Li, Shuai; Wang, Hui; Chen, Yafei; Wu, Bingyan; Wang, Shiwen; Yin, Lina; Deng, Xiping] Chinese Acad Sci &amp; Minist Water Resources, Inst Soil &amp; Water Conservat, Yangling 712100, Shaanxi, Peoples R China; [Yang, Wenjia] Yangtze Univ, Coll Agr, MARA Key Lab Sustainable Crop Prod Middle Reaches, Jingzhou 434025, Peoples R China; [Sun, Haini] Longdong Univ, Qingyang 745000, Gansu, Peoples R China</t>
  </si>
  <si>
    <t>Northwest A&amp;F University - China; Chinese Academy of Sciences; Institute of Soil &amp; Water Conservation (ISWC), CAS; Northwest A&amp;F University - China; Chinese Academy of Sciences; Institute of Soil &amp; Water Conservation (ISWC), CAS; Ministry of Water Resources; Yangtze University; Longdong University</t>
  </si>
  <si>
    <t>Wang, SW (corresponding author), Northwest A&amp;F Univ, Inst Soil &amp; Water Conservat, Xinong Rd 26, Yangling 712100, Shaanxi, Peoples R China.</t>
  </si>
  <si>
    <t>shiwenwang@nwsuaf.edu.cn</t>
  </si>
  <si>
    <t>Yue, Shanchao/D-1846-2009; Yang, Wenjia/MUO-0007-2025</t>
  </si>
  <si>
    <t>National Key Technology Research and Development Program [2022YFD1901605, 2021YFD1900705]</t>
  </si>
  <si>
    <t>National Key Technology Research and Development Program(National Key Technology R&amp;D Program)</t>
  </si>
  <si>
    <t>This work was supported by the National Key Technology Research and Development Program (2022YFD1901605) and (2021YFD1900705) .</t>
  </si>
  <si>
    <t>10.1016/j.eja.2025.127516</t>
  </si>
  <si>
    <t>T7F2Q</t>
  </si>
  <si>
    <t>WOS:001406612100001</t>
  </si>
  <si>
    <t>Lugato, E; Cescatti, A; Jones, A; Ceccherini, G; Duveiller, G</t>
  </si>
  <si>
    <t>Lugato, Emanuele; Cescatti, Alessandro; Jones, Arwyn; Ceccherini, Guido; Duveiller, Gregory</t>
  </si>
  <si>
    <t>Maximising climate mitigation potential by carbon and radiative agricultural land management with cover crops</t>
  </si>
  <si>
    <t>cover crops; albedo; radiative forcing; carbon sequestration; agricultural policy</t>
  </si>
  <si>
    <t>REGIONAL-SCALE; SOIL; SEQUESTRATION; FORESTS</t>
  </si>
  <si>
    <t>To reach the Paris climate targets, the mitigation capacity needs to be maximized across all components of the Earth system, especially land. Mitigation actions through land management, such as cover crops in agricultural soils, are often evaluated in terms of their carbon sequestration potential, while radiative forcing related to surface albedo changes is often ignored. The aim of this study was to assess the mitigation potential of cover crops, both as changes in biogenic greenhouse gas fluxes (CO(2)and N2O) and albedo-driven radiative forcing at the top of the atmosphere (TOA). To achieve this, we have integrated a biogeochemistry model framework running on approximately 8000 locations across the European Union with detailed soil data, supplemented with time series of albedo measurements derived from satellite remote sensing. We found that carbon sequestration remained the dominant mitigation effect, with 1th and 3rd interquartile of 5.2-17.0 Mg CO(2)e ha(-1)at 2050, and negligible changes in N2O emissions over that time-horizon. Cover crops were generally brighter than bare soils, hence, the reflected shortwave radiation at TOA ranged between 0.08-0.22 Wm(-2)on average, broadly equivalent to a removal of 0.8-3.9 Mg CO(2)e ha(-1). Through scenarios analysis, we further showed how the mitigation potential could be substantially increased by growing a high albedo chlorophyll-deficient cover crop. This radiative land management option has an additional benefit of providing its mitigation effect more rapidly than carbon sequestration, although additional studies might be warranted to evaluate local and non-local associated climatic effects, such as changes in patterns of surface temperature and precipitation.</t>
  </si>
  <si>
    <t>[Lugato, Emanuele; Cescatti, Alessandro; Jones, Arwyn; Ceccherini, Guido; Duveiller, Gregory] European Commiss, Joint Res Ctr JRC, Ispra, VA, Italy</t>
  </si>
  <si>
    <t>Lugato, E (corresponding author), European Commiss, Joint Res Ctr JRC, Ispra, VA, Italy.</t>
  </si>
  <si>
    <t>emanuele.lugato@ec.europa.eu</t>
  </si>
  <si>
    <t>; ceccherini, guido/G-9406-2018; lugato, emanuele/F-6947-2010; Cescatti, Alessandro/ABE-6319-2020; Duveiller, Gregory/A-4932-2016</t>
  </si>
  <si>
    <t>lugato, emanuele/0000-0002-8947-352X; ceccherini, guido/0000-0003-1772-9554; Cescatti, Alessano/0000-0002-2769-2591; Duveiller, Gregory/0000-0002-6471-8404</t>
  </si>
  <si>
    <t>DG ENV; CLIMA; AGRI</t>
  </si>
  <si>
    <t>The work was carried out as part of the JRC's Institutional Work Programme under the Natural Capital Soil Project (Project 702), Work Package 5037 'Soil for Climate Change'. The LUCAS Soil Module is coordinated by EUROSTAT with the support of DG ENV, CLIMA and AGRI.</t>
  </si>
  <si>
    <t>10.1088/1748-9326/aba137</t>
  </si>
  <si>
    <t>NQ2TT</t>
  </si>
  <si>
    <t>WOS:000570718500001</t>
  </si>
  <si>
    <t>Xia, LL; Lam, SK; Yan, XY; Chen, DL</t>
  </si>
  <si>
    <t>Xia, Longlong; Lam, Shu Kee; Yan, Xiaoyuan; Chen, Deli</t>
  </si>
  <si>
    <t>How Does Recycling of Livestock Manure in Agroecosystems Affect Crop Productivity, Reactive Nitrogen Losses, and Soil Carbon Balance?</t>
  </si>
  <si>
    <t>GREENHOUSE-GAS EMISSIONS; 3-YEAR FIELD MEASUREMENT; N-USE EFFICIENCY; ORGANIC-CARBON; AGRICULTURAL SOILS; OXIDE EMISSIONS; FERTILIZER APPLICATION; GLOBAL METAANALYSIS; STRAW INCORPORATION; FOOD SECURITY</t>
  </si>
  <si>
    <t>Recycling of livestock manure in agroecosystems to partially substitute synthetic fertilizer nitrogen (N) input is recommended to alleviate the environmental degradation associated with synthetic N fertilization, which may also affect food security and soil greenhouse gas (GHG) emissions. However, how substituting livestock manure for synthetic N fertilizer affects crop productivity (crop yield; crop N uptake; N use efficiency), reactive N (Nr) losses (ammonia (NH3) emission, N leaching and runoff), GHG (methane, CH4; and nitrous oxide, N2O.; carbon dioxide) emissions and soil organic carbon (SOC) sequestration in agroecosystems is not well understood. We conducted a global meta-analysis of 141 studies and found that substituting livestock manure for synthetic N fertilizer (with equivalent N rate) significantly increased crop yield by 4.4% and significantly decreased Nr losses via NH3 emission by 26.8%, N leaching by 28.9% and N runoff by 26.2%. Moreover, annual SOC sequestration was significantly increased by 699.6 and 401.4 kg C ha(-1) yr-(1) in upland and paddy fields, respectively; CH4 emission from paddy field was significantly increased by 41.2%, but no significant change of that was observed from upland field; N2O emission was not significantly affected by manure substitution in upland or paddy fields. In terms of net soil carbon balance, substituting manure for fertilizer increased carbon sink in upland field, but increased carbon source in paddy field. These results suggest that recycling of livestock Manure in agroecosystems improves crop productivity, reduces Nr pollution and increases SOC Storage. To attenuate the enhanced carbon source in paddy field, appropriate livestock manure management practices should be adopted.</t>
  </si>
  <si>
    <t>[Xia, Longlong; Yan, Xiaoyuan] Chinese Acad Sci, State Key Lab Soil &amp; Sustainable Agr, Inst Soil Sci, Nanjing 210008, Peoples R China; [Xia, Longlong; Lam, Shu Kee; Chen, Deli] Univ Melbourne, Sch Agr &amp; Food, Fac Vet &amp; Agr Sci, Melbourne, Vic 3010, Australia; [Xia, Longlong] Univ Chinese Acad Sci, Beijing 100049, Peoples R China</t>
  </si>
  <si>
    <t>Chinese Academy of Sciences; Nanjing Institute of Soil Science, CAS; University of Melbourne; Chinese Academy of Sciences; University of Chinese Academy of Sciences, CAS</t>
  </si>
  <si>
    <t>Yan, XY (corresponding author), Chinese Acad Sci, State Key Lab Soil &amp; Sustainable Agr, Inst Soil Sci, Nanjing 210008, Peoples R China.;Chen, DL (corresponding author), Univ Melbourne, Sch Agr &amp; Food, Fac Vet &amp; Agr Sci, Melbourne, Vic 3010, Australia.</t>
  </si>
  <si>
    <t>yanxy@issas.ac.cn; delichen@unimelb.edu.au</t>
  </si>
  <si>
    <t>Lam, Shu/B-8321-2019; Xia, Longlong/AAU-5148-2021; Chen, Deli/LTF-5854-2024</t>
  </si>
  <si>
    <t>Lam, Shu Kee/0000-0001-7943-5004;</t>
  </si>
  <si>
    <t>National Science Foundation of China [41425005, 41571130062]; Australia-China Joint Research Centre - Australian Government Department of Industry and Science; Australia-China Joint Research Centre - Chinese Ministry of Science and Technology; Faculty of Veterinary and Agriculltural Sciences of the University of Melbourne; Chinese Academy of Sciences</t>
  </si>
  <si>
    <t>National Science Foundation of China(National Natural Science Foundation of China (NSFC)); Australia-China Joint Research Centre - Australian Government Department of Industry and Science; Australia-China Joint Research Centre - Chinese Ministry of Science and Technology; Faculty of Veterinary and Agriculltural Sciences of the University of Melbourne; Chinese Academy of Sciences(Chinese Academy of Sciences)</t>
  </si>
  <si>
    <t>This study was financially supported by the National Science Foundation of China (41425005 and 41571130062), the Australia-China Joint Research Centre jointly funded by Australian Government Department of Industry and Science, and the Chinese Ministry of Science and Technology, and the BIP reinvestment funds of the Faculty of Veterinary and Agriculltural Sciences of the University of Melbourne. We thank Quan Tang for helping to prepare the database. The first author also appreciates Chinese Academy of Sciences for providing funds to support his study in Australia.</t>
  </si>
  <si>
    <t>10.1021/acs.est.6b06470</t>
  </si>
  <si>
    <t>EZ9ND</t>
  </si>
  <si>
    <t>WOS:000405056200017</t>
  </si>
  <si>
    <t>Zhu, CM; Kanaya, Y; Takigawa, M; Ikeda, K; Tanimoto, H; Taketani, F; Miyakawa, T; Kobayashi, H; Pisso, I</t>
  </si>
  <si>
    <t>Zhu, Chunmao; Kanaya, Yugo; Takigawa, Masayuki; Ikeda, Kohei; Tanimoto, Hiroshi; Taketani, Fumikazu; Miyakawa, Takuma; Kobayashi, Hideki; Pisso, Ignacio</t>
  </si>
  <si>
    <t>FLEXPART v10.1 simulation of source contributions to Arctic black carbon</t>
  </si>
  <si>
    <t>ATMOSPHERIC CHEMISTRY AND PHYSICS</t>
  </si>
  <si>
    <t>DISPERSION MODEL FLEXPART; AIR-POLLUTION; ANTHROPOGENIC EMISSIONS; ATMOSPHERIC TRANSPORT; AEROSOL; AIRCRAFT; ATTRIBUTION; FIRES; SEA; REPRESENTATION</t>
  </si>
  <si>
    <t>The Arctic environment is undergoing rapid changes such as faster warming than the global average and exceptional melting of glaciers in Greenland. Black carbon (BC) particles, which are a short-lived climate pollutant, are one cause of Arctic warming and glacier melting. However, the sources of BC particles are still uncertain. We simulated the potential emission sensitivity of atmospheric BC present over the Arctic (north of 66 degrees N) using the FLEX-PART (FLEXible PARTicle) Lagrangian transport model (version 10.1). This version includes a new aerosol wet removal scheme, which better represents particle-scavenging processes than older versions did. Arctic BC at the surface (0-500 m) and high altitudes (4750-5250 m) is sensitive to emissions in high latitude (north of 60 degrees N) and mid-latitude (30-60 degrees N) regions, respectively. Geospatial sources of Arctic BC were quantified, with a focus on emissions from anthropogenic activities (including domestic biofuel burning) and open biomass burning (including agricultural burning in the open field) in 2010. We found that anthropogenic sources contributed 82% and 83% of annual Arctic BC at the surface and high altitudes, respectively. Arctic surface BC comes predominantly from anthropogenic emissions in Russia (56 %), with gas flaring from the Yamalo-Nenets Autonomous Okrug and Komi Republic being the main source (31% of Arctic surface BC). These results highlight the need for regulations to control BC emissions from gas flaring to mitigate the rapid changes in the Arctic environment. In summer, combined open biomass burning in Siberia, Alaska, and Canada contributes 56%-85% (75% on average) and 40%-72% (57 %) of Arctic BC at the surface and high altitudes, respectively. A large fraction (40 %) of BC in the Arctic at high altitudes comes from anthropogenic emissions in East Asia, which suggests that the rapidly growing economies of developing countries could have a non-negligible effect on the Arctic. To our knowledge, this is the first year-round evaluation of Arctic BC sources that has been performed using the new wet deposition scheme in FLEXPART. The study provides a scientific basis for actions to mitigate the rapidly changing Arctic environment.</t>
  </si>
  <si>
    <t>[Zhu, Chunmao; Kanaya, Yugo; Takigawa, Masayuki; Taketani, Fumikazu; Miyakawa, Takuma; Kobayashi, Hideki] Japan Agcy Marine Earth Sci &amp; Technol JAMSTEC, Res Inst Global Change, Yokohama, Kanagawa 2360001, Japan; [Ikeda, Kohei; Tanimoto, Hiroshi] Natl Inst Environm Studies, Tsukuba, Ibaraki 3058506, Japan; [Pisso, Ignacio] NILU Norwegian Inst Air Res, N-2027 Kjeller, Norway</t>
  </si>
  <si>
    <t>Japan Agency for Marine-Earth Science &amp; Technology (JAMSTEC); National Institute for Environmental Studies - Japan; NILU</t>
  </si>
  <si>
    <t>Zhu, CM (corresponding author), Japan Agcy Marine Earth Sci &amp; Technol JAMSTEC, Res Inst Global Change, Yokohama, Kanagawa 2360001, Japan.</t>
  </si>
  <si>
    <t>chmzhu@jamstec.go.jp</t>
  </si>
  <si>
    <t>Kobayashi, Hideki/A-9616-2010; Ikeda, Kohei/M-8326-2019; Miyakawa, Takuma/AAG-7238-2020; Tanimoto, Hiroshi/E-6779-2010; Zhu, Chunmao/F-7773-2015; Matsumi, Yutaka/AAM-6768-2021; Pisso, Ignacio/B-1357-2017; Kanaya, Yugo/C-7446-2012; Takigawa, Masayuki/M-2095-2014</t>
  </si>
  <si>
    <t>Ikeda, Kohei/0000-0002-7331-9843; Miyakawa, Takuma/0000-0001-5529-2627; Tanimoto, Hiroshi/0000-0002-5424-9923; Zhu, Chunmao/0000-0003-0399-7398; Pisso, Ignacio/0000-0002-0056-7897; Kobayashi, Hideki/0000-0001-9319-0621; Takigawa, Masayuki/0000-0002-5666-6026</t>
  </si>
  <si>
    <t>Environmental Research and Technology Development Fund, MOEJ [2-1505]</t>
  </si>
  <si>
    <t>Environmental Research and Technology Development Fund, MOEJ</t>
  </si>
  <si>
    <t>Y This research has been supported by the Environmental Research and Technology Development Fund, MOEJ (grant no. 2-1505).</t>
  </si>
  <si>
    <t>1680-7316</t>
  </si>
  <si>
    <t>1680-7324</t>
  </si>
  <si>
    <t>ATMOS CHEM PHYS</t>
  </si>
  <si>
    <t>Atmos. Chem. Phys.</t>
  </si>
  <si>
    <t>10.5194/acp-20-1641-2020</t>
  </si>
  <si>
    <t>KM4QE</t>
  </si>
  <si>
    <t>WOS:000514114700003</t>
  </si>
  <si>
    <t>Wang, X; Xiong, XZ; Xin, XF</t>
  </si>
  <si>
    <t>Wang, Xiao; Xiong, Xuezhen; Xin, Xiangfei</t>
  </si>
  <si>
    <t>Toward a Sustainable Livestock Sector in China: Evolution Characteristics and Driving Factors of Carbon Emissions from a Life Cycle Perspective</t>
  </si>
  <si>
    <t>livestock sector; carbon emissions; sustainability; Life Cycle Assessment; driving factors</t>
  </si>
  <si>
    <t>Addressing the sustainability challenges posed by the expanding livestock sector is crucial for China's green transition. With the transformation of national dietary structure and increasing demand for livestock products, the associated resource consumption and environmental impacts, particularly carbon emissions have intensified. Reducing carbon emissions from livestock is vital for mitigating global warming, enhancing resource utilization efficiency, improving ecosystems and biodiversity, and ultimately achieving sustainable development of the livestock industry. Against this backdrop, this study measures the carbon emissions from livestock sector employing the Life Cycle Assessment (LCA) method, and applies the Generalized Divisia Index Method (GDIM) to analyze the factors affecting the changes in carbon emissions, aiming to quantify and analyze the carbon footprint of China's livestock sector to inform sustainable practices. The findings reveal that China's total carbon emissions from the livestock sector fluctuated between 645.15 million tons and 812.99 million tons from 2000 to 2023. Since 2020, emissions have entered a new phase of continuous growth, with a 5.40% increase in 2023 compared to 2020. Significantly, a positive trend toward sustainability is observed in the substantial decline of carbon emission intensity over the study period, with notable reductions in emission intensity across provinces and a gradual convergence in inter-provincial disparities. Understanding the drivers is key for effective mitigation. The output level and total mechanical power consumption level emerged as primary positive drivers of carbon emissions, while output carbon intensity and mechanical power consumption carbon intensity served as major negative drivers. Moving forward, to foster a sustainable and low-carbon livestock sector, China's livestock sector development should prioritize coordinated carbon reduction across the entire industrial chain, adjust the industrial structure, and enhance the utilization efficiency of advanced low-carbon agricultural machinery while introducing such equipment.</t>
  </si>
  <si>
    <t>[Wang, Xiao; Xin, Xiangfei] Chinese Acad Agr Sci, Inst Agr Econ &amp; Dev, Beijing 100081, Peoples R China; [Xiong, Xuezhen] Beijing Normal Univ, Sch Govt, Beijing 100081, Peoples R China</t>
  </si>
  <si>
    <t>Chinese Academy of Agricultural Sciences; Institute of Agricultural Economics &amp; Development, CAAS; Beijing Normal University</t>
  </si>
  <si>
    <t>Xin, XF (corresponding author), Chinese Acad Agr Sci, Inst Agr Econ &amp; Dev, Beijing 100081, Peoples R China.</t>
  </si>
  <si>
    <t>wx2023caas@163.com; 202331260017@mail.bnu.edu.cn; xinxiangfei@caas.cn</t>
  </si>
  <si>
    <t>XIONG, xuezhen/0000-0001-5584-4858; Xin, Xiangfei/0000-0002-2141-8911</t>
  </si>
  <si>
    <t>National Natural Science Foundation of China [72033009]; National Social Science Fund of China [21BJY261]; Earmarked fund for China Agriculture Research System [CARS-41]</t>
  </si>
  <si>
    <t>National Natural Science Foundation of China(National Natural Science Foundation of China (NSFC)); National Social Science Fund of China; Earmarked fund for China Agriculture Research System</t>
  </si>
  <si>
    <t>This research was supported by the National Natural Science Foundation of China, grant number 72033009, the National Social Science Fund of China, grant number 21BJY261, and the earmarked fund for China Agriculture Research System, grant number CARS-41.</t>
  </si>
  <si>
    <t>10.3390/su17146537</t>
  </si>
  <si>
    <t>5HR9D</t>
  </si>
  <si>
    <t>WOS:001535945500001</t>
  </si>
  <si>
    <t>Li, R</t>
  </si>
  <si>
    <t>Li, Ran</t>
  </si>
  <si>
    <t>Evaluating the Development Path of Manufacturing Industry Under Carbon Neutralisation</t>
  </si>
  <si>
    <t>ECOLOGICAL CHEMISTRY AND ENGINEERING S-CHEMIA I INZYNIERIA EKOLOGICZNA S</t>
  </si>
  <si>
    <t>carbon neutralisation; manufacturing; factor analysis; fuzzy comprehensive evaluation; potential industry</t>
  </si>
  <si>
    <t>OPTIMIZATION; SIMULATION</t>
  </si>
  <si>
    <t>China's manufacturing industry faces the dual imperatives of supporting economic growth while reducing emissions to achieve national carbon neutrality targets. This study analyses the potential for decarbonisation across manufacturing sub-sectors. Using factor analysis and fuzzy comprehensive evaluation, it assesses industries based on foundational advantages, growth prospects, and sustainability. The results rank sub-sectors and identify promising areas like eco-friendly equipment and agricultural processing. However, carbon-intensive industries require urgent transformation. To optimise China's industrial structure for low-carbon development, coordinated efforts across policy, industry, and enterprise are needed. Supportive regulations, industrial integration, and technology adoption can incentivise green manufacturing. By strategically promoting circular economy models, China can enhance quality and efficiency, convert waste into value, and contribute to global climate action. This study provides insights into aligning manufacturing growth with carbon neutrality in the new economic era.</t>
  </si>
  <si>
    <t>[Li, Ran] Tianjin Univ, Sch Architecture, 92, Weijin Rd, Tianjin 300072, Peoples R China</t>
  </si>
  <si>
    <t>Tianjin University</t>
  </si>
  <si>
    <t>Li, R (corresponding author), Tianjin Univ, Sch Architecture, 92, Weijin Rd, Tianjin 300072, Peoples R China.</t>
  </si>
  <si>
    <t>2122206038@tju.edu.cn</t>
  </si>
  <si>
    <t>Li, Ran/JCO-9284-2023</t>
  </si>
  <si>
    <t>SCIENDO</t>
  </si>
  <si>
    <t>WARSAW</t>
  </si>
  <si>
    <t>BOGUMILA ZUGA 32A, WARSAW, MAZOVIA, POLAND</t>
  </si>
  <si>
    <t>1898-6196</t>
  </si>
  <si>
    <t>2084-4549</t>
  </si>
  <si>
    <t>ECOL CHEM ENG S</t>
  </si>
  <si>
    <t>Ecol. Chem. Eng. S-</t>
  </si>
  <si>
    <t>10.2478/eces-2023-0042</t>
  </si>
  <si>
    <t>FB3X4</t>
  </si>
  <si>
    <t>WOS:001103379800001</t>
  </si>
  <si>
    <t>Liimatainen, M; Voigt, C; Martikainen, PJ; Hytönen, J; Regina, K; Oskarsson, H; Maljanen, M</t>
  </si>
  <si>
    <t>Liimatainen, Maarit; Voigt, Carolina; Martikainen, Pertti J.; Hytonen, Jyrki; Regina, Kristiina; Oskarsson, Hlynur; Maljanen, Marja</t>
  </si>
  <si>
    <t>Factors controlling nitrous oxide emissions from managed northern peat soils with low carbon to nitrogen ratio</t>
  </si>
  <si>
    <t>N2O; Drained peatlands; Land-use; Phosphorus; Copper; C/N ratio</t>
  </si>
  <si>
    <t>GREENHOUSE-GAS EMISSIONS; WOOD ASH APPLICATION; N2O EMISSIONS; FORESTED PEATLAND; WATER-TABLE; SCOTS PINE; NITRIFICATION; DENITRIFICATION; GROSS; MINERALIZATION</t>
  </si>
  <si>
    <t>Managed northern peatlands are an important source of the strong greenhouse gas nitrous oxide (N2O). However, N2O emissions from these managed peatlands display a high spatial variability, and processes governing N2O production and emissions from these ecosystems are still not well understood. To constrain the factors regulating N2O emissions from managed northern peat soils, we determined a wide set of soil physical and chemical properties of peatlands with different management histories spread across Finland, Sweden and Iceland. We included eleven peatland sites with available in situ N2O flux data, and complemented our analyses with detailed measurements of soil nitrogen (N) cycling processes such as N2O production, gross N mineralization and gross nitrification and, in addition, soil microbial biomass. This study included drained peatlands with different land-use types and management intensities, comprising forested, cultivated or only drained peatlands and afforested or abandoned agricultural peatlands. All selected peatland sites displayed a low soil carbon to nitrogen (C/N) ratio of 15-27, traditionally used to predict high N2O emissions. Despite the narrow C/N range, the N2O emissions at our sites varied greatly within and between land-use groups, ranging from 0.03 to 2.38 g N m(-2) y(-1). Thus, our findings provide valuable insights into the regulatory factors underlying the variability in N2O emissions and show that a low C/N ratio in managed peatlands cannot be used to predict high N2O emissions. Instead, our results demonstrate that higher N2O emissions are linked to higher peat phosphorus (P) and copper (Cu) content, suggesting that low P and Cu concentrations can limit N2O production in peat even with sufficient N availability. While known factors such as soil moisture, oxygen content and the degree of peat humification partially explained the variability in N2O emissions, this study directly links soil P and Cu availability to N2O production processes. The availability of P and especially Cu seemed to promote nitrification activities, thereby increasing N2O production. Our study highlights the link between N2O emissions and soil P and Cu availability and the strong coupling of the soil N and P cycles in peatlands, which is to date severely understudied.</t>
  </si>
  <si>
    <t>[Liimatainen, Maarit; Voigt, Carolina; Martikainen, Pertti J.; Maljanen, Marja] Univ Eastern Finland, Dept Environm &amp; Biol Sci, POB 1627, FI-70211 Kuopio, Finland; [Hytonen, Jyrki] Nat Resources Inst Finland Luke, Nat Resources, Teknol Katu 7, FI-67100 Kokkola, Finland; [Regina, Kristiina] Nat Resources Inst Finland Luke, Bioecon &amp; Environm, Tietotie 4, FI-31600 Jokioinen, Finland; [Oskarsson, Hlynur] Agr Univ Iceland, Fac Agr &amp; Environm Sci, IS-311 Hvanneyri, Iceland</t>
  </si>
  <si>
    <t>University of Eastern Finland; Natural Resources Institute Finland (Luke); Natural Resources Institute Finland (Luke)</t>
  </si>
  <si>
    <t>Liimatainen, M (corresponding author), Univ Eastern Finland, Dept Environm &amp; Biol Sci, POB 1627, FI-70211 Kuopio, Finland.</t>
  </si>
  <si>
    <t>maarit.liimatainen@uef.fi</t>
  </si>
  <si>
    <t>Voigt, Carolina/GRX-9664-2022</t>
  </si>
  <si>
    <t>Voigt, Carolina/0000-0001-8589-1428; Maljanen, Marja/0000-0002-7454-0064</t>
  </si>
  <si>
    <t>Ministry of Agriculture and Forestry in Finland [1036/312/2010]; North Savo Regional Fund; Niemi Foundation; Olvi Foundation; Finnish Concordia Fund; Faculty of Science and Forestry in University of Eastern Finland and Suoviljelysyhdistys; Emil Aaltonen Foundation</t>
  </si>
  <si>
    <t>Ministry of Agriculture and Forestry in Finland; North Savo Regional Fund; Niemi Foundation(ACEV Foundation); Olvi Foundation(ACEV Foundation); Finnish Concordia Fund; Faculty of Science and Forestry in University of Eastern Finland and Suoviljelysyhdistys; Emil Aaltonen Foundation</t>
  </si>
  <si>
    <t>Seppo Vihanta and Tobias Rutting are acknowledged for providing soil samples for the experiments. Hanne Vainikainen is acknowledged for her assistance in the laboratory work. Christina Biasi, Simo Jokinen, Jenie Gil and Maija Marushchak are appreciated for helping and sharing their knowledge relating to the 15N pool dilution analyses. We want to thank Hannu Nykanen for analyzing the C/N-ratios and isotopic values of bulk soil and Matti Pessi for analyzing DOC samples. Claire Treat read the manuscript and gave valuable comments. This study was part of the research project of MYRKLIMA (Mitigation of climate change impacts of cultivated peat soils) funded by the Ministry of Agriculture and Forestry in Finland (1036/312/2010). This work was also supported by North Savo Regional Fund, Niemi Foundation, Olvi Foundation, Finnish Concordia Fund, Faculty of Science and Forestry in University of Eastern Finland and Suoviljelysyhdistys (grants to M.L.) as well as Emil Aaltonen Foundation (grant to C.V.).</t>
  </si>
  <si>
    <t>10.1016/j.soilbio.2018.04.006</t>
  </si>
  <si>
    <t>GJ1UQ</t>
  </si>
  <si>
    <t>WOS:000435053800020</t>
  </si>
  <si>
    <t>Cerri, CEP; Cherubin, MR; Villela, JM; Locatelli, JL; Carvalho, ML; Villarreal, F; Mello, FFD; Ibrahim, MA; Lal, R</t>
  </si>
  <si>
    <t>Cerri, Carlos Eduardo Pellegrino; Cherubin, Mauricio Roberto; Villela, Joao Marcos; Locatelli, Jorge Luiz; Carvalho, Martha Lustosa; Villarreal, Federico; Mello, Francisco Fujita de Castro; Ibrahim, Muhammad Akbar; Lal, Rattan</t>
  </si>
  <si>
    <t>Carbon farming in the living soils of the Americas</t>
  </si>
  <si>
    <t>soil C sequestration; climate mitigation; greenhouse gas; agriculture; climate adaptation; soil health; soil organic matter; food systems</t>
  </si>
  <si>
    <t>GREENHOUSE-GAS EMISSIONS; MITIGATE; SYSTEMS; STOCKS; SEQUESTRATION; SUSTAINABILITY; OPPORTUNITIES; AGRICULTURE; DYNAMICS; IMPACTS</t>
  </si>
  <si>
    <t>Soil represents Earth's largest terrestrial reservoir of carbon (C) and is an important sink of C from the atmosphere. However, the potential of adopting best management practices (BMPs) to increase soil C sequestration and offset greenhouse gas (GHG) emissions in agroecosystems remains unclear. Synthesizing available information on soil C sink capacity is important for identifying priority areas and systems to be monitored, an essential step to properly estimate large-scale C sequestration potential. This study brings an overview of thousands of research articles conducted in the Americas and presents the current state-of-the-art on soil C research. Additionally, it estimates the large-scale BMPs adoption impact over soil C dynamics in the region. Results indicated that soil C-related terms are widely cited in the literature. Despite that, from a total of similar to 13 thousand research articles recovered in the systematic literature review, only 9.2% evaluated soil C (at any depth), and only 4.6% measured soil C for the 0-30 cm soil layer, mostly conducted in North and South America regions. Literature review showed a low occurrence of terms related to BMPs (e.g., cover cropping), suggesting a research gap on the subject. Estimates revealed that upscaling of BMPs over 30% of agricultural land area (334 Mha) of the Americas can lead to soil C sequestration of 13.1 (+/- 7.1) Pg CO(2)eq over 20 years, offsetting similar to 39% of agricultural GHG emissions over the same period. Results suggest that efforts should be made to monitor the impact of cropping system on soil C dynamics on the continents, especially in regions where data availability is low (e.g., Central, Caribbean, and Andean regions). Estimating the available degraded area for the continent and the soil C sequestration rates under BMPs adoption for Central, Andean, and Caribbean regions were major shortcomings encountered in our analysis. Thus, it is expected that some degree of uncertainty may be associated with the obtained results. Despite these limitations, upscaling of BMPs across the Americas suggests having great potential for C removal from the atmosphere and represents a global positive impact in terms of climate change mitigation and adaptation.</t>
  </si>
  <si>
    <t>[Cerri, Carlos Eduardo Pellegrino; Cherubin, Mauricio Roberto; Villela, Joao Marcos; Locatelli, Jorge Luiz; Carvalho, Martha Lustosa] Univ Sao Paulo, Luiz de Queiroz Coll Agr, Dept Soil Sci, Sao Paulo, Brazil; [Cerri, Carlos Eduardo Pellegrino; Cherubin, Mauricio Roberto] Univ Sao Paulo, Ctr Carbon Res Trop Agr CCARBON, Sao Paulo, Brazil; [Villarreal, Federico; Mello, Francisco Fujita de Castro; Ibrahim, Muhammad Akbar] Inter Amer Inst Cooperat Agr, San Jose, Costa Rica; [Lal, Rattan] Ohio State Univ, CFAES Rattan Lal Ctr Carbon Management &amp; Sequestra, Sch Environm, Columbus, OH USA</t>
  </si>
  <si>
    <t>Universidade de Sao Paulo; Universidade de Sao Paulo; University System of Ohio; Ohio State University</t>
  </si>
  <si>
    <t>Cerri, CEP (corresponding author), Univ Sao Paulo, Luiz de Queiroz Coll Agr, Dept Soil Sci, Sao Paulo, Brazil.;Cerri, CEP (corresponding author), Univ Sao Paulo, Ctr Carbon Res Trop Agr CCARBON, Sao Paulo, Brazil.</t>
  </si>
  <si>
    <t>cepcerri@usp.br</t>
  </si>
  <si>
    <t>Locatelli, Jorge/AAH-3790-2019; Lal, Rattan/D-2505-2013; Cherubin, Mauricio/A-6896-2016; Cerri, Carlos/E-6456-2015; Villela, João/L-8723-2017</t>
  </si>
  <si>
    <t>Inter-American Institute for Cooperation on Agriculture (IICA); Sao Paulo Research Foundation (FAPESP) [2023/09533-3]; FAPESP [2021/14989-0, 2022/13531-3]; Center for Carbon Research in Tropical Agriculture (CCARBON) - FAPESP [2021/10573-4]; CNPq [311787/2021-5]</t>
  </si>
  <si>
    <t>Inter-American Institute for Cooperation on Agriculture (IICA); Sao Paulo Research Foundation (FAPESP)(Fundacao de Amparo a Pesquisa do Estado de Sao Paulo (FAPESP)); FAPESP(Fundacao de Amparo a Pesquisa do Estado de Sao Paulo (FAPESP)); Center for Carbon Research in Tropical Agriculture (CCARBON) - FAPESP(Fundacao de Amparo a Pesquisa do Estado de Sao Paulo (FAPESP)); CNPq(Conselho Nacional de Desenvolvimento Cientifico e Tecnologico (CNPQ))</t>
  </si>
  <si>
    <t>We would like to thank the Inter-American Institute for Cooperation on Agriculture (IICA) and all the public and private partners supporting the Living Soils of the Americas initiative, especially Director General Manuel Otero for his leadership and guidance. In addition, we thank the support of the Sao Paulo Research Foundation (FAPESP) for providing scholarships (JV - FAPESP grant #2023/09533-3; JL - FAPESP grant #2021/14989-0; MLC - FAPESP grant #2022/13531-3) and funding through the Center for Carbon Research in Tropical Agriculture (CCARBON) - FAPESP grant #2021/10573-4. MRC thanks the CNPq for his Research Productivity Fellowship (grant #311787/2021-5).</t>
  </si>
  <si>
    <t>NOV 19</t>
  </si>
  <si>
    <t>10.3389/fsufs.2024.1481005</t>
  </si>
  <si>
    <t>O1Q6J</t>
  </si>
  <si>
    <t>WOS:001368960900001</t>
  </si>
  <si>
    <t>Hissa, LDV; Müller, H; Aguiar, APD; Hostert, P; Lakes, T</t>
  </si>
  <si>
    <t>Viana Hissa, Leticia de Barros; Mueller, Hannes; Dutra Aguiar, Ana Paula; Hostert, Patrick; Lakes, Tobia</t>
  </si>
  <si>
    <t>Historical carbon fluxes in the expanding deforestation frontier of Southern Brazilian Amazonia (1985-2012)</t>
  </si>
  <si>
    <t>Carbon book-keeping; Deforestation; Forest degradation; Edge effects; Dataset uncertainty; INPEEM; Landsat</t>
  </si>
  <si>
    <t>LAND-COVER CHANGE; TROPICAL DEFORESTATION; FOREST FRAGMENTATION; LONG-TERM; EMISSIONS; BIOMASS; UNCERTAINTY; REGROWTH; DYNAMICS; BALANCE</t>
  </si>
  <si>
    <t>In tropical areas, pioneer occupation fronts steer the rapid expansion of deforestation, contributing to carbon emissions. Up-to-date carbon emission estimates covering the long-term development of such frontiers depend on the availability of high spatial-temporal resolution data. In this paper, we provide a detailed assessment of carbon losses from deforestation and potential forest degradation from fragmentation for one expanding frontier in the Brazilian Amazon. We focused on one of the Amazonia's hot-spots of forest loss, the BR-163 highway that connects the high productivity agricultural landscapes in Mato Grosso with the exporting harbors of the Amazon. We used multi-decadal (1984-2012) Landsat-based time series on forested and non-forested area in combination with a carbon book-keeping model. We show a 36% reduction in 1984s biomass carbon stocks, which led to the emission of 611.5 TgCO(2) between 1985 and 1998 (43.6 TgCO(2) year(-1)) and 959.8 TgCO(2) over 1999-2012 (68.5 TgCO(2) year(-1)). Overall, fragmentation-related carbon losses represented 1.88% of total emissions by 2012, with an increasing relevance since 2004. We compared the Brazilian Space Agency deforestation assessment (PRODES) with our data and found that small deforestation polygons not captured by PRODES had increasing importance on estimated deforestation carbon losses since 2000. The comparative analysis improved the understanding of data-source-related uncertainties on carbon estimates and indicated disagreement areas between datasets that could be subject of future research. Furthermore, spatially explicit, annual deforestation and emission estimates like the ones derived from this study are important for setting regional baselines for REDD+ or similar payment for ecosystem services frameworks.</t>
  </si>
  <si>
    <t>[Viana Hissa, Leticia de Barros; Mueller, Hannes; Hostert, Patrick; Lakes, Tobia] Humboldt Univ, Dept Geog, Unter Linden 6, D-10099 Berlin, Germany; [Dutra Aguiar, Ana Paula] Minist Sci Technol &amp; Innovat MCTI, Natl Inst Space Res INPE, Earth Syst Sci Ctr CCST, Ave Astronautas 1758, BR-12227010 Sao Jose Dos Campos, SP, Brazil; [Hostert, Patrick; Lakes, Tobia] Humboldt Univ, Integrat Res Inst Transformat Human Environm Syst, Unter Linden 6, D-10099 Berlin, Germany</t>
  </si>
  <si>
    <t>Humboldt University of Berlin; Humboldt University of Berlin</t>
  </si>
  <si>
    <t>Hissa, LDV (corresponding author), Humboldt Univ, Dept Geog, Unter Linden 6, D-10099 Berlin, Germany.</t>
  </si>
  <si>
    <t>leticia.hissa@geo.hu-berlin.de</t>
  </si>
  <si>
    <t>; Aguiar, Ana Paula/R-9256-2016; Aguiar, Ana Paula/R-9256-2016; Hostert, Patrick/F-9291-2013</t>
  </si>
  <si>
    <t>Lakes, Tobia/0000-0001-8443-7899; Aguiar, Ana Paula/0000-0002-0683-1142; Aguiar, Ana Paula/0000-0002-0683-1142;</t>
  </si>
  <si>
    <t>CAPES/Science Without Borders program [BEX 104713-2]; Brazilian-German cooperation project on Carbon sequestration, biodiversity and social structures in Southern Amazonia (CarBioCial); German Ministry of Research and Education (BMBF) [01LL0902]</t>
  </si>
  <si>
    <t>CAPES/Science Without Borders program; Brazilian-German cooperation project on Carbon sequestration, biodiversity and social structures in Southern Amazonia (CarBioCial); German Ministry of Research and Education (BMBF)(Federal Ministry of Education &amp; Research (BMBF))</t>
  </si>
  <si>
    <t>Leticia Hissa acknowledges the financial support from CAPES/Science Without Borders program. BEX 104713-2. This work has been supported by the Brazilian-German cooperation project on Carbon sequestration, biodiversity and social structures in Southern Amazonia (CarBioCial, see www.carbiocial.de) and financed by the German Ministry of Research and Education (BMBF, Project No. 01LL0902). We are grateful to the editors and the two anonymous reviewers for their comments which helped to significantly improve an earlier version of the manuscript.</t>
  </si>
  <si>
    <t>10.1007/s10113-016-1076-2</t>
  </si>
  <si>
    <t>WOS:000419157400007</t>
  </si>
  <si>
    <t>Joensuu, K; Rimhanen, K; Heusala, H; Saarinen, M; Usva, K; Leinonen, I; Palosuo, T</t>
  </si>
  <si>
    <t>Joensuu, Katri; Rimhanen, Karoliina; Heusala, Hannele; Saarinen, Merja; Usva, Kirsi; Leinonen, Ilkka; Palosuo, Taru</t>
  </si>
  <si>
    <t>Challenges in using soil carbon modelling in LCA of agricultural products-the devil is in the detail</t>
  </si>
  <si>
    <t>Global warming; Life-cycle assessment (LCA); Soil carbon modelling; Wheat production; Sustainability; Carbon footprint</t>
  </si>
  <si>
    <t>LIFE-CYCLE ASSESSMENT; GREENHOUSE-GAS EMISSIONS; ORGANIC-CARBON; CLIMATE-CHANGE; LAND-USE; IMPACTS; SEQUESTRATION; CROPLAND; STOCKS; ASSESSMENTS</t>
  </si>
  <si>
    <t>Purpose Currently, there is no consensus on how the impacts of land use on the soil organic carbon (SOC) stocks would be best quantified within life cycle assessments (LCA) of agricultural products. The impacts of different decisions were tested within a model-based assessment of soil carbon changes on the life cycle global warming impact for spring wheat produced in two example regions in Finland (Southwest Finland and Northern Savonia) on mineral fields. Methods Global warming impact for spring wheat was assessed, including CO2 emissions due to the SOC change. The SOC change assessment was made with the soil carbon model Yasso07. The effects of assumptions on land use history were tested, i.e. the initialisation of the model and time horizon of the analysis (20 or 100 years) on the SOC change estimates. Other greenhouse gas emissions contributing to the global warming impact of spring wheat production were assessed using general LCA methodology taking into account the greenhouse gas emissions caused by the production of input materials and fuels, as well as direct and indirect N2O emissions from the soil due to fertilising and the decomposition of crop residues and organic matter, nitrogen leaching and volatilisation and lime application. Results and discussion The selection of the model initialisation method and timeframe remarkably affected the SOC change estimates. The global warming impact of wheat production, without accounting for SOC changes, was 0.68 and 0.89 kg CO2-eq/kg yield in Southwest Finland and Northern Savonia, respectively. The impact of SOC stock changes on the total global warming impact varied from -4 to 5% in Southwest Finland and from 5 to 21% in Northern Savonia, depending on the assumptions used to initialise the model or the timeframe applied in the analysis. Adding a cover crop as a means to increase the SOC stock removed between -67 and -26% of the total global warming impact in both regions. Conclusions It is essential that all the decisions made in the analysis are transparently reported and communicated. The choice of assumptions regarding the reference state, model initialisation and time horizon of the assessment period should be made based on the scope and goal definition of the LCA study.</t>
  </si>
  <si>
    <t>[Joensuu, Katri; Rimhanen, Karoliina; Heusala, Hannele; Leinonen, Ilkka; Palosuo, Taru] Nat Resources Inst Finland Luke, Latokartanonkaari 9, Helsinki 00790, Finland; [Saarinen, Merja; Usva, Kirsi] Nat Resources Inst Finland Luke, Tietotie 4, Jokioinen 31600, Finland</t>
  </si>
  <si>
    <t>Natural Resources Institute Finland (Luke); Natural Resources Institute Finland (Luke)</t>
  </si>
  <si>
    <t>Joensuu, K (corresponding author), Nat Resources Inst Finland Luke, Latokartanonkaari 9, Helsinki 00790, Finland.</t>
  </si>
  <si>
    <t>katri.joensuu@luke.fi</t>
  </si>
  <si>
    <t>; Leinonen, Ilkka/IAN-4541-2023; Joensuu, Katri/AAB-5045-2022; Palosuo, Taru/B-9593-2012</t>
  </si>
  <si>
    <t>Leinonen, Ilkka/0000-0003-2778-5154; Heusala, Hannele/0000-0002-2677-5467; Saarinen, Merja/0000-0002-4375-7682; Palosuo, Taru/0000-0003-4322-3450</t>
  </si>
  <si>
    <t>Natural Resources Institute Finland (Luke); CARBO (Effect of cultivation techniques on the carbon sequestration potential of grass) - Business Finland</t>
  </si>
  <si>
    <t>This work has been carried out in the SusBioEcon (Sustainable bioeconomy: holistic multi-criteria assessment framework) project funded by the Natural Resources Institute Finland (Luke). Additional support has also been received from the CARBO (Effect of cultivation techniques on the carbon sequestration potential of grass) project funded by Business Finland.</t>
  </si>
  <si>
    <t>10.1007/s11367-021-01967-1</t>
  </si>
  <si>
    <t>SEP 2021</t>
  </si>
  <si>
    <t>UU3EK</t>
  </si>
  <si>
    <t>WOS:000691944100001</t>
  </si>
  <si>
    <t>Meng, XC; Zheng, EN; Hou, DM; Qin, MT; Meng, FX; Chen, P; Qi, ZJ</t>
  </si>
  <si>
    <t>Meng, Xuanchen; Zheng, Ennan; Hou, Dingmu; Qin, Mengting; Meng, Fanxiang; Chen, Peng; Qi, Zhijuan</t>
  </si>
  <si>
    <t>The effect of biochar types on carbon cycles in farmland soils: A meta analysis</t>
  </si>
  <si>
    <t>Biochar; C cycle; Farmland soil; Mineralization</t>
  </si>
  <si>
    <t>DISSOLVED ORGANIC-MATTER; NITROUS-OXIDE EMISSIONS; MICROBIAL BIOMASS; CO2 EMISSIONS; PYROLYSIS TEMPERATURE; AMENDMENT; SEQUESTRATION; RESIDUES; IMPACT; STABILIZATION</t>
  </si>
  <si>
    <t>Application of biochar has been demonstrated to be a successful strategy for boosting soil carbon sequestration and altering the agricultural soil carbon cycle. However, in the studies involving biochar worldwide, the effects of different types of biochar on the soil carbon component response direction and increase are not consistent. Therefore, to assess the effects of applying four types of biochar during the soil carbon cycle on carbon components on a farmland, we performed a meta-analysis of 1150 comparisons from 86 peer-reviewed publications. Generally speaking, the types of biochar raw materials have a significant impact on soil carbon cycle. The application of chaff biochar significantly inhibited (10.0 %) soil respiration, while the application of manure biochar (47.0 %), straw biochar (11.2 %) and wood biochar (8.7 %) showed a strong promotion effect on CO2 emission. In addition, although the soil organic C, microbial biomass C and dissolved organic C all had positive responses to the application of the four biochar types, the degree and increase in their response varied greatly due to the differences in biomass raw materials. Moreover, by increasing the biochar rates applied to coarsetextured soils with low average annual rainfall and an average temperature under controlled circumstances, the relative increase in SOC was encouraged. Meanwhile, applying low temperature pyrolytic biochar (&lt;= 400 C-degrees) at a lower rate (&lt;25 t/ha) in the long-term experiment (&gt;3 years) is more beneficial to soil C sequestration and emission reduction. Hence, climatic conditions, agricultural management practices, and initial soil properties jointly constrained and influenced the ability of biochar to alter the soil C cycle. Based on this, our research offers a fresh viewpoint for making a profound study biochar-enhanced soil C cycle.</t>
  </si>
  <si>
    <t>[Meng, Xuanchen; Zheng, Ennan; Hou, Dingmu; Qin, Mengting; Meng, Fanxiang] Heilongjiang Univ, Sch Hydraul &amp; Elect Power, Harbin 150080, Peoples R China; [Chen, Peng] Hohai Univ, Coll Hydrol &amp; Water Resources, Nanjing 210098, Peoples R China; [Qi, Zhijuan] Northeast Agr Univ, Sch Water Conservancy &amp; Civil Engn, Harbin 150030, Peoples R China</t>
  </si>
  <si>
    <t>Heilongjiang University; Hohai University; Northeast Agricultural University - China</t>
  </si>
  <si>
    <t>Zheng, EN (corresponding author), Heilongjiang Univ, Sch Hydraul &amp; Elect Power, Harbin 150080, Peoples R China.</t>
  </si>
  <si>
    <t>Meng, Fanxiang/GQA-9703-2022; Chen, Peng/IXW-6268-2023</t>
  </si>
  <si>
    <t>Chen, Peng/0000-0003-3630-5685</t>
  </si>
  <si>
    <t>Basic Scientific Research Fund of Heilongjiang Provincial Universities [2022-KYYWF-1074]; Postdoctoral Fellowship Program of CPSF [GZC20230668]; National Natural Science Foundation of China Project [52179033]</t>
  </si>
  <si>
    <t>Basic Scientific Research Fund of Heilongjiang Provincial Universities; Postdoctoral Fellowship Program of CPSF; National Natural Science Foundation of China Project(National Natural Science Foundation of China (NSFC))</t>
  </si>
  <si>
    <t>This research was funded by the Basic Scientific Research Fund of Heilongjiang Provincial Universities (2022-KYYWF-1074) ; Postdoctoral Fellowship Program of CPSF (GZC20230668) . National Natural Science Foundation of China Project (52179033) .</t>
  </si>
  <si>
    <t>10.1016/j.scitotenv.2024.172623</t>
  </si>
  <si>
    <t>TC9P0</t>
  </si>
  <si>
    <t>WOS:001239181700001</t>
  </si>
  <si>
    <t>Amami, R; Ibrahimi, K; La Scala, N Jr; Hmila, A; Abrougui, K; Chehaibi, S</t>
  </si>
  <si>
    <t>Amami, Roua; Ibrahimi, Khaled; La Scala Junior, Newton; Hmila, Amira; Abrougui, Khaoula; Chehaibi, Sayed</t>
  </si>
  <si>
    <t>Soil Physical Properties, Carbon dioxide Emissions and Their Relationships under Different Management Systems in Semi-arid Region of Eastern Tunisia</t>
  </si>
  <si>
    <t>COMMUNICATIONS IN SOIL SCIENCE AND PLANT ANALYSIS</t>
  </si>
  <si>
    <t>Key-words; tillage management; carbon dioxide emissions; physical properties; correlation; semi-arid Tunisia</t>
  </si>
  <si>
    <t>TILLAGE DEPTH; FLUXES; ENERGY; YIELD; WATER</t>
  </si>
  <si>
    <t>In agricultural systems, soil carbon dioxide emissions and physical properties are thought to depend largely on management practices. This field study was carried out in a semi-arid region of eastern Tunisia to evaluate the effects of tillage management on soil carbon dioxide emissions and related physical properties; bulk density (BD), penetration resistance (PR), total porosity (TP) and air-filled porosity (AFP). Tillage management treatments included plowing with a moldboard plow or a disk plow to different depths, described here as shallow (10 cm), medium (15 cm) and deep (25 cm). No-tillage was also considered as a control plot. Correlation analysis was used to explore how soil carbon dioxide emissions (CO2) were related to the other studied properties. The results showed higher carbon dioxide (CO2) emissions (p &lt; .05) from tilled soil compared to no-till (NT), regardless of the tillage management. No significant differences in carbon dioxide (CO2) emissions were found between moldboard and disk plow tillage at the same tillage depth. Soil carbon dioxide release was the highest after deep tillage (moldboard = 0.101 t ha(-1) and disk plow = 0.107 t ha(-1)) suggesting that deeper tillage to 25 cm promoted higher carbon dioxide (CO2) emissions. Significant differences with tillage were observed in bulk density (BD) and penetration resistance (PR) compared to no-tillage. Correlations of carbon dioxide emissions to soil physical properties across all the tillage treatments indicated significant negative relationships between carbon dioxide (CO2) emissions and soil bulk density (BD) and penetration resistance (PR) and significant positive relationships between carbon dioxide (CO2) and total porosity (TP) and air-filled porosity (WFP) suggesting that these soil attributes are important controlling factors of carbon dioxide (CO2) emissions.</t>
  </si>
  <si>
    <t>[Amami, Roua; Ibrahimi, Khaled; Hmila, Amira; Abrougui, Khaoula; Chehaibi, Sayed] Univ Sousse, Higher Inst Agr Sci Chott Mariem, Res Unit 13AGR03, BP 47, Chott Mariem 4042, Sousse, Tunisia; [La Scala Junior, Newton] Sao Paulo State Univ FCAV UNESP, Sch Agr &amp; Vet Sci, Dept Exact Sci, Sao Paulo, Brazil</t>
  </si>
  <si>
    <t>Universite de Sousse; Universidade Estadual Paulista</t>
  </si>
  <si>
    <t>Amami, R (corresponding author), Univ Sousse, Higher Inst Agr Sci Chott Mariem, Res Unit 13AGR03, BP 47, Chott Mariem 4042, Sousse, Tunisia.</t>
  </si>
  <si>
    <t>roua.amami1991@gmail.com</t>
  </si>
  <si>
    <t>La Scala, Newton/C-4398-2012</t>
  </si>
  <si>
    <t>La Scala, Newton/0000-0002-1575-9875</t>
  </si>
  <si>
    <t>Research Unit 13AGRO</t>
  </si>
  <si>
    <t>This study was supported by the Research Unit 13AGRO.We are grateful to the field staff of the Higher Agronomic Institute of Chott-Mariem for the assistance in our field work. Thanks also to Prof. Jo Smith for English revision of this manuscript.</t>
  </si>
  <si>
    <t>0010-3624</t>
  </si>
  <si>
    <t>1532-2416</t>
  </si>
  <si>
    <t>COMMUN SOIL SCI PLAN</t>
  </si>
  <si>
    <t>Commun. Soil Sci. Plant Anal.</t>
  </si>
  <si>
    <t>AUG 6</t>
  </si>
  <si>
    <t>10.1080/00103624.2021.1892729</t>
  </si>
  <si>
    <t>MAR 2021</t>
  </si>
  <si>
    <t>Agronomy; Plant Sciences; Chemistry, Analytical; Soil Science</t>
  </si>
  <si>
    <t>Agriculture; Plant Sciences; Chemistry</t>
  </si>
  <si>
    <t>SW5CC</t>
  </si>
  <si>
    <t>WOS:000627240400001</t>
  </si>
  <si>
    <t>Kyttä, V; Helenius, J; Tuomisto, HL</t>
  </si>
  <si>
    <t>Kytta, Venla; Helenius, Juha; Tuomisto, Hanna L.</t>
  </si>
  <si>
    <t>Carbon footprint and energy use of recycled fertilizers in arable farming</t>
  </si>
  <si>
    <t>Life cycle assessment; Meat and bone meal; Ammonium sulfate; Biogas digestate; Nutrient recycling; Allocation</t>
  </si>
  <si>
    <t>LIFE-CYCLE ASSESSMENT; BONE MEAL; ANAEROBIC-DIGESTION; NITROGEN; LCA; EMISSIONS; BENEFITS; CEREALS</t>
  </si>
  <si>
    <t>The globally growing demand to produce more food with fewer inputs, less energy, and lower greenhouse gas (GHG) emissions challenges current agricultural practices. Recycled fertilizers made of various side streams and types of biomass have been developed mainly to improve nutrient recycling in food systems. However, the knowledge of the impacts of different recycled fertilizers on GHG emissions and energy use is lacking. There is also a need for developing environmental assessment methods for quantifying the impacts of recycling processes, particularly in terms of choosing reasonable methods for co-product allocation. The aims of this study were to address the above mentioned research gaps by i) assessing energy use and GHG emissions of various recycled fertilizers, ii) comparing the recycled fertilizers with mineral fertilizers, and iii) comparing the impacts of using different co-product allocation methods for the recycled fertilizers. Attributional Life Cycle Assessment (LCA) was used for estimating energy use and GHG emissions of recycled fertilizers, including ammonium sulfate, biogas digestate, and meat and bone meal, using kg of nitrogen in the fertilizers as a functional unit. In addition, the energy use and GHG emissions of oat production when using the recycled and mineral fertilizers were quantified. The data were obtained from field experiments, LCA databases, published literature, and fertilizer companies. The life-cycle energy consumption and GHG emissions of recycled fertilizers were found to be lower than that of mineral fertilizer, but also differences between recycled fertilizer products were notable. The biggest differences between fertilizers occurred in manufacturing and transportation. However, this conclusion is highly sensitive to several decisions, such as data sources and LCA methods used. Handling the raw materials of recycled fertilizers as by-products instead of residues adds burdens from primary production to fertilizers. Also handling the materials as waste increases the impacts due to burdens from the recycling process. Since the raw materials of fertilizers have only little economic value, applying economic allocation results to significantly lower impacts than mass allocation. Consequential LCA studies would be needed to improve the understanding of the wider impacts of recycled fertilizers, e.g. considering the benefits of avoided waste management processes. (C) 2020 Elsevier Ltd. All rights reserved.</t>
  </si>
  <si>
    <t>[Kytta, Venla; Helenius, Juha; Tuomisto, Hanna L.] Univ Helsinki, Fac Agr &amp; Forestry, Dept Agr Sci, Helsinki, Finland; [Helenius, Juha] Univ Helsinki, Fac Agr &amp; Forestry, Ruralia Inst, Helsinki, Finland; [Helenius, Juha; Tuomisto, Hanna L.] Univ Helsinki, Helsinki Inst Sustainabil Sci HELSUS, Helsinki, Finland; [Tuomisto, Hanna L.] Nat Resources Inst Finland Luke, Helsinki, Finland</t>
  </si>
  <si>
    <t>University of Helsinki; University of Helsinki; University of Helsinki; Natural Resources Institute Finland (Luke)</t>
  </si>
  <si>
    <t>Kyttä, V (corresponding author), Univ Helsinki, Fac Agr &amp; Forestry, Latokartanonkaari 5, Helsinki 00790, Finland.</t>
  </si>
  <si>
    <t>venla.kytta@helsinki.fi</t>
  </si>
  <si>
    <t>Tuomisto, Hanna/HZI-1458-2023</t>
  </si>
  <si>
    <t>Helenius, Juha/0000-0001-6933-404X; Tuomisto, Hanna L/0000-0002-5971-8354; Kyttä, Venla/0000-0003-3700-5959</t>
  </si>
  <si>
    <t>Rural Development Programme for Mainland Finland</t>
  </si>
  <si>
    <t>The HYKERRYS project, where the field trials were carried out, was funded by the Rural Development Programme for Mainland Finland.</t>
  </si>
  <si>
    <t>10.1016/j.jclepro.2020.125063</t>
  </si>
  <si>
    <t>PY2PL</t>
  </si>
  <si>
    <t>WOS:000611890600008</t>
  </si>
  <si>
    <t>Boysen, LR; Lucht, W; Gerten, D; Heck, V; Lenton, TM; Schellnhuber, HJ</t>
  </si>
  <si>
    <t>Boysen, Lena R.; Lucht, Wolfgang; Gerten, Dieter; Heck, Vera; Lenton, Timothy M.; Schellnhuber, Hans Joachim</t>
  </si>
  <si>
    <t>The limits to global-warming mitigation by terrestrial carbon removal</t>
  </si>
  <si>
    <t>DIOXIDE REMOVAL; CO2 REMOVAL; CLIMATE; LAND; SEQUESTRATION; TEMPERATURE; IMPACTS; AGROFORESTRY; POTENTIALS; VEGETATION</t>
  </si>
  <si>
    <t>Massive near-term greenhouse gas emissions reduction is a precondition for staying well below 2 degrees C global warming as envisaged by the Paris Agreement. Furthermore, extensive terrestrial carbon dioxide removal (tCDR) through managed biomass growth and subsequent carbon capture and storage is required to avoid temperature overshoot in most pertinent scenarios. Here, we address two major issues: First, we calculate the extent of tCDR required to repair delayed or insufficient emissions reduction policies unable to prevent global mean temperature rise of 2.5 degrees C or even 4.5 degrees C above pre-industrial level. Our results show that those tCDR measures are unable to counteract business-as-usual emissions without eliminating virtually all natural ecosystems. Even if considerable (Representative Concentration Pathway 4.5 [RCP4.5]) emissions reductions are assumed, tCDR with 50% storage efficiency requires &gt;1.1 Gha of the most productive agricultural areas or the elimination of &gt; 50% of natural forests. In addition, &gt; 100 MtN/yr fertilizers would be needed to remove the roughly 320 GtC foreseen in these scenarios. Such interventions would severely compromise food production and/or biosphere functioning. Second, we reanalyze the requirements for achieving the 160-190 GtC tCDR that would complement strong mitigation action (RCP2.6) in order to avoid 2 degrees C overshoot anytime. We find that a combination of high irrigation water input and/or more efficient conversion to stored carbon is necessary. In the face of severe trade-offs with society and the biosphere, we conclude that large-scale tCDR is not a viable alternative to aggressive emissions reduction. However, we argue that tCDR might serve as a valuable  supporting actor for strong mitigation if sustainable schemes are established immediately. Plain Language Summary In 2015, parties agreed to limit global warming to  well below 2 degrees C above pre-industrial levels. However, this requires not only massive near-term greenhouse gas emissions reductions but also the application of  negative emission techniques that extract already emitted carbon dioxide from the atmosphere. Specifically, this could refer to the establishment of extensive plantations of fast-growing tree and grass species in combination with biomass conversion to carbon-saving products. Although such deployment is seen as promising, its carbon sequestration potentials and possible side-effects still remain to be studied in depth. In this study, we analyzed two feasibility aspects of such a negative emissions approach using biomass plantations and carbon utilization pathways. First, we show that biomass plantations with subsequent carbon immobilization are likely unable to repair insufficient emission reduction policies without compromising food production and biosphere functioning due to its space-consuming properties. Second, the requirements for a strong mitigation scenario staying below the 2 degrees C target would require a combination of high irrigation water input and development of highly effective carbon process chains. Although we find that this strategy of sequestering carbon is not a viable alternative to aggressive emission reductions, it could still support mitigation efforts if sustainably managed.</t>
  </si>
  <si>
    <t>[Boysen, Lena R.; Lucht, Wolfgang; Gerten, Dieter; Heck, Vera; Schellnhuber, Hans Joachim] Potsdam Inst Climate Impact Res, Res Domain Earth Syst Anal 1, Potsdam, Germany; [Boysen, Lena R.; Lucht, Wolfgang; Gerten, Dieter; Heck, Vera] Humboldt Univ, Dept Geog, Berlin, Germany; [Boysen, Lena R.; Lucht, Wolfgang] Integrat Res Inst Transformat Human Environm Syst, Berlin, Germany; [Boysen, Lena R.] Max Planck Inst Meteorol, Land Earth Syst, Hamburg, Germany; [Lenton, Timothy M.] Univ Exeter, Coll Life &amp; Environm Sci, Geog, Exeter, Devon, England; [Schellnhuber, Hans Joachim] Stockholm Univ, Stockholm Resilience Ctr, Stockholm, Sweden</t>
  </si>
  <si>
    <t>Potsdam Institut fur Klimafolgenforschung; Humboldt University of Berlin; Max Planck Society; University of Exeter; Stockholm University</t>
  </si>
  <si>
    <t>Boysen, LR (corresponding author), Potsdam Inst Climate Impact Res, Res Domain Earth Syst Anal 1, Potsdam, Germany.;Boysen, LR (corresponding author), Humboldt Univ, Dept Geog, Berlin, Germany.;Boysen, LR (corresponding author), Integrat Res Inst Transformat Human Environm Syst, Berlin, Germany.;Boysen, LR (corresponding author), Max Planck Inst Meteorol, Land Earth Syst, Hamburg, Germany.</t>
  </si>
  <si>
    <t>lena.boysen@mpimet.mpg.de</t>
  </si>
  <si>
    <t>Lucht, Wolfgang/G-2180-2011; Gerten, Dieter/B-2975-2013; Schellnhuber, Hans Joachim/B-2607-2012; Lenton, Tim/X-1893-2018</t>
  </si>
  <si>
    <t>Lucht, Wolfgang/0000-0002-3398-8575; Gerten, Dieter/0000-0002-6214-6991; Boysen, Lena/0000-0002-6671-4984; Schellnhuber, Hans Joachim/0000-0001-7453-4935; Heck, Vera/0000-0002-9381-5924</t>
  </si>
  <si>
    <t>German Research Foundation's priority program DFG [SPP 1689]; Royal Society Wolfson Research Merit Award</t>
  </si>
  <si>
    <t>German Research Foundation's priority program DFG(German Research Foundation (DFG)); Royal Society Wolfson Research Merit Award(Royal Society UK)</t>
  </si>
  <si>
    <t>We thank the reviewers for their thorough and constructive comments, which significantly enabled us to improve the quality of this manuscript. The data used are listed in the references, tables, supplements and can be requested for download contacting lena. boysen@mpimet.mpg.de. This study was funded by the German Research Foundation's priority program DFG SPP 1689 on Climate Engineering - Risks, Challenges and Opportunities? and specifically the CE-LAND project. T.M.L. was supported by a Royal Society Wolfson Research Merit Award. Data underlying the analyses will be provided upon request to lena. boysen@mpimet.mpg.de. The authors declare that they have no competing interests.</t>
  </si>
  <si>
    <t>10.1002/2016EF000469</t>
  </si>
  <si>
    <t>EX9BH</t>
  </si>
  <si>
    <t>WOS:000403546800004</t>
  </si>
  <si>
    <t>Thapa, R; Chatterjee, A; Wick, A; Butcher, K</t>
  </si>
  <si>
    <t>Thapa, Resham; Chatterjee, Amitava; Wick, Abbey; Butcher, Kirsten</t>
  </si>
  <si>
    <t>Carbon Dioxide and Nitrous Oxide Emissions from Naturally Occurring Sulfate-Based Saline Soils at Different Moisture Contents</t>
  </si>
  <si>
    <t>electric conductivity; C and N mineralization; salinity; sulfate salts; soil salinization; soil water-filled pore space</t>
  </si>
  <si>
    <t>ORGANIC-MATTER; MINERALIZATION; SALTS; GREENHOUSE; AMENDMENTS; DIVERSITY; MAGNESIUM; BIOMASS; MAIZE; UREA</t>
  </si>
  <si>
    <t>Soil salinization may negatively affect microbial processes related to carbon dioxide (CO2) and nitrous oxide (N2O) emissions. A short-term laboratory incubation experiment was conducted to investigate the effects of soil electrical conductivity (EC) and moisture content on CO2 and N2O emissions from sulfate-based natural saline soils. Three separate 100-m long transects were established along the salinity gradient on a salt-affected agricultural field at Mooreton, North Dakota, USA. Surface soils were collected from four equally spaced sampling positions within each transect, at the depths of 0-15 and 15-30 cm. In the laboratory, artificial soil cores were formed combining soils from both the depths in each transect, and incubated at 60% and 90% water-filled pore space (WFPS) at 25 degrees C. The measured depth-weighted EC of the saturated paste extract (ECe). across the sampling positions ranged from 0.43 to 4.65 dS m(-1). Potential nitrogen (N) mineralization rate and CO2 emissions decreased with increasing soil ECe, but the relative decline in soil CO2 emissions with increasing ECe was smaller at 60% WFPS than at 90% WFPS. At 60% WFPS, soil N2O emissions decreased from 133 mu g N2O-N kg(-1) soil at ECe &lt; 0.50 dS m(-1) to 72 ug N2O-N kg(-1) soil at ECe = 4.65 dS m(-1). In contrast, at 90% WFPS, soil N2O emissions increased from 262 mu g N2O-N kg(-1) soil at ECe = 0.81 dS m(-1) to 849 sg N2O-N kg(-1) soil at ECe = 4.65 dS m(-1), suggesting that N2O emissions were linked to both soil ECe and moisture content. Therefore, spatial variability in soil ECe and pattern of rainfall over the season need to be considered when up-scaling N2O and CO2 emissions from field to landscape scales.</t>
  </si>
  <si>
    <t>[Thapa, Resham; Chatterjee, Amitava; Wick, Abbey; Butcher, Kirsten] North Dakota State Univ, Sch Nat Resources Management, Dept Soil Sci, Fargo, ND 58108 USA</t>
  </si>
  <si>
    <t>North Dakota State University Fargo</t>
  </si>
  <si>
    <t>Thapa, R (corresponding author), North Dakota State Univ, Sch Nat Resources Management, Dept Soil Sci, Fargo, ND 58108 USA.</t>
  </si>
  <si>
    <t>resham.thapa@ndsu.edu</t>
  </si>
  <si>
    <t>Butcher, Kirsten/AAU-4881-2020</t>
  </si>
  <si>
    <t>10.1016/S1002-0160(17)60453-3</t>
  </si>
  <si>
    <t>FO5GA</t>
  </si>
  <si>
    <t>WOS:000416880300008</t>
  </si>
  <si>
    <t>An, LL; Zheng, ZC; He, SQ; Li, TX; Zhang, XZ; Wang, YD; Yu, HY</t>
  </si>
  <si>
    <t>An, Longlong; Zheng, Zicheng; He, Shuqin; Li, Tingxuan; Zhang, Xizhou; Wang, Yongdong; Yu, Haiying</t>
  </si>
  <si>
    <t>Tracking dissolved organic carbon changes in agricultural runoff from rainstorms during maize (Zea mays L.) growth stages employing optical and molecular techniques</t>
  </si>
  <si>
    <t>Agricultural runoff; Dissolved organic carbon; Tillage practices; Maize growth stages; Molecular component</t>
  </si>
  <si>
    <t>MATTER; DOM</t>
  </si>
  <si>
    <t>Agricultural runoff mobilizes a significant amount of dissolved organic carbon (DOC) from soils to aquatic systems, posing the dual threat of soil organic carbon loss and water pollution. The quantity, quality, and molecular composition of DOC in agricultural runoff during rainfall events may be influenced by tillage practices and crop growth stage. To test our hypotheses, we collected runoff samples from sloping croplands under two tillage practices (cross-ridge and downslope ridge) from 2020 to 2023. We analyzed the samples to determine the DOC concentrations and compositions of maize growth stages (seedling, elongation, tasseling, and maturity). This analysis was conducted using a combination of elemental analysis, excitation-emission matrix (EEM), and Fourier-transform ion cyclotron resonance mass spectrometry (FT-ICR MS). The results showed that DOC loss flux was highest at the seedling and elongation stages and lowest at the tasseling stage during rainstorms. The loss of tryptophan-like in runoff was the highest at the seedling stage, accounting for 55.13 %-59.82 % of the total DOC. The humification index (HIX) ranged from 0.63 to 0.77, indicating a low degree of DOC humification in runoff. The DOC was primarily of endogenous origin and exhibited a high degree of degradation. The proportion of CHONS compounds increased, and the export of lignin-like was the highest in the runoff at the elongation stage. High-molecular-mass (&gt; 450 Da) DOC had the largest proportion in the sloping cropland, occupying 44.63 %-48.49 % of the total DOC. High-molecular-mass DOC accumulates in the runoff during the growth stage. Runoff and DOC concentrations in the soil are the main factors driving DOC export in runoff. Crossridge tillage (CR) is an effective conservation tillage method that can significantly mitigate DOC loss in sloping croplands. Our study identified the differences in DOC quantity, quality, and molecular composition in runoff at different growth stages and revealed the mechanisms driving DOC export in agricultural runoff. These findings provide a theoretical foundation for effectively preventing DOC loss in sloping croplands and mitigating agricultural water pollution.</t>
  </si>
  <si>
    <t>[An, Longlong; Zheng, Zicheng; Li, Tingxuan; Zhang, Xizhou; Wang, Yongdong; Yu, Haiying] Sichuan Agr Univ, Coll Resources Sci, 211 Huimin Rd, Chengdu 611130, Sichuan, Peoples R China; [He, Shuqin] Sichuan Agr Univ, Coll Forestry, 211 Huimin Rd, Chengdu 611130, Sichuan, Peoples R China</t>
  </si>
  <si>
    <t>Zheng, ZC (corresponding author), Sichuan Agr Univ, Coll Resources Sci, 211 Huimin Rd, Chengdu 611130, Sichuan, Peoples R China.</t>
  </si>
  <si>
    <t>zichengzheng@aliyun.com</t>
  </si>
  <si>
    <t>; Zheng, Zicheng/J-6463-2019</t>
  </si>
  <si>
    <t>an, Longlong/0009-0005-7159-9676; Zheng, Zicheng/0000-0003-0347-1345;</t>
  </si>
  <si>
    <t>National Key Research and Develop-ment Program [2022YFD1901401]; Key R &amp; D Project of Sichuan Province [2024YFHZ0193]</t>
  </si>
  <si>
    <t>National Key Research and Develop-ment Program(National Key Research &amp; Development Program of China); Key R &amp; D Project of Sichuan Province</t>
  </si>
  <si>
    <t>This study was funded by the National Key Research and Develop-ment Program (2022YFD1901401) and the Key R &amp; D Project of Sichuan Province (Grant No. 2024YFHZ0193) .</t>
  </si>
  <si>
    <t>10.1016/j.jhydrol.2025.133942</t>
  </si>
  <si>
    <t>5IM4T</t>
  </si>
  <si>
    <t>WOS:001536480600002</t>
  </si>
  <si>
    <t>Wang, YC; Tao, FL; Yin, LC; Chen, Y</t>
  </si>
  <si>
    <t>Wang, Yicheng; Tao, Fulu; Yin, Lichang; Chen, Yi</t>
  </si>
  <si>
    <t>Spatiotemporal changes in greenhouse gas emissions and soil organic carbon sequestration for major cropping systems across China and their drivers over the past two decades</t>
  </si>
  <si>
    <t>Agricultural system; Carbon cycle; Climate smart agriculture; Mitigation; GHG emissions; SOC</t>
  </si>
  <si>
    <t>METHANE EMISSIONS; RICE FIELDS; WATER MANAGEMENT; DNDC MODEL; CROPLAND; INPUT; STRAW; N2O</t>
  </si>
  <si>
    <t>Chinese agricultural systems have experienced dramatic changes in crop planting area, cropping system, irrigation and fertilization managements, and crop yields in recent decades. These changes can substantially affect greenhouse gases (GHG) emissions and soil organic carbon (SOC) sequestration in croplands. However, the spatiotemporal patterns, as well as their driving factors and mechanisms, have not been well understood. Here, the Denitrification-Decomposition model is calibrated and validated to estimate nitrous oxide (N2O) and methane (CH4) emissions and SOC sequestration for seven major cropping systems in China during 2001-2020. The Logarithmic Mean Divisia Index method is further applied to attribute the net GHG emissions (NGEs) trend to various drivers. The results show that the total N2O emis-sions, CH4 emissions, and SOC sequestration were approximately 23.7, 182.0, and 177.6 Tg CO2-eq/year in the crop-lands across China. The national average NGEs per unit area ranged from -8705 to 8431 kg CO2-eq ha-1 year-1 across the major cropping systems. During 2001-2020, the trend in national annual NGEs was 0.66 kg CO2-eq ha-1 year-2, ranging from -78.9 to 82.2 kg CO2-eq ha-1 year-2 across the major cropping systems. The paddy lands were mainly a carbon source due to the large amount of CH4 emissions while the uplands could be a carbon sink owing to SOC sequestration. As a whole, the cropland in China was a carbon source with the NGEs equal to 28.4 Tg CO2-eq/year, and the NGEs increased by 0.047 Tg CO2-eq/year2 in the past 20 years. Nationally, changes in crop plant-ing area and yields reduced the NGEs whereas changes in nitrogen use efficiency and cropping systems increased them, although the major factors and their impacts varied greatly among regions. Optimizing cropping systems and nitrogen fertilization based on the local genotype, environment and management should be the most effective method to reduce the NGEs in croplands.</t>
  </si>
  <si>
    <t>[Wang, Yicheng; Tao, Fulu; Yin, Lichang; Chen, Yi] Chinese Acad Sci, Inst Geog Sci &amp; Nat Resources Res, Key Lab Land Surface Pattern &amp; Simulat, Beijing 100101, Peoples R China; [Wang, Yicheng; Tao, Fulu; Yin, Lichang; Chen, Yi] Univ Chinese Acad Sci, Coll Resources &amp; Environm, Beijing 100049, Peoples R China; [Tao, Fulu] Nat Resources Inst Finland Luke, Helsinki 00790, Finland</t>
  </si>
  <si>
    <t>Chinese Academy of Sciences; Institute of Geographic Sciences &amp; Natural Resources Research, CAS; Chinese Academy of Sciences; University of Chinese Academy of Sciences, CAS; Natural Resources Institute Finland (Luke)</t>
  </si>
  <si>
    <t>Tao, FL (corresponding author), Chinese Acad Sci, Inst Geog Sci &amp; Nat Resources Res, Key Lab Land Surface Pattern &amp; Simulat, Beijing 100101, Peoples R China.;Tao, FL (corresponding author), Univ Chinese Acad Sci, Coll Resources &amp; Environm, Beijing 100049, Peoples R China.;Tao, FL (corresponding author), Nat Resources Inst Finland Luke, Helsinki 00790, Finland.</t>
  </si>
  <si>
    <t>taofl@igsnrr.ac.cn</t>
  </si>
  <si>
    <t>Yin, Lichang/AAS-4914-2020</t>
  </si>
  <si>
    <t>National Natural Science Foundation of China [31761143006, 41977405]</t>
  </si>
  <si>
    <t>Acknowledgment This study was supported by the National Natural Science Foundation of China (Project Nos. 31761143006, 41977405) .</t>
  </si>
  <si>
    <t>10.1016/j.scitotenv.2022.155087</t>
  </si>
  <si>
    <t>1N2MS</t>
  </si>
  <si>
    <t>WOS:000800495900002</t>
  </si>
  <si>
    <t>Mendonça, R; Müller, RA; Clow, D; Verpoorter, C; Raymond, P; Tranvik, LJ; Sobek, S</t>
  </si>
  <si>
    <t>Mendonca, Raquel; Mueller, Roger A.; Clow, David; Verpoorter, Charles; Raymond, Peter; Tranvik, Lars J.; Sobek, Sebastian</t>
  </si>
  <si>
    <t>Organic carbon burial in global lakes and reservoirs</t>
  </si>
  <si>
    <t>AGRICULTURAL SOIL-EROSION; TERRESTRIAL CARBON; SEDIMENTS; IMPACT; WATER; LAND; EFFICIENCY; EMISSIONS; CYCLE</t>
  </si>
  <si>
    <t>Burial in sediments removes organic carbon (OC) from the short-term biosphere-atmosphere carbon (C) cycle, and therefore prevents greenhouse gas production in natural systems. Although OC burial in lakes and reservoirs is faster than in the ocean, the magnitude of inland water OC burial is not well constrained. Here we generate the first global-scale and regionally resolved estimate of modern OC burial in lakes and reservoirs, deriving from a comprehensive compilation of literature data. We coupled statistical models to inland water area inventories to estimate a yearly OC burial of 0.15 (range, 0.06-0.25) Pg C, of which similar to 40% is stored in reservoirs. Relatively higher OC burial rates are predicted for warm and dry regions. While we report lower burial than previously estimated, lake and reservoir OC burial corresponded to similar to 20% of their C emissions, making them an important C sink that is likely to increase with eutrophication and river damming.</t>
  </si>
  <si>
    <t>[Mendonca, Raquel; Mueller, Roger A.; Verpoorter, Charles; Tranvik, Lars J.; Sobek, Sebastian] Uppsala Univ, Dept Ecol &amp; Genet, Limnol, S-75236 Uppsala, Sweden; [Mendonca, Raquel] Univ Fed Juiz de Fora, Dept Biol, BR-36036330 Juiz De Fora, Brazil; [Clow, David] US Geol Survey, Colorado Water Sci Ctr, Denver, CO 80225 USA; [Verpoorter, Charles] Univ Littoral Cote dOpale, Univ Lille, CNRS, Lab Oceanol &amp; Geosci,UMR 8187, F-62930 Wimereux, France; [Raymond, Peter] Yale Sch Forestry &amp; Environm Studies, New Haven, CT 06511 USA</t>
  </si>
  <si>
    <t>Uppsala University; United States Department of the Interior; United States Geological Survey; Centre National de la Recherche Scientifique (CNRS); CNRS - National Institute for Earth Sciences &amp; Astronomy (INSU); Universite de Lille; Universite du Littoral-Cote-d'Opale; Yale University</t>
  </si>
  <si>
    <t>Mendonça, R (corresponding author), Uppsala Univ, Dept Ecol &amp; Genet, Limnol, S-75236 Uppsala, Sweden.;Mendonça, R (corresponding author), Univ Fed Juiz de Fora, Dept Biol, BR-36036330 Juiz De Fora, Brazil.</t>
  </si>
  <si>
    <t>fm.raquel@yahoo.com.br</t>
  </si>
  <si>
    <t>; Raymond, Peter/C-4087-2009; Tranvik, Lars/H-2222-2011; VERPOORTER, Charles/Y-6817-2018; Müller, Roger André/L-2062-2015; Müller, Roger/L-2062-2015</t>
  </si>
  <si>
    <t>Tranvik, Lars J/0000-0003-3509-8266; VERPOORTER, Charles/0000-0002-5134-4124; Raymond, Peter/0000-0002-8564-7860; Müller, Roger André/0000-0003-2798-9018;</t>
  </si>
  <si>
    <t>European Research Council under the European Union's Seventh Framework Programme (FP7)/ERC grant [336642]; Swedish Research Council (VR); Swedish Research Council for Environment (Formas); Knut and Alice Wallenberg Foundation [KAW 2013.0091]</t>
  </si>
  <si>
    <t>European Research Council under the European Union's Seventh Framework Programme (FP7)/ERC grant(European Research Council (ERC)); Swedish Research Council (VR)(Swedish Research Council); Swedish Research Council for Environment (Formas)(Swedish Research Council Formas); Knut and Alice Wallenberg Foundation(Knut &amp; Alice Wallenberg Foundation)</t>
  </si>
  <si>
    <t>We thank N. Barros for the valuable discussions. The research leading to these results has received funding from the European Research Council under the European Union's Seventh Framework Programme (FP7/2007-2013)/ERC grant agreement no 336642 to S.S. Additional financial support from the Swedish Research Council (VR) and the Swedish Research Council for Environment (Formas) to S.S. and from the Knut and Alice Wallenberg Foundation (grant KAW 2013.0091) to L.J.T. is acknowledged.</t>
  </si>
  <si>
    <t>NATURE RESEARCH</t>
  </si>
  <si>
    <t>NOV 22</t>
  </si>
  <si>
    <t>10.1038/s41467-017-01789-6</t>
  </si>
  <si>
    <t>FN7VF</t>
  </si>
  <si>
    <t>WOS:000416226200023</t>
  </si>
  <si>
    <t>Pongpat, P; Gheewala, SH; Silalertruksa, T</t>
  </si>
  <si>
    <t>Pongpat, Patcharaporn; Gheewala, Shabbir H.; Silalertruksa, Thapat</t>
  </si>
  <si>
    <t>An assessment of harvesting practices of sugarcane in the central region of Thailand</t>
  </si>
  <si>
    <t>Sugarcane; Greenhouse gas; Manual harvesting; Mechanical harvesting; Thailand</t>
  </si>
  <si>
    <t>CANE MOLASSES; FUEL ETHANOL; IMPACT</t>
  </si>
  <si>
    <t>Expansion of sugarcane production for satisfying food and bioenergy demands along with decreasing availability of agricultural workers brings about the concerns on changing the traditional sugarcane cultivation and harvesting practice to mechanization. The study aims to assess the effect on climate change impact via life cycle greenhouse gas emissions along with harvesting costs from 5 current sugarcane harvesting practices in the central region of Thailand. The results show that harvested green cane using cutting machines has moderate greenhouse gas (GHG) emissions as compared to the other options but it has the highest harvesting cost due to the need for hiring cutting machines which can be quite expensive. Moreover, the insufficient availability of cutting machines in some areas has created a problem of system management. This has led farmers to choose the burning of cane as per the past practice due to the ease of finding labor. Therefore, it could be recommended that the actual cost of mechanized harvesting and good management of cutting machine services should be considered if we need to increase mechanical harvesting. There is no significant difference in the greenhouse gas emissions of various harvesting practices as the largest greenhouse gas emissions are actually from the land preparation stage. Even though the harvesting stage does not contribute much to the greenhouse gas emissions, there is still an opportunity for improvement of both GHG and cost performance for which measures are recommended. In addition, there is a need for further study on its contribution to other impacts such as microbiological properties of the soil and local air pollution from sugarcane trash burning. (C) 2016 Elsevier Ltd. All rights reserved.</t>
  </si>
  <si>
    <t>[Pongpat, Patcharaporn; Gheewala, Shabbir H.; Silalertruksa, Thapat] King Mongkuts Univ Technol Thonburi, Joint Grad Sch Energy &amp; Environm, Bangkok 10140, Thailand; [Pongpat, Patcharaporn; Gheewala, Shabbir H.; Silalertruksa, Thapat] PERDO, Ctr Excellence Energy Technol &amp; Environm, Bangkok, Thailand</t>
  </si>
  <si>
    <t>King Mongkuts University of Technology Thonburi</t>
  </si>
  <si>
    <t>Gheewala, SH (corresponding author), King Mongkuts Univ Technol Thonburi, Joint Grad Sch Energy &amp; Environm, Bangkok 10140, Thailand.</t>
  </si>
  <si>
    <t>shabbir_g@jgsee.kmutt.ac.th</t>
  </si>
  <si>
    <t>Silalertruksa, Thapat/S-8466-2019; Gheewala, Shabbir/AAG-5732-2020</t>
  </si>
  <si>
    <t>National Science and Technology Development Agency [F-CO-2557-037]; Thailand Research Fund under the Royal Golden Jubilee Ph.D. program [PHD/0101/2557]; Joint Graduate School of Energy and Environment</t>
  </si>
  <si>
    <t>National Science and Technology Development Agency; Thailand Research Fund under the Royal Golden Jubilee Ph.D. program(Thailand Research Fund (TRF)); Joint Graduate School of Energy and Environment</t>
  </si>
  <si>
    <t>This research has been carried out under the projects Sustainability assessment of sugarcane complex for enhancing competitiveness of Thai sugarcane industry (RD&amp;E Fund: F-CO-2557-037) and Research Network for LCA and Policy on Food, Fuel and Climate Change supported by the National Science and Technology Development Agency through the research project, and the Thailand Research Fund under the Royal Golden Jubilee Ph.D. program (Grant PHD/0101/2557) as well as the Joint Graduate School of Energy and Environment.</t>
  </si>
  <si>
    <t>JAN 20</t>
  </si>
  <si>
    <t>10.1016/j.jclepro.2016.07.178</t>
  </si>
  <si>
    <t>EH6SI</t>
  </si>
  <si>
    <t>WOS:000391903800002</t>
  </si>
  <si>
    <t>Alfi, AA; Alamrani, NA; Azher, OA; Snari, RM; Abumelha, HM; Al-Ahmed, ZA; El-Metwaly, NM</t>
  </si>
  <si>
    <t>Alfi, Alia Abdulaziz; Alamrani, Nasser A.; Azher, Omer A.; Snari, Razan M.; Abumelha, Hana M.; Al-Ahmed, Zehbah A.; El-Metwaly, Nashwa M.</t>
  </si>
  <si>
    <t>Development of carbon dots sensor dipstick from sugarcane bagasse agricultural waste toward all-cellulose-derived tetracycline sensor</t>
  </si>
  <si>
    <t>JOURNAL OF MATERIALS RESEARCH AND TECHNOLOGY-JMR&amp;T</t>
  </si>
  <si>
    <t>Bagasse; Cellulose; Carbon dots; Tetracycline; Fluorescent optical sensor</t>
  </si>
  <si>
    <t>QUANTUM DOTS; CONVERSION; FLUORESCENCE; ANTIBIOTICS; DIACETATE; RESIDUES; PROBE; FILM</t>
  </si>
  <si>
    <t>Tetracycline antibiotic has been widely used in veterinary and aquafarming medicines to prevent and treat infectious diseases. However, the overall use of tetracycline results in its accumulation in the organism organs, which then migrates to food and eventually increases the risk of developing various diseases. As one of the most well-known contaminants, sugarcane bagasse (SCB) agricultural waste has been a serious problem worldwide. In order to develop luminous carbon dots doped with nitrogen (NCDs), a simple and environmentally friendly approach was devised to reprocess sugarcane bagasse agricultural waste. A passivating agent, ammonium hydroxide (NH4OH), was used during the hydrothermal carbonization of NCDs in a single-pot procedure. Carbon dots nanoparticles (5-8 nm) embedded in cellulose paper assay were used to prepare the testing strip. With an emission wavelength of 447 nm upon excitation at 355 nm and, NCDs displayed a quantum yield (QY) of up to 24.81%. As a result of the inner filter effect (IFE), the fluorescence of NCDs was clearly quenched by tetracycline, demonstrating their exceptional tetracycline selectivity. The detection limit was set in the concentration range of 0-110 mu M. Tetracycline is detected and measured using the current cellulose paper strip, which contains a fluorescent signal that could be turned off to eliminate the signal. The fluorescence quenching feature of cellulose carbon dots in the existence of tetracycline affects the fluorescence activity of the paper strip assay. (C) 2022 The Author(s). Published by Elsevier B.V.</t>
  </si>
  <si>
    <t>[Alfi, Alia Abdulaziz; Snari, Razan M.; El-Metwaly, Nashwa M.] Umm Qura Univ, Fac Sci Appl, Dept Chem, Mecca 24230, Saudi Arabia; [Alamrani, Nasser A.] Univ Tabuk, Dept Chem, Coll Sci, Tabuk 71474, Saudi Arabia; [Azher, Omer A.] Al Baha Univ, Fac Appl Biomed Sci, Dept Lab Med, Al Baha, Saudi Arabia; [Abumelha, Hana M.] Princess Nourah Bint Abdulrahman Univ, Dept Chem, Coll Sci, POB 84428, Riyadh 11671, Saudi Arabia; [Al-Ahmed, Zehbah A.] Dhahran Al Janoub King Khalid Univ, Dept Chem, Coll Arts &amp; Sci, Dhahran, Saudi Arabia; [El-Metwaly, Nashwa M.] Mansoura Univ, Fac Sci, Dept Chem, El Gomhoria St, Mansoura 35516, Egypt</t>
  </si>
  <si>
    <t>University of Tabuk; Al Baha University; Princess Nourah bint Abdulrahman University; Egyptian Knowledge Bank (EKB); Mansoura University</t>
  </si>
  <si>
    <t>El-Metwaly, NM (corresponding author), Umm Qura Univ, Fac Sci Appl, Dept Chem, Mecca 24230, Saudi Arabia.;El-Metwaly, NM (corresponding author), Mansoura Univ, Fac Sci, Dept Chem, El Gomhoria St, Mansoura 35516, Egypt.</t>
  </si>
  <si>
    <t>nmmohamed@uqu.edu.sa</t>
  </si>
  <si>
    <t>Al -Ahmad, ZA/CAF-8363-2022; Alamrani, Nasser/HPE-6320-2023; El-Metwaly or El-Metwally, Nashwa/Q-8975-2016; Snari, Razan/N-5399-2016</t>
  </si>
  <si>
    <t>El-Metwaly or El-Metwally, Nashwa/0000-0002-0619-6206;</t>
  </si>
  <si>
    <t>Princess Nourah bint Abdulrahman University, Riyadh, Saudi Arabia [PNURSP2022R22]</t>
  </si>
  <si>
    <t>Princess Nourah bint Abdulrahman University, Riyadh, Saudi Arabia(Princess Nourah bint Abdulrahman University)</t>
  </si>
  <si>
    <t>Princess Nourah bint Abdulrahman University Researchers Supporting Project number (PNURSP2022R22) , Princess Nourah bint Abdulrahman University, Riyadh, Saudi Arabia.</t>
  </si>
  <si>
    <t>2238-7854</t>
  </si>
  <si>
    <t>2214-0697</t>
  </si>
  <si>
    <t>J MATER RES TECHNOL</t>
  </si>
  <si>
    <t>J. Mater. Res. Technol-JMRT</t>
  </si>
  <si>
    <t>JUL-AUG</t>
  </si>
  <si>
    <t>10.1016/j.jmrt.2022.06.150</t>
  </si>
  <si>
    <t>Materials Science, Multidisciplinary; Metallurgy &amp; Metallurgical Engineering</t>
  </si>
  <si>
    <t>Materials Science; Metallurgy &amp; Metallurgical Engineering</t>
  </si>
  <si>
    <t>5X2DZ</t>
  </si>
  <si>
    <t>WOS:000878416200006</t>
  </si>
  <si>
    <t>Yan, SR; Shi, F; Zheng, CY; Ma, YC; Huang, JJ</t>
  </si>
  <si>
    <t>Yan, Shurui; Shi, Feng; Zheng, Chenyuan; Ma, Yongchao; Huang, Jingjing</t>
  </si>
  <si>
    <t>Whole biomass material envelope system for nearly-zero energy houses: Carbon footprint and construction cost assessment</t>
  </si>
  <si>
    <t>JOURNAL OF BUILDING ENGINEERING</t>
  </si>
  <si>
    <t>Whole biomass material; Straw bale; Building envelope; Nearly -zero energy house; Carbon footprint; Construction cost</t>
  </si>
  <si>
    <t>LIFE-CYCLE ASSESSMENT; STRAW BALE WALL; EMISSIONS ASSESSMENT; RESIDENTIAL SECTOR; PERFORMANCE; BUILDINGS; DESIGN; FIELD</t>
  </si>
  <si>
    <t>Building envelopes have the potential to achieve energy savings of between 28% and 66%, and a reliable building envelope system can effectively reduce energy consumption and carbon emissions. This study proposed a whole biomass material envelope system (WBMES) for nearly -zero energy (NZE) houses. The construction materials of the WBMES are primarily biomass materials such as straw bale, wood, and bamboo. An NZE house was selected as a case study. According to the calculation results, the carbon footprint of the case was 326.54 kgCO2/m2, 14.24 kgCO2/m2, and 35.55 kgCO2/m2 center dot a in the material production, transportation, and operational stages, respectively. Compared with other cases found in other studies (including NZE and nonNZE buildings), the case house ranked well in reducing carbon emissions in the material production stage. However, it could only maintain the carbon emissions of the operational stages at an average level. According to the detailed simulation results from EnergyPlus, the airtightness and roof were the weakest parts of the heat balance and required strengthening. Meanwhile, the case study house had a low cost of $535.7/m2, similar to that of a typical building. Hence, the WBMES has good carbon reduction potential and low construction costs. It is suitable for construction in agricultural or undeveloped districts to reduce carbon emissions while maintaining construction costs at a low level.</t>
  </si>
  <si>
    <t>[Yan, Shurui] Univ Chinese Acad Sci, Sch Sci Human Habitat, Beijing 100190, Peoples R China; [Shi, Feng; Zheng, Chenyuan; Ma, Yongchao; Huang, Jingjing] Xiamen Univ, Sch Architecture &amp; Civil Engn, Xiamen 361005, Fujian, Peoples R China; [Shi, Feng] South China Univ Technol, State Key Lab Subtrop Bldg &amp; Urban Sci, Guangzhou 510641, Peoples R China; [Yan, Shurui; Shi, Feng; Zheng, Chenyuan] Xiamen Univ, Fujian Prov Univ Key Lab Intelligent &amp; Low Carbon, Xiamen 361005, Peoples R China</t>
  </si>
  <si>
    <t>Chinese Academy of Sciences; University of Chinese Academy of Sciences, CAS; Xiamen University; South China University of Technology; Xiamen University</t>
  </si>
  <si>
    <t>Shi, F (corresponding author), Xiamen Univ, Sch Architecture &amp; Civil Engn, Xiamen 361005, Fujian, Peoples R China.</t>
  </si>
  <si>
    <t>shifengx@xmu.edu.cn</t>
  </si>
  <si>
    <t>Yan, Shurui/HJI-6126-2023; Huang, Jingjing/HMD-6674-2023</t>
  </si>
  <si>
    <t>Zheng, Chenyuan/0009-0003-6464-1544</t>
  </si>
  <si>
    <t>National Natural Science Foundation of China [52078443]; State Key Laboratory of Subtropical Building and Urban Science [2021ZB09]</t>
  </si>
  <si>
    <t>National Natural Science Foundation of China(National Natural Science Foundation of China (NSFC)); State Key Laboratory of Subtropical Building and Urban Science</t>
  </si>
  <si>
    <t>Acknowledgment This study was supported by the National Natural Science Foundation of China (Grant No.52078443) and State Key Laboratory of Subtropical Building and Urban Science (Grant No.2021ZB09) . Also, we extended our sincere appreciation to Team JIA + for their invaluable contributions during the construction phase of this project.</t>
  </si>
  <si>
    <t>2352-7102</t>
  </si>
  <si>
    <t>J BUILD ENG</t>
  </si>
  <si>
    <t>J. Build. Eng.</t>
  </si>
  <si>
    <t>10.1016/j.jobe.2024.108757</t>
  </si>
  <si>
    <t>Construction &amp; Building Technology; Engineering, Civil</t>
  </si>
  <si>
    <t>Construction &amp; Building Technology; Engineering</t>
  </si>
  <si>
    <t>LB5J7</t>
  </si>
  <si>
    <t>WOS:001184327500001</t>
  </si>
  <si>
    <t>Devarajan, Y; Lakshmaiya, N</t>
  </si>
  <si>
    <t>Devarajan, Yuvarajan; Lakshmaiya, Natrayan</t>
  </si>
  <si>
    <t>Effective utilization of waste banana peel extracts for generating activated carbon-based adsorbent for emission reduction</t>
  </si>
  <si>
    <t>Banana peel; Activated carbon; Iodine number</t>
  </si>
  <si>
    <t>CI ENGINE; BIOFUEL; OIL</t>
  </si>
  <si>
    <t>This study employs an alternative resource to reduce emissions by using agricultural waste as activated carbon (AC). Due to its large surface area and larger pores, AC can absorb harmful tailpipe emissions. AC char is achieved by dehydrating banana peel with the hot air oven and carbonization in the muffle furnace at 350 degrees C with and without N-2 gas of 0.15 NL/min for 1 h, continued with the different normality of activation using con. H2SO4 at 85 degrees C for 1 h. The iodine number test was done for the characterization of activated carbon. The result shows that the 6 N of H2SO4 gave better results than other lower concentrations, resulting in 380 mg/g with a high yield of 39.32%. For the physical-chemical activation method with the same concentration of H2SO4, the results are 580 mg/g with a larger surface area of 568 m(2)/g and a yield of 55.40%.</t>
  </si>
  <si>
    <t>[Devarajan, Yuvarajan; Lakshmaiya, Natrayan] SIMATS, Dept Mech Engn, Saveetha Sch Engn, Chennai, Tamil Nadu, India</t>
  </si>
  <si>
    <t>Saveetha Institute of Medical &amp; Technical Science; Saveetha School of Engineering</t>
  </si>
  <si>
    <t>Devarajan, Y; Lakshmaiya, N (corresponding author), SIMATS, Dept Mech Engn, Saveetha Sch Engn, Chennai, Tamil Nadu, India.</t>
  </si>
  <si>
    <t>dyuvarajan2@gmail.com; natrayanphd@gmail.com</t>
  </si>
  <si>
    <t>Devarajan, Yuvarajan/AAN-7100-2020; L, Natrayan/P-1645-2016</t>
  </si>
  <si>
    <t>L, Natrayan/0000-0003-1001-3422</t>
  </si>
  <si>
    <t>2022 NOV 2</t>
  </si>
  <si>
    <t>10.1007/s13399-022-03470-5</t>
  </si>
  <si>
    <t>NOV 2022</t>
  </si>
  <si>
    <t>5W7BZ</t>
  </si>
  <si>
    <t>WOS:000878066700009</t>
  </si>
  <si>
    <t>Min, S; Rulík, M</t>
  </si>
  <si>
    <t>Min, Saw; Rulik, Martin</t>
  </si>
  <si>
    <t>Comparison of Carbon Dioxide (CO2) Fluxes between Conventional and Conserved Irrigated Rice Paddy Fields in Myanmar</t>
  </si>
  <si>
    <t>CO(2)emission; conventional; conservation; grain yields; rice paddy</t>
  </si>
  <si>
    <t>GREENHOUSE-GAS EMISSIONS; SOIL RESPIRATION; NO-TILLAGE; SEASONAL-VARIATION; ORGANIC-CARBON; ELEVATED CO2; TEMPERATURE; EXCHANGE; ECOSYSTEM; GROWTH</t>
  </si>
  <si>
    <t>Rice (Oryza sativa. L.), a major food crop widely grown in Myanmar, is the most prominent cause of greenhouse gas (GHG) emissions in agriculture. Moreover, as a result of modification in agricultural management practices (such as soil tillage), the soil organic matter is exposed to more oxidizing conditions, releasing CO(2)into the environment, contributing to global warming. Therefore, we studied the effects of both conventional and conservation soil tillage management practices on CO(2)fluxes on an experimental rice paddy field in Myanmar. Total CO(2)emissions during the night from paddies farmed under conventional practices were significantly higher than those from paddies farmed under conservation practices; however, no net CO(2)flux differences were found between practices. Total net CO(2)fluxes ranged from -59 to 1614 mg CO(2)m(-2)h(-1)in conventional practices and from -282 to 1082 mg CO(2)m(-2)h(-1)in conservation practices, respectively. Significantly higher rice biomass and grain yields were observed in conventional practices when compared to those in conservation practices, causing a significant rise in both CO(2)uptake and emissions during the day and night, respectively. In addition, the results of this study revealed that CO(2)emissions in rice fields could be much higher than expected, requiring further study to elucidate key factors driving the dynamics of CO(2)in rice paddy systems.</t>
  </si>
  <si>
    <t>[Min, Saw; Rulik, Martin] Palacky Univ Olomouc, Dept Ecol &amp; Environm Sci, Fac Sci, CZ-78371 Olomouc, Czech Republic</t>
  </si>
  <si>
    <t>Palacky University Olomouc</t>
  </si>
  <si>
    <t>Min, S (corresponding author), Palacky Univ Olomouc, Dept Ecol &amp; Environm Sci, Fac Sci, CZ-78371 Olomouc, Czech Republic.</t>
  </si>
  <si>
    <t>saw.min01@upol.cz; martin.rulik@upol.cz</t>
  </si>
  <si>
    <t>; Min, Saw/AAK-8454-2021</t>
  </si>
  <si>
    <t>Min, Saw/0000-0001-6745-6748;</t>
  </si>
  <si>
    <t>Palacky University Olomouc, Czech Republic [IGA_PrF_2018_020]; Department of Ecological and Environmental Sciences, Palacky University Olomouc [IGA_PrF_2020_020]</t>
  </si>
  <si>
    <t>Palacky University Olomouc, Czech Republic(Czech Republic Government); Department of Ecological and Environmental Sciences, Palacky University Olomouc</t>
  </si>
  <si>
    <t>This research was funded by Palacky University Olomouc, Czech Republic, grant number IGA_PrF_2018_020. And the APC was funded by the Department of Ecological and Environmental Sciences, Palacky University Olomouc, grant number IGA_PrF_2020_020.</t>
  </si>
  <si>
    <t>10.3390/su12145798</t>
  </si>
  <si>
    <t>MU8VP</t>
  </si>
  <si>
    <t>WOS:000555945400001</t>
  </si>
  <si>
    <t>Peltokangas, K; Kalu, S; Huusko, K; Havisalmi, J; Heinonsalo, J; Karhu, K; Kulmala, L; Liski, J; Pihlatie, M</t>
  </si>
  <si>
    <t>Peltokangas, Kenneth; Kalu, Subin; Huusko, Karoliina; Havisalmi, Jimi; Heinonsalo, Jussi; Karhu, Kristiina; Kulmala, Liisa; Liski, Jari; Pihlatie, Mari</t>
  </si>
  <si>
    <t>Ligneous amendments increase soil organic carbon content in fine-textured boreal soils and modulate N2O emissions</t>
  </si>
  <si>
    <t>GREENHOUSE-GAS EMISSIONS; PAPER-MILL SLUDGE; SANDY LOAM SOIL; BIOCHAR APPLICATION; MICROBIAL BIOMASS; AGRICULTURAL SOILS; CLIMATE-CHANGE; PORE; CLAY; DENITRIFICATION</t>
  </si>
  <si>
    <t>Organic soil amendments are used to improve soil quality and mitigate climate change. However, their effects on soil structure, nutrient and water retention as well as greenhouse gas (GHG) emissions are still poorly understood. The purpose of this study was to determine the residual effects of a single field application of four ligneous soil amendments on soil structure and GHG emissions. We conducted a laboratory incubation experiment using soil samples collected from an ongoing soil-amendment field experiment at Qvidja Farm in south-west Finland, two years after a single application of four ligneous biomasses. Specifically, two biochars (willow and spruce) produced via slow pyrolysis, and two mixed pulp sludges from paper industry side-streams were applied at a rate of 9-22 Mg ha(-1) mixed in the top 0.1 m soil layer. An unamended fertilized soil was used as a control. The laboratory incubation lasted for 33 days, during which the samples were kept at room temperature (21 &amp; DEG;C) and at 20%, 40%, 70% or 100% water holding capacity. Carbon dioxide (CO2), nitrous oxide (N2O) and methane (CH4) fluxes were measured periodically after 1, 5, 12, 20 and 33 days of incubation. The application of ligneous soil amendments increased the pH of the sampled soils by 0.4-0.8 units, whereas the effects on soil organic carbon content and soil structure varied between treatments. The GHG exchange was dominated by CO2 emissions, which were mainly unaffected by the soil amendment treatments. The contribution of soil CH4 exchange was negligible (nearly no emissions) compared to soil CO2 and N2O emissions. The soil N2O emissions exhibited a positive exponential relationship with soil moisture. Overall, the soil amendments reduced N2O emissions on average by 13%, 64%, 28%, and 37%, at the four soil moisture levels, respectively. Furthermore, the variation in N2O emissions between the amendments correlated positively with their liming effect. More specifically, the potential for the pulp sludge treatments to modulate N2O emissions was evident only in response to high water contents. This tendency to modulate N2O emissions was attributed to their capacity to increase soil pH and influence soil processes by persisting in the soil long after their application.</t>
  </si>
  <si>
    <t>[Peltokangas, Kenneth; Kalu, Subin; Pihlatie, Mari] Univ Helsinki, Dept Agr Sci, Helsinki, Finland; [Peltokangas, Kenneth; Heinonsalo, Jussi; Kulmala, Liisa; Liski, Jari] Finnish Meteorol Inst, Helsinki, Finland; [Peltokangas, Kenneth; Heinonsalo, Jussi; Kulmala, Liisa; Pihlatie, Mari] Univ Helsinki, Inst Atmospher &amp; Earth Syst Res INAR, Helsinki, Finland; [Kalu, Subin; Havisalmi, Jimi; Heinonsalo, Jussi; Karhu, Kristiina] Univ Helsinki, Dept Forest Sci, Helsinki, Finland; [Huusko, Karoliina; Heinonsalo, Jussi] Univ Helsinki, Dept Microbiol, Helsinki, Finland; [Heinonsalo, Jussi; Pihlatie, Mari] Univ Helsinki, Viikki Plant Sci Ctr ViPS, Dept Agr Sci, Helsinki, Finland; [Karhu, Kristiina] Univ Helsinki, Helsinki Inst Life Sci HiLIFE, Helsinki, Finland</t>
  </si>
  <si>
    <t>University of Helsinki; Finnish Meteorological Institute; University of Helsinki; University of Helsinki; Finland National Institute for Health &amp; Welfare; University of Helsinki; University of Helsinki; University of Helsinki</t>
  </si>
  <si>
    <t>Peltokangas, K (corresponding author), Univ Helsinki, Dept Agr Sci, Helsinki, Finland.;Peltokangas, K (corresponding author), Finnish Meteorol Inst, Helsinki, Finland.;Peltokangas, K (corresponding author), Univ Helsinki, Inst Atmospher &amp; Earth Syst Res INAR, Helsinki, Finland.</t>
  </si>
  <si>
    <t>kenneth.peltokangas@helsinki.fi</t>
  </si>
  <si>
    <t>Pihlatie, Mari/B-4651-2008; Liski, Jari/O-8494-2016; Karhu, Kristiina/F-8272-2012; Kulmala, Liisa/GVS-9237-2022; Kalu, Subin/NMJ-4078-2025</t>
  </si>
  <si>
    <t>Pihlatie, Mari/0000-0001-6035-3949; Peltokangas, Kenneth/0000-0002-8765-6939; Heinonsalo, Jussi/0000-0001-8516-1388; Kulmala, Liisa/0000-0003-1775-8240; Karhu, Kristiina/0000-0003-3101-4141; Kalu, Subin/0000-0003-4221-3701</t>
  </si>
  <si>
    <t>Academy of Finland [337549, 325549, 337552]; Academy of Finland [337549, 325549, 337552]; Strategic Research Council at the Academy of Finland [352436]; Business Finland [8391/31/2021]; European Research Council (ERC) under the European Union [757695]; Academy of Finland (AKA) [325549] Funding Source: Academy of Finland (AKA)</t>
  </si>
  <si>
    <t>Academy of Finland(Research Council of Finland); Academy of Finland(Research Council of Finland); Strategic Research Council at the Academy of Finland; Business Finland; European Research Council (ERC) under the European Union(European Research Council (ERC)); Academy of Finland (AKA)(Research Council of Finland)</t>
  </si>
  <si>
    <t>We gratefully acknowledge funding received from the Academy of Finland(grant number 337549, awarded to MP, JH, KP, and LK)(grant number 325549, awarded to LK)(grant number 337552 awarded to JL and LK), the Strategic Research Council at the Academy of Finland (decision 352431 awarded to JL, 352436 to JH), Business Finland (grant number 8391/31/2021, awarded to JL), and the European Research Council (ERC) under the European Union's Horizon 2020 research and innovation program (grant number 757695, awarded to MP). The funders had no role in study design, data collection and analysis, decision to publish, or preparation of the manuscript. Intensive an the tural ity source</t>
  </si>
  <si>
    <t>10.1371/journal.pone.0284092</t>
  </si>
  <si>
    <t>P6KJ0</t>
  </si>
  <si>
    <t>WOS:001051741800104</t>
  </si>
  <si>
    <t>Ramcharan, AM; Richard, TL</t>
  </si>
  <si>
    <t>Ramcharan, Amanda M.; Richard, Tom L.</t>
  </si>
  <si>
    <t>Carbon and nitrogen environmental trade-offs of winter rye cellulosic biomass in the Chesapeake Watershed</t>
  </si>
  <si>
    <t>Cellulosic bioenergy; Carbon nitrogen cycling; Double cropping systems; CO2eq emissions; Environmental impact; Water quality</t>
  </si>
  <si>
    <t>COVER CROPS; ORGANIC-MATTER; MODEL; LAND</t>
  </si>
  <si>
    <t>Cellulosic biomass from winter crops can complement maize stover harvested from maize (Zea mays L.) - soy-bean (Glycine max L.) rotations. In this study, we assessed on-field environmental impacts related to carbon (C) and nitrogen (N) by modeling representative agro-ecological conditions prevalent in the mid-Atlantic region of the United States. We used the biophysical model Cycles to simulate management scenarios for maize-soybean cropping systems that included winter rye (Secale cereale L.). The model was used to quantify changes in N losses via nitrate leaching (NO3), emissions of nitrous oxide (N2O) and ammonia (NH3), changes in soil organic carbon, and carbon dioxide equivalent emissions per megajoule (CO2eq MJ(-1)). Including winter rye in the rotation reduced NO3 leaching over a winter fallow control (77% on average), even when the winter rye was fertilized and regardless of whether stover, winter rye, or both cellulosic feedstocks were harvested. Applying fertilizer to winter rye did however increase NO3 leaching as well as NH3 and N2O emissions. Model results consistently showed fertilizing the winter rye improved both biomass yield and soil C levels compared to unfertilized winter rye, regardless of location, soil, fertilizer type or stover harvest. While it is difficult to simultaneously reduce agricultural nitrogen losses, produce renewable energy and increase soil carbon, results can guide management of these trade-offs while tapping into an abundant energy resource and reducing greenhouse gas emissions.</t>
  </si>
  <si>
    <t>[Ramcharan, Amanda M.] Penn State Univ, Dept Agr &amp; Biol Engn, 108 Res Bldg A, University Pk, PA 16802 USA; [Richard, Tom L.] Penn State Univ, Dept Agr &amp; Biol Engn, 132 Land &amp; Water Res Bldg, University Pk, PA 16802 USA</t>
  </si>
  <si>
    <t>Pennsylvania Commonwealth System of Higher Education (PCSHE); Pennsylvania State University; Pennsylvania State University - University Park; Pennsylvania Commonwealth System of Higher Education (PCSHE); Pennsylvania State University; Pennsylvania State University - University Park</t>
  </si>
  <si>
    <t>Richard, TL (corresponding author), Penn State Univ, Dept Agr &amp; Biol Engn, 132 Land &amp; Water Res Bldg, University Pk, PA 16802 USA.</t>
  </si>
  <si>
    <t>amr418@psu.edu; tlr20@engr.psu.edu</t>
  </si>
  <si>
    <t>; Richard, Tom/H-5058-2012</t>
  </si>
  <si>
    <t>Richard, Tom/0000-0002-0833-4844;</t>
  </si>
  <si>
    <t>Agriculture and Food Research Initiative Competitive Grant from the USDA National Institute of Food and Agriculture [2012-68005-19703]; NASA</t>
  </si>
  <si>
    <t>Agriculture and Food Research Initiative Competitive Grant from the USDA National Institute of Food and Agriculture; NASA(National Aeronautics &amp; Space Administration (NASA))</t>
  </si>
  <si>
    <t>The authors would like to acknowledge the contribution of Armen R. Kemanian for his help with the Cycles model and comments on the manuscript. This project was supported by Agriculture and Food Research Initiative Competitive Grant No. 2012-68005-19703 from the USDA National Institute of Food and Agriculture. Data were obtained from the NASA Langley Research Center POWER Project funded through the NASA Earth Science Directorate Applied Science Program.</t>
  </si>
  <si>
    <t>10.1016/j.agsy.2017.05.017</t>
  </si>
  <si>
    <t>FE1NJ</t>
  </si>
  <si>
    <t>WOS:000407984600009</t>
  </si>
  <si>
    <t>Zhang, TR; Wooster, MJ; Green, DC; Main, B</t>
  </si>
  <si>
    <t>Zhang, Tianran; Wooster, Martin J.; Green, David C.; Main, Bruce</t>
  </si>
  <si>
    <t>New field-based agricultural biomass burning trace gas, PM2.5, and black carbon emission ratios and factors measured in situ at crop residue fires in Eastern China</t>
  </si>
  <si>
    <t>Agricultural residue fires; Eastern China; Emission factor; Black carbon; FTIR; Biomass burning</t>
  </si>
  <si>
    <t>HAZE POLLUTION; ORGANIC-CARBON; PARTICLE-SIZE; WHEAT-STRAW; PARTICULATE; COMBUSTION; SAVANNA; SPECTROSCOPY; AEROSOLS; OPTIONS</t>
  </si>
  <si>
    <t>Despite policy attempts to limit or prevent agricultural burning, its use to remove crop residues either immediately after harvest (e.g. field burning of wheat stubble) or after subsequent crop processing (e.g. bonfires of rice straw and rapeseed residues) appears to remain widespread across parts of China. Emission factors for these types of small but highly numerous fire are therefore required to fully assess their impact on atmospheric composition and air pollution. Here we describe the design and deployment of a new smoke measurement system for the close-range sampling of key gases and particles within smoke from crop residue fires, using it to assess instantaneous mixing ratios of CO and CO2 and mass concentrations of black carbon (BC) and PM2.5 from wheat stubble, rice straw, and rapeseed residue fires. Using data of our new smoke sampling system, we find a strong linear correlation between the PM2.5 mass and BC, with very high PM2.5 to BC emission ratios found in the smouldering phase (up to 80.7 mg m(-3).(mg m(-3))(-1)) compared to the flaming phase (2.0 mg m(-3).(mg m(-3))(-1)). We conclude that the contribution of BC to PM2.5 mass was as high as 50% in the flaming phase of some burns, whilst during smouldering it sometimes decreased to little over one percent. A linear mixing model is used to quantify the relative contribution of each combustion phase to the overall measured smoke composition, and we find that flaming combustion dominated the total emission of most species assessed. Using time series of trace gas concentrations from different fire cases, we calculated 'fire integrated' trace gas emission factors (EFs) for wheat, rice and rapeseed residue burns as 1739 +/- 19 g kg(-1),1761 +/- 30 g kg(-1) and 1704 +/- 27 g kg(-1) respectively for CO2, and 60 +/- 12 g kg(-1), 47 +/- 19 g kg(-1) and 82 +/- 17 g kg(-1) respectively for CO. Where comparisons were possible, our EFs agreed well with those derived via a simultaneously-deployed open path Fourier transform infrared (OP-FTIR) spectrometer. These EFs, and the linear best fit relationships between both PM2.5 and BC mass and the CO2 and CO measurements, were used to generate particulate EFs, which varied over the 5.8 -20.3 g kg(-1) and 0.25-2.89 g kg(-1) range respectively. We note a particularly high 2.89 g kg(-1) BC emission factor for the rapeseed bonfires, reflective of intense flaming combustion that gave off visible clouds of soot. These field-measured EFs offer a different perspective than is obtained when burning in laboratory combustion chambers, and are suitable for combining with landscape-scale fuel consumption estimates to provide atmospheric modelling inputs of emissions from these types of crop residue fires. (C) 2015 The Authors. Published by Elsevier Ltd.</t>
  </si>
  <si>
    <t>[Zhang, Tianran; Wooster, Martin J.; Main, Bruce] Kings Coll London, Dept Geog, Earth &amp; Environm Dynam Res Grp, London WC2R 2LS, England; [Wooster, Martin J.] NERC Natl Ctr Earth Observat NCEO, Swindon, Wilts, England; [Green, David C.] Kings Coll London, Environm Res Grp, MRC PHE Ctr Environm &amp; Hlth, London SE1 9NH, England</t>
  </si>
  <si>
    <t>University of London; King's College London; University of London; King's College London</t>
  </si>
  <si>
    <t>Wooster, MJ (corresponding author), Kings Coll London, Dept Geog, Earth &amp; Environm Dynam Res Grp, London WC2R 2LS, England.</t>
  </si>
  <si>
    <t>martin.wooster@kcl.ac.uk</t>
  </si>
  <si>
    <t>Green, David/L-1228-2016</t>
  </si>
  <si>
    <t>Green, David/0000-0002-0695-4660; Wooster, Martin/0000-0001-6375-7949</t>
  </si>
  <si>
    <t>King's Graduate School - NERC National Centre for Earth Observation; NERC Grant [NE/J010502/1]; King's China Award; NERC [nceo020005, NE/J010502/1] Funding Source: UKRI; Natural Environment Research Council [NE/J010502/1, nceo020005] Funding Source: researchfish</t>
  </si>
  <si>
    <t>King's Graduate School - NERC National Centre for Earth Observation; NERC Grant(UK Research &amp; Innovation (UKRI)Natural Environment Research Council (NERC)); King's China Award; NERC(UK Research &amp; Innovation (UKRI)Natural Environment Research Council (NERC)); Natural Environment Research Council(UK Research &amp; Innovation (UKRI)Natural Environment Research Council (NERC))</t>
  </si>
  <si>
    <t>Within China we gratefully thank Mr. Wu and his family for their assistance, and Mr. Zhang and his family for aiding the fieldwork in Changzhou and Tong ling City. We thank Dr. Hefeng Zhang for his suggestions, and Dr Tarjda Roberts for very useful thoughts with regard to sensor use. We thank Dr John Saffell and Mr Wah On Ho of Alphasense Ltd for very helpful discussions. We acknowledge the King's China Award and King's Graduate School who funded T. Zhang. M Wooster is supported by the NERC National Centre for Earth Observation, and NERC Grant NE/J010502/1 funded the field component of this research.</t>
  </si>
  <si>
    <t>10.1016/j.atmosenv.2015.05.010</t>
  </si>
  <si>
    <t>CW1CM</t>
  </si>
  <si>
    <t>WOS:000364727200004</t>
  </si>
  <si>
    <t>Manter, DK; Moore, JM</t>
  </si>
  <si>
    <t>Manter, Daniel K.; Moore, Jennifer M.</t>
  </si>
  <si>
    <t>CaRPE: the Carbon Reduction Potential Evaluation tool for building climate mitigation scenarios on US agricultural lands</t>
  </si>
  <si>
    <t>DATABASE-THE JOURNAL OF BIOLOGICAL DATABASES AND CURATION</t>
  </si>
  <si>
    <t>NITROUS-OXIDE EMISSIONS</t>
  </si>
  <si>
    <t>The Carbon Reduction Potential Evaluation (CaRPE) tool is a web-based interactive tool that integrates two databases for the USA collected at county/multi-county scales to visualize and estimate the climate benefits of implementing a variety of conservation practices on croplands and grazing lands. The COMET-Planner tool provides county/multi-county carbon sequestration and greenhouse gas emission reduction coefficients associated with the adoption of climate-smart agricultural management practices. The CaRPE tool couples these coefficients, reported in tonnes of carbon dioxide equivalents (CO(2)e) per acre per year, with county-level cropland and grazing land acres extracted from the US Agricultural Census. The CaRPE graphical user interface allows users to quickly and easily build and export scenarios of new conservation practice adoption on desired acreages and locations at state, regional or national scales. Results are in tonnes CO(2)e per year, and each scenario can be exported in tabular and map formats at the selected scales. Existing county-level cropland acreage data provide the upper boundaries for acres of adoption and can be modified based on specific goals established by the user.The output may be used to develop potential targets of adoption and help inform decisions related to resource prioritization and planning efforts. In collaboration with local experts and farmer-led organizations, the results can provide a key starting block to prioritize practices and areas that contribute to climate benefits. As the underlying databases and models are updated and improved, CaRPE can be revised accordingly to increase accuracy and enhance applicability.</t>
  </si>
  <si>
    <t>[Manter, Daniel K.] Soil Management &amp; Sugarbeet Res Unit, USDA ARS, Ft Collins, CO 80526 USA; [Moore, Jennifer M.] Forage Seed &amp; Cereal Res Unit, USDA ARS, Corvallis, OR 97331 USA</t>
  </si>
  <si>
    <t>Manter, DK (corresponding author), Soil Management &amp; Sugarbeet Res Unit, USDA ARS, Ft Collins, CO 80526 USA.</t>
  </si>
  <si>
    <t>daniel.manter@usda.gov</t>
  </si>
  <si>
    <t>Manter, Daniel/0000-0001-7729-7197; Moore, Jennifer/0000-0001-5403-8184</t>
  </si>
  <si>
    <t>OXFORD UNIV PRESS</t>
  </si>
  <si>
    <t>GREAT CLARENDON ST, OXFORD OX2 6DP, ENGLAND</t>
  </si>
  <si>
    <t>1758-0463</t>
  </si>
  <si>
    <t>DATABASE-OXFORD</t>
  </si>
  <si>
    <t>Database</t>
  </si>
  <si>
    <t>DEC 14</t>
  </si>
  <si>
    <t>baac105</t>
  </si>
  <si>
    <t>10.1093/database/baac105</t>
  </si>
  <si>
    <t>Mathematical &amp; Computational Biology</t>
  </si>
  <si>
    <t>9C1MQ</t>
  </si>
  <si>
    <t>WOS:000935190300001</t>
  </si>
  <si>
    <t>Zhang, H; Tang, J; Liang, S; Li, ZY; Yang, P; Wang, JJ; Wang, SN</t>
  </si>
  <si>
    <t>Zhang, Hao; Tang, Jie; Liang, Shuang; Li, Zhaoyang; Yang, Ping; Wang, Jingjing; Wang, Sining</t>
  </si>
  <si>
    <t>The Emissions of Carbon Dioxide, Methane, and Nitrous Oxide during Winter without Cultivation in Local Saline-Alkali Rice and Maize Fields in Northeast China</t>
  </si>
  <si>
    <t>greenhouse gas; saline-alkali field; rice field; maize field; seasonal freeze-thaw</t>
  </si>
  <si>
    <t>SOIL MICROBIAL COMMUNITIES; CROP RESIDUE INCORPORATION; DISSOLVED ORGANIC-CARBON; GREENHOUSE-GAS EMISSIONS; FRESH-WATER MARSHES; SALT-AFFECTED SOILS; FREEZE-THAW CYCLES; N2O EMISSIONS; NITRIFICATION INHIBITOR; PADDY FIELDS</t>
  </si>
  <si>
    <t>Agricultural ecosystems are important contributors to atmospheric greenhouse gasses (GHGs); however, in situ winter emission data in saline-alkali fields are scarce. Gas samples were collected during different periods, from three rice (R1-R3) and three maize (M1-M3) fields with different soil pH levels and salinity conditions. Carbon dioxide (CO2) emissions in the rice and maize fields decreased with decreasing temperature during the freezing period and increased with the rising temperature during the thawing period, with the majority of winter CO2 emissions occurring during these two periods. Peaks in methane (CH4) emissions were observed during the freezing period in the rice fields and during the snow-melting period in the rice and maize fields. CH4 emissions in the rice fields and CH4 uptake rates in the maize fields were significantly (P &lt; 0.05) related to surface soil temperature. Nitrous oxide (N2O) emissions remained relatively low, except for during the peaks observed during the snow-melting period in both the rice and maize fields, leading to the high GHG contribution of the snow-melting period throughout the winter. Higher pH and salinity conditions consistently resulted in lower CO2, CH4, and N2O emissions, CH4 uptake, and lower global warming potential (GWP). These results can contribute to the assessment of the GWP during winter in saline-alkali regions.</t>
  </si>
  <si>
    <t>[Zhang, Hao; Tang, Jie] Jilin Univ, Key Lab Groundwater Resources &amp; Environm, Minist Educ, Changchun 130012, Jilin, Peoples R China; [Zhang, Hao; Tang, Jie; Li, Zhaoyang; Yang, Ping; Wang, Jingjing; Wang, Sining] Jilin Univ, Coll Environm &amp; Resources, Changchun 130012, Jilin, Peoples R China; [Liang, Shuang] Jilin Jianzhu Univ, Key Lab Songliao Aquat Environm, Minist Educ, Changchun 130118, Jilin, Peoples R China</t>
  </si>
  <si>
    <t>Jilin University; Jilin University; Jilin Jianzhu University</t>
  </si>
  <si>
    <t>Tang, J (corresponding author), Jilin Univ, Key Lab Groundwater Resources &amp; Environm, Minist Educ, Changchun 130012, Jilin, Peoples R China.;Tang, J (corresponding author), Jilin Univ, Coll Environm &amp; Resources, Changchun 130012, Jilin, Peoples R China.;Liang, S (corresponding author), Jilin Jianzhu Univ, Key Lab Songliao Aquat Environm, Minist Educ, Changchun 130118, Jilin, Peoples R China.</t>
  </si>
  <si>
    <t>zhao14@mails.jlu.edu.cn; tangjie@jlu.edu.cn; liangshuang13@mails.jlu.edu.cn; zhaoyang@jlu.edu.cn; zhaoyang@jlu.edu.cn; jingjing16@mails.jlu.edu.cn; ronggz15@mails.jlu.edu.cn</t>
  </si>
  <si>
    <t>tang, jie/KIE-8633-2024; liang, shuang/JOK-5869-2023</t>
  </si>
  <si>
    <t>Foundation of National Natural Science Foundation of China [51179073, 41471152]</t>
  </si>
  <si>
    <t>Foundation of National Natural Science Foundation of China(National Natural Science Foundation of China (NSFC))</t>
  </si>
  <si>
    <t>We gratefully acknowledge the Foundation of National Natural Science Foundation of China under Grant (51179073, 41471152).</t>
  </si>
  <si>
    <t>10.3390/su9101916</t>
  </si>
  <si>
    <t>FM3HW</t>
  </si>
  <si>
    <t>WOS:000414896200241</t>
  </si>
  <si>
    <t>Jiang, MJ; Hu, XJ; Chunga, J; Lin, ZY; Fei, RL</t>
  </si>
  <si>
    <t>Jiang, Minjie; Hu, Xinjie; Chunga, Joseph; Lin, Ziyi; Fei, Rilong</t>
  </si>
  <si>
    <t>Does the popularization of agricultural mechanization improve energy-environment performance in China's agricultural sector?</t>
  </si>
  <si>
    <t>Agriculture; Agricultural mechanization; Energy-environment performance; Global DEA</t>
  </si>
  <si>
    <t>CO2 EMISSIONS PERFORMANCE; EMPIRICAL-EVIDENCE; CARBON EMISSIONS; ECONOMIC-GROWTH; META-FRONTIER; EFFICIENCY; POLICY; IMPACTS; WATER</t>
  </si>
  <si>
    <t>Environmental problems caused by the rapid popularization of agricultural mechanization and the increase of energy input in China's agricultural production have caused increasing concern. Based on the study sample of China's 30 provinces from 2000 to 2017, this paper estimates the energy-environment performance of agricultural sector using the global DEA method. Furthermore, it applied a panel TOBIT model based on censored data to empirically analyze the impact of popularization of mechanization on energy-environment performance in China's agricultural sector. The main findings are as follows: Firstly, the mean value of energy-environment performance is 0.1842, and the values of national and regional performance showed a downward trend in the sample period, indicating that most regions in China's agricultural sector did not perform well in terms of energy saving and pollution control. Secondly, the development of agricultural mechanization has a significant negative effect on energy-environment performance. This result confirms the fact that the regions with high penetration rates of agricultural mechanization usually have a low energy-environment performance. Finally, in regard to the control variables, energy price, reservoir infrastructure construction and agricultural industrial structure negatively affect energy-environment performance, while the agricultural labor force and agricultural mechanization service organizations have a positive effect on China's energy-environment performance. (C) 2020 Elsevier Ltd. All rights reserved.</t>
  </si>
  <si>
    <t>[Jiang, Minjie; Hu, Xinjie; Chunga, Joseph; Lin, Ziyi; Fei, Rilong] Wuhan Univ Technol, Sch Econ, Wuhan 430070, Hubei, Peoples R China</t>
  </si>
  <si>
    <t>Wuhan University of Technology</t>
  </si>
  <si>
    <t>Fei, RL (corresponding author), Wuhan Univ Technol, Sch Econ, Wuhan 430070, Hubei, Peoples R China.</t>
  </si>
  <si>
    <t>rilong0787@whut.edu.cn</t>
  </si>
  <si>
    <t>Fei, Rilong/AAM-5905-2021; Chunga, Joseph/KOC-9051-2024</t>
  </si>
  <si>
    <t>, 逍遥九少/0000-0002-8828-6108</t>
  </si>
  <si>
    <t>Fundamental Research Funds for the Central Universities, China [2019VI020, 2019III185]</t>
  </si>
  <si>
    <t>Fundamental Research Funds for the Central Universities, China(Fundamental Research Funds for the Central Universities)</t>
  </si>
  <si>
    <t>The authors are indebted to the anonymous referees and the editors for their valuable and constructive suggestions. The research was supported by the Fundamental Research Funds for the Central Universities, China (No. 2019VI020, 2019III185).</t>
  </si>
  <si>
    <t>DEC 10</t>
  </si>
  <si>
    <t>10.1016/j.jclepro.2020.124210</t>
  </si>
  <si>
    <t>OC9UG</t>
  </si>
  <si>
    <t>WOS:000579500800181</t>
  </si>
  <si>
    <t>Liu, H; Liu, JW; Li, Q</t>
  </si>
  <si>
    <t>Liu, Hui; Liu, Jiwei; Li, Qun</t>
  </si>
  <si>
    <t>Asymmetric Effects of Economic Development, Agroforestry Development, Energy Consumption, and Population Size on CO2 Emissions in China</t>
  </si>
  <si>
    <t>CO2 emissions; agroforestry development; economic development; population size; energy consumption</t>
  </si>
  <si>
    <t>RENEWABLE ENERGY; SUSTAINABILITY; AGRICULTURE; POLICY</t>
  </si>
  <si>
    <t>The COVID-19 epidemic and the Russian-Ukrainian conflict have led to a global food and energy crisis, making the world aware of the importance of agroforestry development for a country. Modern agriculture mechanization leads to massive energy consumption and increased CO2 emissions. At the same time, China is facing serious demographic problems and a lack of consumption in the domestic market. The Chinese government is faced with the dilemma of balancing environmental protection with economic development in the context of the double carbon strategy. This article uses annual World Bank statistics from 1990 to 2020 to study the asymmetric relationships between agroforestry development, energy consumption, population size, and economic development on CO2 emissions in China using the partial least squares path model (PLS-PM), the autoregressive VAR vector time series model, and the Granger causality test. The results are as follows: (1) The relationship between economic development and carbon dioxide emissions, agroforestry development and carbon dioxide emissions, energy consumption and carbon dioxide emissions, and population size and carbon dioxide emissions are both direct and indirect, with an overall significant positive effect. There is a direct negative relationship between population size and carbon dioxide emissions. (2) The results of the Granger causality test show that economic development, energy consumption, and CO2 emissions are the causes of the development of agroforestry; economic development, agroforestry development, population size, and CO2 emissions are the causes of energy consumption; energy consumption is the cause of economic development and CO2 emissions; and agroforestry development is the cause of population size and energy consumption. (3) In the next three years, China's agroforestry development will be influenced by the impulse response of economic development, energy consumption, and CO2 emission factors, showing a decreasing development trend. China's energy consumption will be influenced by the impulse response of economic development, agroforestry development, population size, and CO2 emission factors, showing a decreasing development trend, followed by an increasing development trend. China's CO2 emission will be influenced by the impulse response of energy consumption and agroforestry development. China's CO2 emissions will be influenced by the impulse response of energy consumption and agroforestry development factors, showing a downward and then an upward development trend.</t>
  </si>
  <si>
    <t>[Liu, Hui] Nanjing Forestry Univ, Sch Econ &amp; Management, Nanjing 210037, Peoples R China; [Liu, Hui] Nanjing Forestry Univ, Inst Ecol Civilizat Construct &amp; Forestry Dev Chin, Nanjing 210037, Peoples R China; [Liu, Jiwei; Li, Qun] Univ Chinese Acad Social Sci, Sch Appl Econ, Beijing 102488, Peoples R China; [Li, Qun] China ECO Dev Assoc, Inst Ecol Dev, Beijing 100013, Peoples R China</t>
  </si>
  <si>
    <t>Nanjing Forestry University; Nanjing Forestry University; Chinese Academy of Social Sciences; University of Chinese Academy of Social Sciences</t>
  </si>
  <si>
    <t>Liu, JW (corresponding author), Univ Chinese Acad Social Sci, Sch Appl Econ, Beijing 102488, Peoples R China.</t>
  </si>
  <si>
    <t>nlzhiku@njfu.edu.cn; liujiwei@ucass.edu.cn; liqun@cass.org.cn</t>
  </si>
  <si>
    <t>LIU, HUI/GOJ-8155-2022</t>
  </si>
  <si>
    <t>LIU, HUI/0000-0002-0378-2701</t>
  </si>
  <si>
    <t>National Social Science Foundation of China [21ZD081, 21ZDA014]</t>
  </si>
  <si>
    <t>National Social Science Foundation of China(National Office of Philosophy and Social Sciences)</t>
  </si>
  <si>
    <t>National Social Science Foundation of China (21ZD081 and 21ZDA014).</t>
  </si>
  <si>
    <t>10.3390/su14127144</t>
  </si>
  <si>
    <t>2L2EJ</t>
  </si>
  <si>
    <t>WOS:000816832800001</t>
  </si>
  <si>
    <t>Manka'abusi, D; Lompo, DJP; Steiner, C; Ingold, M; Akoto-Danso, EK; Werner, S; Häring, V; Nyarko, G; Marschner, B; Buerkert, A</t>
  </si>
  <si>
    <t>Manka'abusi, Delphine; Lompo, Desire J. P.; Steiner, Christoph; Ingold, Mariko; Akoto-Danso, Edmund Kyei; Werner, Steffen; Haering, Volker; Nyarko, George; Marschner, Bernd; Buerkert, Andreas</t>
  </si>
  <si>
    <t>Carbon dioxide and gaseous nitrogen emissions from biochar-amended soils under wastewater irrigated urban vegetable production of Burkina Faso and Ghana</t>
  </si>
  <si>
    <t>ammonia volatilization; biochar; carbon dioxide emissions; inorganic N fertilization; urban agriculture; wastewater irrigation</t>
  </si>
  <si>
    <t>GREENHOUSE-GAS EMISSIONS; SANDY LOAM SOIL; OXIDE EMISSIONS; AFRICA SYNTHESIS; AMMONIA VOLATILIZATION; CHEMICAL-PROPERTIES; AGRICULTURAL SOILS; MICROBIAL ACTIVITY; ORGANIC-CARBON; N2O</t>
  </si>
  <si>
    <t>To quantify carbon (C) and nitrogen (N) losses in soils of West African urban and peri-urban agriculture (UPA) we measured fluxes of CO2-C, N2O-N, and NH3-N from irrigated fields in Ouagadougou, Burkina Faso, and Tamale, Ghana, under different fertilization and (waste-)water regimes. Compared with the unamended control, application of fertilizers increased average cumulative CO2-C emissions during eight cropping cycles in Ouagadougou by 103% and during seven cropping cycles in Tamale by 42%. Calculated total emissions measured across all cropping cycles reached 14 t C ha(-1)in Ouagadougou, accounting for 73% of the C applied as organic fertilizer over a period of two years at this site, and 9 t C ha(-1)in Tamale. Compared with unamended control plots, fertilizer application increased N2O-N emissions in Ouagadougou during different cropping cycles, ranging from 37 to 360%, while average NH3-N losses increased by 670%. Fertilizer application had no significant effects on N2O-N losses in Tamale. While wastewater irrigation did not significantly enhance CO2-C emissions in Ouagadougou, average CO2-C emissions in Tamale were 71% (1.6 t C ha(-1)) higher on wastewater plots compared with those of the control (0.9 t C ha(-1)). However, no significant effects of wastewater on N2O-N and NH3-N emissions were observed at either location. Although biochar did not affect N2O-N and NH3-N losses, the addition of biochar could contribute to reducing CO2-C emissions from urban garden soils. When related to crop production, CO2-C emissions were higher on control than on fertilized plots, but this was not the case for absolute CO2-C emissions.</t>
  </si>
  <si>
    <t>[Manka'abusi, Delphine; Steiner, Christoph; Ingold, Mariko; Akoto-Danso, Edmund Kyei; Buerkert, Andreas] Univ Kassel, Organ Plant Prod &amp; Agroecosyst Res Trop &amp; Subtrop, D-37213 Witzenhausen, Germany; [Manka'abusi, Delphine; Werner, Steffen; Haering, Volker; Marschner, Bernd] Ruhr Univ Bochum, Inst Geog Soil Sci &amp; Soil Ecol, D-44780 Bochum, Germany; [Lompo, Desire J. P.] Univ Dedougou, BP 176, Dedougou, Burkina Faso; [Nyarko, George] Univ Dev Studies, Fac Agr, POB TL 1350, Tamale, Ghana</t>
  </si>
  <si>
    <t>tropcrops@uni-kassel.de</t>
  </si>
  <si>
    <t>Marschner, Bernd/X-3498-2018; Steiner, Christoph/OUH-8622-2025</t>
  </si>
  <si>
    <t>This work was conducted within the UrbanFoodPlus Project, funded by the German Federal Ministry of Education and Research (BMBF) and the German Federal Ministry for Economic Cooperation and Development (BMZ) under the initiative GlobE-Research for the Global Food Supply, grant number 031A242-A,B. The support of the German Academic Exchange Service (DAAD) by a scholarship to the first author is gratefully acknowledged. We thank Kofi Atiah for producing the biochar, and our field assistants and technician Abdul-Kadiri Amadou, Tani Napagou, and Bernard Nassouri as well as the farmers involved in this study for their effective help during the field work. This study would not have been possible without the infrastructural and logistic support of dedicated staff at Institut de l'Environnement et de Recherches Agricoles (INERA), Ouagadougo, Burkina Faso and the University for Development Studies (UDS), Tamale, Ghana. The authors are also thankful for the comments of three anonymous reviewers which greatly enhanced the quality of this paper.</t>
  </si>
  <si>
    <t>10.1002/jpln.201900183</t>
  </si>
  <si>
    <t>MV0EU</t>
  </si>
  <si>
    <t>WOS:000545549000001</t>
  </si>
  <si>
    <t>Yan, ZY; Tan, MH</t>
  </si>
  <si>
    <t>Yan, Ziyan; Tan, Minghong</t>
  </si>
  <si>
    <t>Effect of cropland withdrawal on soil organic carbon in China, 1990-2018</t>
  </si>
  <si>
    <t>agricultural regions; China; cropland withdrawal; regional differences; soil organic carbon</t>
  </si>
  <si>
    <t>LAND-USE CHANGE; FOR-GREEN PROGRAM; MOUNTAINOUS AREAS; LOESS PLATEAU; FARMLAND; SEQUESTRATION; STOCKS; PATTERNS; CONVERSION; STORAGE</t>
  </si>
  <si>
    <t>Soil organic carbon (SOC) is one of the most important soil attributes responsible for the sustainable maintenance of soil quality. In recent years, cropland withdrawal (CWD) (i.e., conversion into natural landscapes) in China has become a remarkable phenomenon of land use changes, driven by the spontaneous cropland abandonment by rural households and government-led conversion of cropland to forest and grassland. The CWD may affect SOC content and storage in China. Therefore, this study estimated the variation in SOC caused by CWD between 1990 and 2018 based on the grid data of land use and soil organic matter (SOM). The results showed that CWD had a significant effect on SOC. (1) From 1990 to 2018, the total area of CWD was about 358 x 10(3) km(2), an area that represented about 20% of the total area of cropland in China in 1990. In addition, within the total area of CWD, the proportions represented by the conversion of cropland to forest and grassland were the highest, reaching 58% and 39%, respectively. The former was mainly distributed in the southern part of China, especially in the southwestern mountainous area. The latter was largely concentrated in the northern part of China, especially in the Loess Plateau; (2) From 1990 to 2018, the average SOC content of CWD increased by about 10%, representing an increase of 193 Tg in soil organic carbon storage (SOCS). This is equivalent to six times the carbon emissions from agricultural land in China in 2019; (3) Among eight agricultural regions in China, the middle-lower Yangtze Plain had the largest area of CWD, which accounted for 19.9% of the total CWD of the whole country.</t>
  </si>
  <si>
    <t>[Yan, Ziyan; Tan, Minghong] Chinese Acad Sci, Inst Geog Sci &amp; Nat Resources Res, Key Lab Land Surface Pattern &amp; Simulat, Beijing, Peoples R China; [Yan, Ziyan; Tan, Minghong] Univ Chinese Acad Sci, Coll Resources &amp; Environm, Beijing, Peoples R China; [Tan, Minghong] Chinese Acad Sci, Inst Geog Sci &amp; Nat Resources Res, Key Lab Land Surface Pattern &amp; Simulat, Beijing 100101, Peoples R China</t>
  </si>
  <si>
    <t>Chinese Academy of Sciences; Institute of Geographic Sciences &amp; Natural Resources Research, CAS; Chinese Academy of Sciences; University of Chinese Academy of Sciences, CAS; Chinese Academy of Sciences; Institute of Geographic Sciences &amp; Natural Resources Research, CAS</t>
  </si>
  <si>
    <t>Tan, MH (corresponding author), Chinese Acad Sci, Inst Geog Sci &amp; Nat Resources Res, Key Lab Land Surface Pattern &amp; Simulat, Beijing 100101, Peoples R China.</t>
  </si>
  <si>
    <t>tanmh@igsnrr.ac.cn</t>
  </si>
  <si>
    <t>Tan, Minghong/0000-0002-4945-7744</t>
  </si>
  <si>
    <t>Third Xinjiang Scientific Expedition Program; [2021xjkk0900]</t>
  </si>
  <si>
    <t>Third Xinjiang Scientific Expedition Program;</t>
  </si>
  <si>
    <t>ACKNOWLEDGEMENTS This work was supported by the Third Xinjiang Scientific Expedition Program (2021xjkk0900).</t>
  </si>
  <si>
    <t>10.1002/ldr.4574</t>
  </si>
  <si>
    <t>JAN 2023</t>
  </si>
  <si>
    <t>D6IU7</t>
  </si>
  <si>
    <t>WOS:000907851800001</t>
  </si>
  <si>
    <t>Koster, K; Stafleu, J; Cohen, KM; Stouthamer, E; Busschers, FS; Middelkoop, H</t>
  </si>
  <si>
    <t>Koster, K.; Stafleu, J.; Cohen, K. M.; Stouthamer, E.; Busschers, F. S.; Middelkoop, H.</t>
  </si>
  <si>
    <t>Three-dimensional distribution of organic matter in coastal-deltaic peat: Implications for subsidence and carbon dioxide emissions by human-induced peat oxidation</t>
  </si>
  <si>
    <t>ANTHROPOCENE</t>
  </si>
  <si>
    <t>Human induced peat oxidation; Coastal-deltaic plain; Holocene peat; Land subsidence; CO2 emissions</t>
  </si>
  <si>
    <t>RHINE-MEUSE DELTA; SEA-LEVEL RISE; HOLOCENE; SEDIMENT; NETHERLANDS; COMPACTION; PEATLANDS; EVOLUTION; AVULSION; DRAINAGE</t>
  </si>
  <si>
    <t>Human-induced groundwaterlevellowering in the Holocenecoastal-deltaic plain of the Netherlands causes oxidation of peat organic matter, resulting in land subsidence and carbon dioxide (CO2) emissions. Here, a three-dimensional (3D) analysis of the distribution of the remaining peat organic matter is presented, to quantify the potential of this area to further subsidence and CO2 emissions by oxidation. Hereto, we established relations between dry mass ratios of organic matter and sediment in peat formed in different environmental settings. This was combined with a high-resolution 3D geological model of the subsurface of the Netherlands to map the proportions of organic matter, clastic sediment and void space in peat. The 3D model indicates that c. 15 km(3) of Holocene peat is embedded in the coastal-deltaic plain subsurface, of which c. 1.5 km(3) consists of organic matter, 0.4 km(3) of sediment, and 13.1 km(3) of void space. During future human-induced oxidation, this peat has a volumetric loss potential of 14.6 km(3), responsible for locally 0.4-6.0 m of subsidence, and a CO2 emission of 2.0 Gton. The 3D modelling revealed that the amount of peat organic matter varies considerably between regions. Especially the subsurface of urban areas overlying back-barrier peat were identified as hot-spots accommodating the highest quantities of peat organic matter. The peat in agricultural areas contains less organic matter but is more prone to oxidation than peat underlying urban areas, because in the latter settings anthropogenic brought-up soil restricts oxidation. Future mitigation strategies should therefore focus on restricting peat oxidation in the agricultural areas of the coastal-deltaic plain. (C) 2018 Elsevier Ltd. All rights reserved.</t>
  </si>
  <si>
    <t>[Koster, K.; Cohen, K. M.; Stouthamer, E.; Middelkoop, H.] Univ Utrecht, Dept Phys Geog, Utrecht, Netherlands; [Stafleu, J.; Cohen, K. M.; Busschers, F. S.] TNO Geol Survey Netherlands, Utrecht, Netherlands; [Cohen, K. M.] Deltares, Dept Appl Geol &amp; Geophys, Utrecht, Netherlands</t>
  </si>
  <si>
    <t>Utrecht University; Netherlands Organization Applied Science Research; Deltares</t>
  </si>
  <si>
    <t>Koster, K (corresponding author), Princetonlaan 6, NL-3584 CB Utrecht, Netherlands.</t>
  </si>
  <si>
    <t>kay.koster@tno.nl</t>
  </si>
  <si>
    <t>Busschers, Freek/HLQ-6717-2023; Cohen, Kim/B-5831-2008; Middelkoop, Hans/C-5249-2012</t>
  </si>
  <si>
    <t>Cohen, Kim/0000-0002-0095-3990; Stafleu, Jan/0000-0002-7402-1520;</t>
  </si>
  <si>
    <t>TNO-GSN; Utrecht University</t>
  </si>
  <si>
    <t>This paper is part of the PhD study of KK, financed by TNO-GSN and Utrecht University. We thank Sanneke van Asselen, Harm Jan Pierik, and Gilles Erkens of UU, for kindly sharing their LOI datasets, and Ronald Harting of TNO-GSN for querying the TGA dataset. This manuscript benefitted greatly from comments by two anonymous reviewers.</t>
  </si>
  <si>
    <t>2213-3054</t>
  </si>
  <si>
    <t>Anthropocene</t>
  </si>
  <si>
    <t>10.1016/j.ancene.2018.03.001</t>
  </si>
  <si>
    <t>Environmental Sciences; Geography, Physical; Geosciences, Multidisciplinary</t>
  </si>
  <si>
    <t>Environmental Sciences &amp; Ecology; Physical Geography; Geology</t>
  </si>
  <si>
    <t>GL2IA</t>
  </si>
  <si>
    <t>WOS:000436942000001</t>
  </si>
  <si>
    <t>Gao, XD; Fan, MJ</t>
  </si>
  <si>
    <t>Gao, Xudong; Fan, Mingjun</t>
  </si>
  <si>
    <t>The effect of income inequality and economic growth on carbon dioxide emission</t>
  </si>
  <si>
    <t>Income inequality; Economic growth; Agriculture value added; Manufacture value added; Service value added; Environmental Kuznets curve</t>
  </si>
  <si>
    <t>RENEWABLE ENERGY-CONSUMPTION; ENVIRONMENTAL KUZNETS CURVE; FINANCIAL DEVELOPMENT; EKC HYPOTHESIS; CO2 EMISSIONS; AGRICULTURE; URBANIZATION; TRADE</t>
  </si>
  <si>
    <t>Most of the developing and emerging countries are focusing to increase economic growth, enhance the living standard of the people, and reduce income inequality. Increasing economic growth through the factors such as agriculture, energy use for production, and other related activities can harm the environment. Considering this situation, this study utilizes data from the Belt and Road Initiative countries for the period of 1999 and 2018 to explore the nexus between income inequality, agricultural value added, and carbon dioxide using two-step system GMM model. The findings of the study indicate that income inequality, economic growth, energy consumption, and agriculture significantly contribute to an increase in carbon emissions and a decrease in environmental quality. On the other hand, the findings also indicate that manufacturing and service industries significantly contribute to an improvement in environmental quality by reducing carbon emissions. The findings lend even more credence to the environmental Kuznets curve, but the results do not indicate that there is a strong relationship between income inequality and economic growth. The outcomes of this study have crucial policy implications for the sample countries to build environmental regulations.</t>
  </si>
  <si>
    <t>[Gao, Xudong] Shenzhen Univ, China Ctr Special Econ Zone Res, Shenzhen 518060, Peoples R China; [Fan, Mingjun] Jilin Univ, Northeast Asian Studies Coll, Changchun 130012, Peoples R China</t>
  </si>
  <si>
    <t>Shenzhen University; Jilin University</t>
  </si>
  <si>
    <t>Fan, MJ (corresponding author), Jilin Univ, Northeast Asian Studies Coll, Changchun 130012, Peoples R China.</t>
  </si>
  <si>
    <t>fanmj18@mails.jlu.edu.cn; gaoxd@szu.edu.cn</t>
  </si>
  <si>
    <t>Fan, Mingjun/0000-0002-2115-1858; Gao, Xudong/0000-0002-2815-1156</t>
  </si>
  <si>
    <t>10.1007/s11356-023-27009-x</t>
  </si>
  <si>
    <t>S2EB5</t>
  </si>
  <si>
    <t>WOS:000985272900007</t>
  </si>
  <si>
    <t>Hu, GQ; Xu, H; Wang, ZY; Xie, GN; Lv, Y; He, YJ; Zhang, HR; Zhang, XJ; Lei, BF</t>
  </si>
  <si>
    <t>Hu, Guangqi; Xu, Hong; Wang, Ziyi; Xie, Gening; Lv, Yang; He, Yingji; Zhang, Haoran; Zhang, Xuejue; Lei, Bingfu</t>
  </si>
  <si>
    <t>Silanized carbon quantum dots assembled porous glass and its luminescent properties</t>
  </si>
  <si>
    <t>Silanized carbon quantum dots; Nano-porous glass; Luminescence properties; Photo-stability</t>
  </si>
  <si>
    <t>SILICON; PHOTOSYNTHESIS; NANOPARTICLES</t>
  </si>
  <si>
    <t>In this paper, the silanized carbon quantum dots (Si CQDs) were assembled into nano-porous glass (NPG) by solution ultrasonic method. The morphology, structure, elementary composition, luminescence properties, water-resistance and anti-ultraviolet properties were systematically studied. Concentration quenching occurs when the Si CQDs doping content exceeds 7.73 mg/g. It is found that nano-porous glass matrix can effectively disperse and protect the Si CQDs, which realizes the luminescence of Si CQDs in solid state and enhances the fluorescence emission intensity of Si CQDs. In addition, the spatial confinement effect of nano-channels in Si CQDs/NPG composites makes it obtain excellent water-resistance. At the same time, the composites show better photo-stability under continuous UV irradiation. The above results provide a basis for its application in agricultural light conversion films.</t>
  </si>
  <si>
    <t>[Hu, Guangqi; Lv, Yang; He, Yingji; Lei, Bingfu] Guangdong Polytech Normal Univ, Coll Photoelect Engn, Guangzhou 510665, Peoples R China; [Hu, Guangqi; Xu, Hong; Wang, Ziyi; Xie, Gening; Zhang, Haoran; Zhang, Xuejue; Lei, Bingfu] South China Agr Univ, Coll Mat &amp; Energy, Guangdong Prov Engn Technol Res Ctr Opt Agr, Key Lab Biobased Mat &amp; Energy,Minist Educ, Guangzhou 510642, Peoples R China</t>
  </si>
  <si>
    <t>Guangdong Polytechnic Normal University; South China Agricultural University</t>
  </si>
  <si>
    <t>Lei, BF (corresponding author), Guangdong Polytech Normal Univ, Coll Photoelect Engn, Guangzhou 510665, Peoples R China.</t>
  </si>
  <si>
    <t>tleibf@scau.edu.cn</t>
  </si>
  <si>
    <t>Lei, Bingfu/B-4421-2014; Xu, Hong/LFP-8723-2024; Bingfu, Lei/B-4421-2014</t>
  </si>
  <si>
    <t>Bingfu, Lei/0000-0002-6634-0388</t>
  </si>
  <si>
    <t>Guangdong Provincial Special Fund for Modern Agriculture Industry Technology Innovation Teams [2023KJ122]; Project of GDUPS; National Undergraduate Innovation and Entrepreneurship Training Program [201910564035]</t>
  </si>
  <si>
    <t>Guangdong Provincial Special Fund for Modern Agriculture Industry Technology Innovation Teams; Project of GDUPS; National Undergraduate Innovation and Entrepreneurship Training Program</t>
  </si>
  <si>
    <t>The work was supported from the Guangdong Provincial Special Fund for Modern Agriculture Industry Technology Innovation Teams (No. 2023KJ122) , the Project of GDUPS (2018) for Prof. Bingfu LEI, and the National Undergraduate Innovation and Entrepreneurship Training Program (No. 201910564035) .</t>
  </si>
  <si>
    <t>10.1016/j.materresbull.2024.112698</t>
  </si>
  <si>
    <t>IX7J8</t>
  </si>
  <si>
    <t>WOS:001169701400001</t>
  </si>
  <si>
    <t>Becker, AE; Horowitz, LS; Ruark, MD; Jackson, RD</t>
  </si>
  <si>
    <t>Becker, Ashley E.; Horowitz, Leah S.; Ruark, Matthew D.; Jackson, Randall D.</t>
  </si>
  <si>
    <t>Surface-soil carbon stocks greater under well-managed grazed pasture than row crops</t>
  </si>
  <si>
    <t>ORGANIC-CARBON; GRAZING INTENSITY; IMPACTS; STORAGE; SEQUESTRATION; NITROGEN; ECOSYSTEMS; GRASSLANDS; INDICATORS; MOLLISOLS</t>
  </si>
  <si>
    <t>Under the intensifying effects of climate change, agricultural practices that increase soil organic C (SOC) provide an opportunity to offset greenhouse gas emissions. Grazed pasture has the potential to increase SOC, but knowledge gaps remain about the effects of grazing frequency and intensity on SOC pools. We explored SOC quantity and quality in paired pastures and row crops and across grazing management gradients in southern and central Wisconsin. On average, pastures had 12.41 Mg ha(-1) more SOC in surface soils (0-15 cm) than their row crop counterparts, but were not different in subsurface soils (15-30 cm). Soil organic C was inversely correlated with grazing frequency (i.e., rest period) but no correlation with grazing intensity (i.e., residual height) was observed. Less stable particulate organic matter-C (POM-C) was correlated with grazing frequency and intensity in the same way as SOC, whereas more stable mineral-associated organic matter-C was not correlated with either grazing management parameter. Sol organic C and POM-C increased linearly with pasture age (similar to 32 g C m(-2) yr(-1)). Well-managed grazing on cool-season perennial pastures with undisturbed soils offers the best agricultural opportunity for helping to mitigate climate change via SOC sequestration.</t>
  </si>
  <si>
    <t>[Becker, Ashley E.; Horowitz, Leah S.; Jackson, Randall D.] Univ Wisconsin, Nelson Inst Environm Studies, Madison, WI 53706 USA; [Horowitz, Leah S.] Univ Wisconsin, Dept Civil Soc &amp; Community Studies, Madison, WI 53706 USA; [Ruark, Matthew D.] Univ Wisconsin, Dept Soil Sci, Madison, WI 53706 USA; [Jackson, Randall D.] Univ Wisconsin, Dept Agron, 1575 Linden Dr, Madison, WI 53706 USA</t>
  </si>
  <si>
    <t>University of Wisconsin System; University of Wisconsin Madison; University of Wisconsin System; University of Wisconsin Madison; University of Wisconsin System; University of Wisconsin Madison; University of Wisconsin System; University of Wisconsin Madison</t>
  </si>
  <si>
    <t>Becker, AE (corresponding author), Univ Wisconsin, Nelson Inst Environm Studies, Madison, WI 53706 USA.</t>
  </si>
  <si>
    <t>aebecker4@wisc.edu</t>
  </si>
  <si>
    <t>Horowitz, Leah/HIR-4045-2022; Jackson, Randall/AAE-5573-2022; Becker, Ashley/KMY-6663-2024</t>
  </si>
  <si>
    <t>Ruark, Matthew/0000-0002-8678-6133; Horowitz, Leah/0000-0003-3287-5891; Jackson, Randall/0000-0002-8033-1250</t>
  </si>
  <si>
    <t>USDA Hatch Grant [WIS03057]; USDA National Institute of Food and Agriculture Sustainable Agriculture Systems Coordinated Agricultural Program [2019-68012-29852]; UW-Madison Center for Integrated Agricultural Systems (CIAS); Single Step Foundation</t>
  </si>
  <si>
    <t>USDA Hatch Grant; USDA National Institute of Food and Agriculture Sustainable Agriculture Systems Coordinated Agricultural Program; UW-Madison Center for Integrated Agricultural Systems (CIAS); Single Step Foundation</t>
  </si>
  <si>
    <t>Thanks to Gregg Sanford and Harry Read for input on methodology, Maggie Phillips for help with lab analyses, Isabella Tondi for soil processing and transcription assistance, Shea Tillotson for transcription assistance, and all participating Wisconsin farmers for partnering in this research. Thanks to Ron Schoepp for inspiring this work with a tour of his family farm and continued conversations. This work was supported by a USDA Hatch Grant (WIS03057) and the USDA National Institute of Food and Agriculture Sustainable Agriculture Systems Coordinated Agricultural Program (2019-68012-29852). This project was also funded in part by the UW-Madison Center for Integrated Agricultural Systems (CIAS) and the Single Step Foundation.</t>
  </si>
  <si>
    <t>10.1002/saj2.20388</t>
  </si>
  <si>
    <t>1J6VV</t>
  </si>
  <si>
    <t>WOS:000771549700001</t>
  </si>
  <si>
    <t>Ni, JQ; Liu, S; Diehl, CA; Lim, TT; Bogan, BW; Chen, L; Chai, L; Wang, KY; Heber, AJ</t>
  </si>
  <si>
    <t>Ni, Ji-Qin; Liu, Shule; Diehl, Claude A.; Lim, Teng-Teeh; Bogan, Bill W.; Chen, Lide; Chai, Lilong; Wang, Kaiying; Heber, Albert J.</t>
  </si>
  <si>
    <t>Emission factors and characteristics of ammonia, hydrogen sulfide, carbon dioxide, and particulate matter at two high-rise layer hen houses</t>
  </si>
  <si>
    <t>Agricultural air quality; Animal agriculture; Air pollution; Emission baseline; Pollutant emission; Poultry house</t>
  </si>
  <si>
    <t>NATIONAL AIR EMISSIONS; POULTRY; BROILER; MANURE; DUST; QUALITY; LITTER; IOWA; GAS</t>
  </si>
  <si>
    <t>Air pollutants emitted from confined animal buildings can cause environmental pollution and ecological damage. Long-term (&gt;6 months) and continuous (or high frequency) monitoring that can reveal seasonal and diurnal variations is needed to obtain emission factors and characteristics about these pollutants. A two-year continuous monitoring of ammonia (NH3), hydrogen sulfide (H2S), carbon dioxide (CO2) and particulate matter (PM10) emissions from two 218,000-hen high-rise layer houses (H-A and H-B) in Indiana, USA was conducted from June 2007 to May 2009. Gaseous pollutant concentrations were measured with two gas analyzers and PM10 concentrations were measured with three Tapered Element Oscillating Microbalances. The operation and performance of ventilation fans were continuously monitored with multiple methods. Only the emission rates calculated with valid data days (days with more than 18 h, or 75%, of valid data) are reported in this paper. The two-house and two-year mean standard deviation emissions per day per hen for NH3, H2S, CO2, and PM10 were 1.08 +/- 0.42 g, 1.37 +/- 0.83 mg, 76.7 +/- 14.6 g, and 20.6 +/- 22.5 mg, respectively. Seasonal emission variations were demonstrated for NH3 and CO2, but not evident for H2S and PMio. Ammonia and CO2 emissions were higher in winter than in summer. Significant daily mean emission variations were observed for all four pollutants between the two houses (P &lt; 0.05), and between the two years from the same house (P &lt; 0.01) except for CO2 at one house. Carbon dioxide originated from manure decomposition was &gt;9% of that from bird respiration. Emissions of CO2 during molting were about 80% of those during normal egg production days. Emissions of H2S were not a major concern due to their very low quantities. Emissions of PM10 were more variable than other pollutants. However, not all of the emission statistics are explainable. (C) 2017 Elsevier Ltd. All rights reserved.</t>
  </si>
  <si>
    <t>[Ni, Ji-Qin; Liu, Shule; Diehl, Claude A.; Bogan, Bill W.; Heber, Albert J.] Purdue Univ, Agr &amp; Biol Engn, W Lafayette, IN 47907 USA; [Lim, Teng-Teeh] Univ Missouri, Food Syst &amp; Bioengn, Columbia, MO 65211 USA; [Chen, Lide] Univ Idaho, Biol &amp; Agr Engn, Moscow, ID 83843 USA; [Chai, Lilong] Iowa State Univ, Agr &amp; Biosyst Engn, Ames, IA USA; [Wang, Kaiying] Zhejiang Univ, Biosyst Engn &amp; Food Sci, Hangzhou, Zhejiang, Peoples R China</t>
  </si>
  <si>
    <t>Purdue University System; Purdue University; University of Missouri System; University of Missouri Columbia; University of Idaho; Iowa State University; Zhejiang University</t>
  </si>
  <si>
    <t>Ni, JQ (corresponding author), Purdue Univ, Dept Agr &amp; Biol Engn, 225 S Univ St, W Lafayette, IN 47907 USA.</t>
  </si>
  <si>
    <t>jiqin@purdue.edu</t>
  </si>
  <si>
    <t>; Liu, Shule/ISS-6098-2023; Ni, Ji-Qin/A-8849-2009; Ni, Ji-Qin/A-8849-2009</t>
  </si>
  <si>
    <t>Liu, Shule/0000-0002-4399-0310; Bogan, Bill/0009-0009-9367-9158; Ni, Ji-Qin/0000-0002-0735-5678; Ni, Ji-Qin/0000-0002-0735-5678</t>
  </si>
  <si>
    <t>Agricultural Air Research Council; American Egg Board</t>
  </si>
  <si>
    <t>The authors acknowledge and thank the Agricultural Air Research Council and the American Egg Board for administrative and financial support, and the Indiana egg facility owners and staff for their collaboration. The authors also want thank many members of the NAEMS team for their various supports to this project.</t>
  </si>
  <si>
    <t>10.1016/j.atmosenv.2017.01.050</t>
  </si>
  <si>
    <t>EP7IP</t>
  </si>
  <si>
    <t>WOS:000397551800022</t>
  </si>
  <si>
    <t>Gonçalves, DRP; Sá, JCD; Mishra, U; Furlan, FJF; Ferreira, DLA; Inagaki, TM; Romaniw, J; Ferreira, AD; Briedis, C</t>
  </si>
  <si>
    <t>Potma Goncalves, Daniel Ruiz; de Moraes Sa, Joao Carlos; Mishra, Umakant; Ferreira Furlan, Flavia Juliana; Ferreira, Lucimara Aparecida D.; Inagaki, Thiago Massao; Romaniw, Jucimare; Ferreira, Ademir de Oliveira; Briedis, Clever</t>
  </si>
  <si>
    <t>Soil carbon inventory to quantify the impact of land use change to mitigate greenhouse gas emissions and ecosystem services</t>
  </si>
  <si>
    <t>Conservation best management practices; Subtropical region; IPCC tier 2; Century model; Agriculture</t>
  </si>
  <si>
    <t>GLOBAL CLIMATE-CHANGE; NO-TILL; ORGANIC-MATTER; CROPPING SYSTEMS; BIODIESEL PRODUCTION; SUBTROPICAL ACRISOL; AGRICULTURAL SOILS; ACIDIC PEATLANDS; SOUTH-AMERICA; GHG EMISSIONS</t>
  </si>
  <si>
    <t>Currently the land use and land use change (LULUC) emits 1.3 +/- 0.5 Pg carbon (C) year(-1), equivalent to 8% of the global annual emissions. The objectives of this study were to quantify (1) the impact of LULUC on greenhouse gas (GHG) emissions in a subtropical region and (2) the role of conservation agriculture to mitigate GHG emissions promoting ecosystem services. We developed a detailed IPCC Tier 2 GHG inventory for the Campos Gerais region of southern Brazil that has large cropland area under long-term conservation agriculture with high crop yields. The inventory accounted for historical and current emissions from fossil fuel combustion, LULUC and other minor sources. We used Century model to simulate the adoption of conservation best management practices, to all croplands in the region from 2017 to 2117. Our results showed historical (1930-2017) GHG emissions of 412 Tg C, in which LULUC contributes 91% (376 +/- 130 Tg C), the uncertainties ranged between 13 and 36%. Between 1930 and 1985 LULUC was a major source of GHG emission, however from 1985 to 2015 fossil fuel combustion became the primary source of GHG emission. Forestry sequestered 52 +/- 24 Tg C in 0.6 Mha in a period of 47 years (1.8 Tg C Mha(-1) year(-1)) and no-till sequestered 30.4 +/- 24 Tg C in 2 Mha in a period of 32 years (0.5 Tg C Mha(-1) year(-1)) being the principal GHG mitigating activities in the study area. The model predictions showed that best management practices have the potential to mitigate 13 years of regional emissions (330 Tg C in 100 years) or 105 years of agriculture, forestry and livestock emissions (40 Tg C in 100 years) making the agriculture sector a net carbon (C) sink and promoting ecosystem services. 2018 Elsevier Ltd. All rights reserved.</t>
  </si>
  <si>
    <t>[Potma Goncalves, Daniel Ruiz] Univ Estadual Ponta Grossa, Agron Grad Program, Dept Ciencia Solo &amp; Engn Agr, 4748 Gen Carlos Cavalcanti Av, BR-84030900 Ponta Grossa, Parana, Brazil; [de Moraes Sa, Joao Carlos] Univ Estadual Ponta Grossa, Dept Ciencia Solo &amp; Engn Agr, 4748 Gen Carlos Cavalcanti Av, BR-84030900 Ponta Grossa, Parana, Brazil; [Mishra, Umakant] Argonne Natl Lab, Environm Sci Div, 9700 South Cass Av, Lemont, IL 60439 USA; [Ferreira Furlan, Flavia Juliana; Ferreira, Lucimara Aparecida D.] Univ Estadual Ponta Grossa, Agron Undergrad Program, Dept Ciencia Solo &amp; Engn Agr, 4748 Gen Carlos Cavalcanti Av, BR-84030900 Ponta Grossa, Parana, Brazil; [Inagaki, Thiago Massao; Romaniw, Jucimare] Tech Univ Munich, Inst Adv Studies, Emil Ramann Str 2, D-85354 Freising Bayern, Germany; [Ferreira, Ademir de Oliveira] Univ Estadual Ponta Grossa, Soil Organ Matter Lab, Dept Ciencia Solo &amp; Engn Agr, 4748 Gen Carlos Cavalcanti Av, BR-84030900 Ponta Grossa, Parana, Brazil; [Briedis, Clever] Embrapa Instrumentat, R 15 Novembro,1452, BR-13560970 Sao Carlos, SP, Brazil</t>
  </si>
  <si>
    <t>Universidade Estadual de Ponta Grossa; Universidade Estadual de Ponta Grossa; United States Department of Energy (DOE); Argonne National Laboratory; Universidade Estadual de Ponta Grossa; Technical University of Munich; Universidade Estadual de Ponta Grossa; Empresa Brasileira de Pesquisa Agropecuaria (EMBRAPA)</t>
  </si>
  <si>
    <t>Sá, JCD (corresponding author), Univ Estadual Ponta Grossa, Dept Ciencia Solo &amp; Engn Agr, 4748 Gen Carlos Cavalcanti Av, BR-84030900 Ponta Grossa, Parana, Brazil.</t>
  </si>
  <si>
    <t>de Oliveira Ferreira, Ademir/B-4956-2009; M, Joao/P-8280-2016; Inagaki, Thiago Massao/C-1827-2016; Mishra, Umakant/HJI-8970-2023; De Oliveira Ferreira, Ademir/B-4956-2009; Briedis, Clever/H-3520-2012; Gonçalves, Daniel/AAT-7802-2020; Sá, João Carlos de Moraes/P-8280-2016</t>
  </si>
  <si>
    <t>de Oliveira Ferreira, Ademir/0000-0002-1943-1826; Gonçalves, Daniel/0000-0003-2015-048X; Inagaki, Thiago Massao/0000-0002-8407-5717; Briedis, Clever/0000-0002-5222-9769; Sá, João Carlos de Moraes/0000-0003-1502-5537</t>
  </si>
  <si>
    <t>CAPES [99999.006792/2014-06]; CNPq [482292/2012-1]; Agri-sus [PA 965/12]</t>
  </si>
  <si>
    <t>CAPES(Coordenacao de Aperfeicoamento de Pessoal de Nivel Superior (CAPES)); CNPq(Conselho Nacional de Desenvolvimento Cientifico e Tecnologico (CNPQ)); Agri-sus</t>
  </si>
  <si>
    <t>We thank Agropecuaria Lucio Miranda for the support during the project development and the availability of Paiquere farm database, especially Agr. Eng. Allison Jose Fornari, CAPES (Grant 99999.006792/2014-06), CNPq (Grant 482292/2012-1) and Agri-sus (PA 965/12) foundation for the grants for project development and research exchange program at Argonne National Laboratory.</t>
  </si>
  <si>
    <t>10.1016/j.envpol.2018.07.068</t>
  </si>
  <si>
    <t>HA0IW</t>
  </si>
  <si>
    <t>WOS:000449892700017</t>
  </si>
  <si>
    <t>Reddy, N; Crohn, DM</t>
  </si>
  <si>
    <t>Reddy, Namratha; Crohn, David M.</t>
  </si>
  <si>
    <t>Effects of soil salinity and carbon availability from organic amendments on nitrous oxide emissions</t>
  </si>
  <si>
    <t>Carbon dioxide; Denitrification; Nitrogen; Nitrous oxide; Organic amendments; Soil salinity</t>
  </si>
  <si>
    <t>AGRICULTURAL SOILS; MICROBIAL BIOMASS; N2O EMISSIONS; FOREST SOILS; LAND-USE; DENITRIFICATION; MINERALIZATION; NITRIFICATION; ACETYLENE; MOISTURE</t>
  </si>
  <si>
    <t>Soil salinity negatively affects the mineralization and nitrification processes of the N cycle and may also affect the production of nitrous oxide (N2O) and N-2 to N2O-N ratios. Application of organic amendments such as manures and composts improves soil physical, chemical, and biological properties of salt-affected soils. However, because these materials both mineralize N and serve as substrates for denitrifiers, they may also increase N2O emissions. We studied the effect of organic amendments applied to saline soils on N2O emissions and on N-2 to N2O-N ratios. Saline soils with electrical conductivity(ECe) measures of 2.8, 15.2, and 30.6 dS m(-1) were collected from Coachella Valley, California. Treatments included four organic amendments: active greenwaste compost (AGW), cured greenwaste compost (CGW), active dairy manure compost (ADM), and cured dairy manure compost (CDM). Treatments were incorporated at 50 Mg ha(-1) and incubated at 65% water-filled pore space (WFPS) for 60 days at 25 degrees C. Evolving cabon dioxide (CO2-C) and N2O-N were monitored along with soil ammonium (NH4+-N) and nitrate (NW-N) concentrations. The results showed that increasing soil salinity increased cumulative N2O-N losses but decreased CO2-C and N-2 emissions and N-2 to N2O-N ratios. Of all the amendments, the highest cumulative N2O-N and N-2 emissions were produced from the ADM treatment at all three salinity levels. In general, incorporation of active compared to cured amendments increased N-2 to N2O-N ratios at all three salinity levels suggesting that applying active organic materials could be useful in mitigation of N2O emissions from salt-affected soils under remediation. (C) 2014 Elsevier B.V. All rights reserved.</t>
  </si>
  <si>
    <t>[Reddy, Namratha; Crohn, David M.] Univ Calif Riverside, Dept Environm Sci, Riverside, CA 92521 USA</t>
  </si>
  <si>
    <t>University of California System; University of California Riverside</t>
  </si>
  <si>
    <t>Reddy, N (corresponding author), Univ Calif Riverside, 2258 Geology Bldg, Riverside, CA 92521 USA.</t>
  </si>
  <si>
    <t>namratha.reddy@email.ucr.edu</t>
  </si>
  <si>
    <t>University of California, Riverside Graduate Dean's Dissertation Research Grant</t>
  </si>
  <si>
    <t>University of California, Riverside Graduate Dean's Dissertation Research Grant(University of California System)</t>
  </si>
  <si>
    <t>Financial support for this research was provided by the University of California, Riverside Graduate Dean's Dissertation Research Grant. We acknowledge the support of Dr. Mark Fenn and Antonio Davila for their technical guidance and laboratory assistance. We thank Vijay Chaganti and Christopher Quach for their help with soil and gas sampling.</t>
  </si>
  <si>
    <t>10.1016/j.geoderma.2014.07.022</t>
  </si>
  <si>
    <t>AQ1PH</t>
  </si>
  <si>
    <t>WOS:000342552800039</t>
  </si>
  <si>
    <t>Evans, CD; Renou-Wilson, F; Strack, M</t>
  </si>
  <si>
    <t>Evans, Chris D.; Renou-Wilson, Flo; Strack, Maria</t>
  </si>
  <si>
    <t>The role of waterborne carbon in the greenhouse gas balance of drained and re-wetted peatlands</t>
  </si>
  <si>
    <t>AQUATIC SCIENCES</t>
  </si>
  <si>
    <t>Waterborne carbon; Peatlands; Drainage; Greenhouse gases; DOC; Methane</t>
  </si>
  <si>
    <t>DISSOLVED ORGANIC-CARBON; MER-BLEUE PEATLAND; AQUATIC CARBON; METHANE EMISSIONS; BOREAL CATCHMENT; SHORT-TERM; FLUXES; EXPORT; STREAM; DIOXIDE</t>
  </si>
  <si>
    <t>Accounting for greenhouse gas (GHG) emissions and removals in managed ecosystems has generally focused on direct land-atmosphere fluxes, but in peatlands a significant proportion of total carbon loss occurs via fluvial transport. This study considers the composition of this 'waterborne carbon' flux, its potential contribution to GHG emissions, and the extent to which it may change in response to land-management. The work describes, and builds on, a methodology to account for major components of these emissions developed for the 2013 Wetland Supplement of the Intergovernmental Panel on Climate Change. We identify two major components of GHG emissions from waterbodies draining organic soil: i) 'on site' emissions of methane (and to a lesser extent CO2) from drainage ditches located within the peatland; and ii) 'off site' emissions of CO2 resulting from downstream oxidation of dissolved and particulate organic carbon (DOC and POC) within the aquatic system. Methane emissions from ditches were found to be large in many cases (mean 60 g CH4 m(-2) year(-1) based on all reported values), countering the view that methane emissions cease following wetland drainage. Emissions were greatest from ditches in intensive agricultural peatlands, but data were sparse and showed high variability. For DOC, the magnitude of the natural flux varied strongly with latitude, from 5 g C m(-2) year(-1) in northern boreal peatlands to 60 g C m(-2) year(-1) in tropical peatlands. Available data suggest that DOC fluxes increase by around 60 % following drainage, and that this increase may be reversed in the longer-term through re-wetting, although variability between studies was high, especially in relation to re-wetting response. Evidence regarding the fate of DOC is complex and inconclusive, but overall suggests that the majority of DOC exported from peatlands is converted to CO2 through photo- and/or bio-degradation in rivers, standing waters and oceans. The contribution of POC export to GHG emissions is even more uncertain, but we estimate that over half of exported POC may eventually be converted to CO2. Although POC fluxes are normally small, they can become very large when bare peat surfaces are exposed to fluvial erosion. Overall, we estimate that waterborne carbon emissions may contribute about 1-4 t CO2-eq ha(-1) year(-1) of additional GHG emissions from drained peatlands. For a number of worked examples this represented around 15-50 % of total GHG emissions.</t>
  </si>
  <si>
    <t>[Evans, Chris D.] Ctr Ecol &amp; Hydrol, Deiniol Rd, Bangor LL57 2UW, Gwynedd, Wales; [Renou-Wilson, Flo] Univ Coll Dublin, Sci West Ctr, Sch Biol &amp; Environm Sci, Dublin 4, Ireland; [Strack, Maria] Univ Waterloo, Dept Geog &amp; Environm Management, 200 Univ Ave W, Waterloo, ON N2L 3G1, Canada</t>
  </si>
  <si>
    <t>UK Centre for Ecology &amp; Hydrology (UKCEH); University College Dublin; University of Waterloo</t>
  </si>
  <si>
    <t>Evans, CD (corresponding author), Ctr Ecol &amp; Hydrol, Deiniol Rd, Bangor LL57 2UW, Gwynedd, Wales.</t>
  </si>
  <si>
    <t>cev@ceh.ac.uk</t>
  </si>
  <si>
    <t>Evans, Christopher/F-2087-2010</t>
  </si>
  <si>
    <t>Evans, Christopher/0000-0002-7052-354X; Strack, Maria/0000-0002-8996-7271</t>
  </si>
  <si>
    <t>UK Department of the Environment, Food and Rural Affairs [SP1205]; Department of Energy and Climate Change</t>
  </si>
  <si>
    <t>UK Department of the Environment, Food and Rural Affairs(Department for Environment, Food &amp; Rural Affairs (DEFRA)); Department of Energy and Climate Change</t>
  </si>
  <si>
    <t>The contribution of C. Evans was supported in part by the UK Department of the Environment, Food and Rural Affairs (Project SP1205) and the Department of Energy and Climate Change. We are grateful for the constructive comments of three anonymous reviewers.</t>
  </si>
  <si>
    <t>SPRINGER BASEL AG</t>
  </si>
  <si>
    <t>PICASSOPLATZ 4, BASEL, 4052, SWITZERLAND</t>
  </si>
  <si>
    <t>1015-1621</t>
  </si>
  <si>
    <t>1420-9055</t>
  </si>
  <si>
    <t>AQUAT SCI</t>
  </si>
  <si>
    <t>Aquat. Sci.</t>
  </si>
  <si>
    <t>10.1007/s00027-015-0447-y</t>
  </si>
  <si>
    <t>Environmental Sciences; Limnology; Marine &amp; Freshwater Biology</t>
  </si>
  <si>
    <t>Environmental Sciences &amp; Ecology; Marine &amp; Freshwater Biology</t>
  </si>
  <si>
    <t>DN8WI</t>
  </si>
  <si>
    <t>WOS:000377360200012</t>
  </si>
  <si>
    <t>Roy, KS; Neogi, S; Nayak, AK; Bhattacharyya, P</t>
  </si>
  <si>
    <t>Roy, Koushik Singha; Neogi, Suvadip; Nayak, Amaresh Kumar; Bhattacharyya, Pratap</t>
  </si>
  <si>
    <t>Effect of nitrogen fertilization on methane and carbon dioxide production potential in relation to labile carbon pools in tropical flooded rice soils in eastern India</t>
  </si>
  <si>
    <t>N fertilizer; soil labile carbon; CH4 production; CO2 production; rice</t>
  </si>
  <si>
    <t>AGRICULTURAL MANAGEMENT-SYSTEMS; MICROBIAL BIOMASS; EXTRACTION METHOD; ORGANIC-MATTER; AGGREGATE-SIZE; CO2 EMISSION; PADDY SOIL; RESPIRATION; MANURE; PLANT</t>
  </si>
  <si>
    <t>In an incubation experiment with flooded rice soil fertilized with different N amounts and sampled at different rice stages, the methane (CH4) and carbon dioxide (CO2) production in relation to soil labile carbon (C) pools under two temperature (35 degrees C and 45 degrees C) and moisture (aerobic and submerged) regimes were investigated. The field treatments imposed in the wet season included unfertilized control and 40, 80 and 120kgha(-1)N fertilization. The production of CH4 was significantly higher (27%) under submerged compared to aerobic conditions, whereas CO2 production was significantly increased under aerobic by 21% compared to submerged conditions. The average labile C pools were significantly increased by 21% at the highest dose of N (120kgha(-1)) compared to control and was found highest at rice panicle initiation stage. But the grain yield had significantly responded only up to 80kgha(-1)N, although soil labile C as well as gaseous C emission was noticed to be highest at 120kgha(-1)N. Hence, 80kgN ha(-1) is a better option in the wet season at low land tropical flooded rice in eastern India for sustaining grain yield and minimizing potential emission of CO2 and CH4.</t>
  </si>
  <si>
    <t>[Roy, Koushik Singha; Neogi, Suvadip; Nayak, Amaresh Kumar; Bhattacharyya, Pratap] Cent Rice Res Inst, Div Crop Prod, Cuttack 753006, Odisha, India</t>
  </si>
  <si>
    <t>Indian Council of Agricultural Research (ICAR); ICAR - National Rice Research Institute</t>
  </si>
  <si>
    <t>Bhattacharyya, P (corresponding author), Cent Rice Res Inst, Div Crop Prod, Cuttack 753006, Odisha, India.</t>
  </si>
  <si>
    <t>pratap162001@yahoo.co.in</t>
  </si>
  <si>
    <t>; Roy, Koushik/AAE-3530-2020; Nayak, Amaresh/J-7647-2019; Neogi, Suvadip/J-4211-2019</t>
  </si>
  <si>
    <t>Singha Roy, Koushik/0000-0002-4556-0787; Nayak, A K/0000-0002-2257-3243; Neogi, Suvadip/0000-0002-6113-8295</t>
  </si>
  <si>
    <t>project 'Soil organic carbon dynamics vis-a-vis anticipatory climatic changes and crop adaptation strategies' [ICAR-NAIP/Component-4/2031]; project 'National Initiative on Climate Resilient Agriculture' (NICRA)</t>
  </si>
  <si>
    <t>project 'Soil organic carbon dynamics vis-a-vis anticipatory climatic changes and crop adaptation strategies'; project 'National Initiative on Climate Resilient Agriculture' (NICRA)</t>
  </si>
  <si>
    <t>Some portions of the results are the part of PhD work of Mr. Koushik Singha Roy. Mr. Koushik Singha Roy was supported by the fellowship from the projects, 'Soil organic carbon dynamics vis-a-vis anticipatory climatic changes and crop adaptation strategies' [grant number ICAR-NAIP/Component-4/2031] and 'National Initiative on Climate Resilient Agriculture' (NICRA).</t>
  </si>
  <si>
    <t>OCT 3</t>
  </si>
  <si>
    <t>10.1080/03650340.2013.869673</t>
  </si>
  <si>
    <t>AG0PH</t>
  </si>
  <si>
    <t>WOS:000335116900001</t>
  </si>
  <si>
    <t>Proietti, P; Sdringola, P; Brunori, A; Ilarioni, L; Nasini, L; Regni, L; Pelleri, F; Desideri, U; Proietti, S</t>
  </si>
  <si>
    <t>Proietti, Primo; Sdringola, Paolo; Brunori, Antonio; Ilarioni, Luana; Nasini, Luigi; Regni, Luca; Pelleri, Francesco; Desideri, Umberto; Proietti, Stefania</t>
  </si>
  <si>
    <t>Assessment of carbon balance in intensive and extensive tree cultivation systems for oak, olive, poplar and walnut plantation</t>
  </si>
  <si>
    <t>Tree cultivation systems; Carbon stock; Life Cycle Assessment; CO2 sequestration</t>
  </si>
  <si>
    <t>LIFE-CYCLE ASSESSMENT; OIL PRODUCTION; BIOMASS ESTIMATION; ENERGY; SOIL; MANAGEMENT; EMISSIONS; FORESTS; SEQUESTRATION; CONSUMPTION</t>
  </si>
  <si>
    <t>To reduce GreenHouse Gas (GHG) emissions, the Kyoto Protocol identifies a number of activities that are closely related to land use, included in the category called Agriculture, Forestry and Land Uses (AFOLU). While forests and agricultural systems result in CO2 absorptions (live biomass, dead biomass and soil), every process undertaken for their management requires energy and resources, which can lead to a significant reduction of the environmental benefits. The study analyzes three tree plantations managed at different cultivation intensities in Italy, from an extensively managed plantation (a pure oak plantation) and a semi-intensively managed plantation (walnut and poplar plantation with nurse plants), to an intensively managed olive grove. Permanent and non-permanent biomass were accounted for in order to get the carbon stock of every plantation, estimated at the same age of 14 years old. The numerous processes operated for management of different cultivated species, e.g. planting, soil management, fertilization, phytosanitary treatments, pruning, harvesting, etc. were monitored and their impacts were quantified by applying the methodology known as Life Cycle Assessment (LCA). Removals (carbon sequestrations) were compared to emissions on a time scale, in order to assess the net CO2-eq balance. Impacting treatments and processes were identified and further analysis on the individual phases and materials were conducted. Olive trees showed an unexpected capacity to store CO2-eq but this ability was evident only if annually harvested fruits and prunings were considered in the calculation. The plantation that demonstrated its ability to store most CO2-eq at the age of 14 was the semi-intensively managed plantation, showing a higher efficiency in the energy spent by man. The paper offers a contribution for an innovative environmental performance evaluation of different tree cultivation management systems, including the assessment of potential benefits in terms of sequestered CO2-eq for the studied tree plantations and possible avoided emissions thanks to sustainable agricultural practices. (C) 2015 Elsevier Ltd. All rights reserved.</t>
  </si>
  <si>
    <t>[Proietti, Primo; Brunori, Antonio; Ilarioni, Luana; Nasini, Luigi; Regni, Luca] Univ Perugia, Dept Agr Food &amp; Environm Sci, I-06121 Perugia, Italy; [Sdringola, Paolo] Univ Perugia, Dept Engn, I-06125 Perugia, Italy; [Pelleri, Francesco] Consiglio Ric Agr &amp; Anal Econ Agr, Forestry Res Ctr, I-52100 Arezzo, Italy; [Desideri, Umberto] Univ Pisa, Dept Energy Syst Terr &amp; Construct Engn, I-56122 Pisa, Italy; [Proietti, Stefania] Guglielmo Marconi Univ, Dept Sustainabil Engn, I-00193 Rome, Italy</t>
  </si>
  <si>
    <t>University of Perugia; University of Perugia; Consiglio per la Ricerca in Agricoltura e L'analisi Dell'economia Agraria (CREA); University of Pisa; Guglielmo Marconi University</t>
  </si>
  <si>
    <t>Brunori, A (corresponding author), Univ Perugia, Dept Agr Food &amp; Environm Sci, Via Borgo 20 Giugno, I-06121 Perugia, Italy.</t>
  </si>
  <si>
    <t>antonio.brunori@comunicambiente.net</t>
  </si>
  <si>
    <t>; Desideri, Umberto/G-1394-2011; Proietti, Primo/O-8204-2019</t>
  </si>
  <si>
    <t>Regni, Luca/0000-0001-6639-4637; Brunori, Antonio/0000-0002-2277-5435; Singola, Paolo/0000-0003-4402-2095; Desideri, Umberto/0000-0001-7360-5762;</t>
  </si>
  <si>
    <t>Italian Ministry of Education, University and Research - PRIN Project [201049EXTW_009]</t>
  </si>
  <si>
    <t>Italian Ministry of Education, University and Research - PRIN Project(Ministry of Education, Universities and Research (MIUR)Research Projects of National Relevance (PRIN))</t>
  </si>
  <si>
    <t>Part of the research was supported by the Italian Ministry of Education, University and Research - PRIN Project 2010-2011 prot. 201049EXTW_009 CARBONTREE - Strategie di mitigazione dei cambiamenti climatici da parte dei sistemi colturali agricoli e forestall italiani (Climate change mitigation strategies in agriculture and forestry in Italy).</t>
  </si>
  <si>
    <t>10.1016/j.jclepro.2015.10.009</t>
  </si>
  <si>
    <t>DB0OM</t>
  </si>
  <si>
    <t>WOS:000368207400044</t>
  </si>
  <si>
    <t>Bryan, BA; Nolan, M; Harwood, TD; Connor, JD; Navarro-Garcia, J; King, D; Summers, DM; Newth, D; Cai, Y; Grigg, N; Harman, I; Crossman, ND; Grundy, MJ; Finnigan, JJ; Ferrier, S; Williams, KJ; Wilson, KA; Law, EA; Hatfield-Dodds, S</t>
  </si>
  <si>
    <t>Bryan, B. A.; Nolan, M.; Harwood, T. D.; Connor, J. D.; Navarro-Garcia, J.; King, D.; Summers, D. M.; Newth, D.; Cai, Y.; Grigg, N.; Harman, I.; Crossman, N. D.; Grundy, M. J.; Finnigan, J. J.; Ferrier, S.; Williams, K. J.; Wilson, K. A.; Law, E. A.; Hatfield-Dodds, S.</t>
  </si>
  <si>
    <t>Supply of carbon sequestration and biodiversity services from Australia's agricultural land under global change</t>
  </si>
  <si>
    <t>Scenarios; Biodiversity conservation; Ecosystem services; Climate change; Land use change; Carbon sequestration</t>
  </si>
  <si>
    <t>MURRAY-DARLING BASIN; ECOSYSTEM SERVICES; CLIMATE-CHANGE; COST-EFFECTIVENESS; EMPLOYMENT IMPLICATIONS; CONSERVATION; AGROFORESTRY; RESTORATION; MANAGEMENT; PAYMENTS</t>
  </si>
  <si>
    <t>Global agroecosystems can contribute to both climate change mitigation and biodiversity conservation, and market mechanisms provide a highly prospective means of achieving these outcomes. However, the ability of markets to motivate the supply of carbon sequestration and biodiversity services from agricultural land is uncertain, especially given the future changes in environmental, economic, and social drivers. We quantified the potential supply of these services from the intensive agricultural land of Australia from 2013 to 2050 under four global outlooks in response to a carbon price and biodiversity payment scheme. Each global outlook specified emissions pathways, climate, food demand, energy price, and carbon price modeled using the Global Integrated Assessment Model (GIAM). Using a simplified version of the Land Use Trade-Offs (LUTO) model, economic returns to agriculture, carbon plantings, and environmental plantings were calculated each year. The supply of carbon sequestration and biodiversity services was then quantified given potential land use change under each global outlook, and the sensitivity of the results to key parameters was assessed. We found that carbon supply curves were similar across global outlooks. Sharp increases in carbon sequestration supply occurred at carbon prices exceeding 50 $ tCO(2)(-1) in 2015 and exceeding 65 $ tCO(2)(-1) in 2050. Based on GIAM-modeled carbon prices, little carbon sequestration was expected at 2015 under any global outlook. However, at 2050 expected carbon supply under each outlook differed markedly, ranging from 0 to 189 MtCO(2) yr(-1). Biodiversity services of 3.32% of the maximum may be achieved in 2050 for a 1 $B investment under median scenario settings. We conclude that a carbon market can motivate supply of substantial carbon sequestration but only modest amounts of biodiversity services from agricultural land. A complementary biodiversity payment can synergistically increase the supply of biodiversity services but will not provide much additional carbon sequestration. The results were sensitive to global drivers, especially the carbon price, and the domestic drivers of adoption hurdle rate and agricultural productivity. The results can inform the design of an effective national policy and institutional portfolio addressing the dual objectives of climate change and biodiversity conservation that is robust to future uncertainty in both national and global drivers. (C) 2014 Elsevier Ltd. All rights reserved.</t>
  </si>
  <si>
    <t>[Bryan, B. A.; Nolan, M.; Connor, J. D.; King, D.; Summers, D. M.; Crossman, N. D.] CSIRO Ecosyst Sci, Urrbrae, SA 5064, Australia; [Harwood, T. D.; Ferrier, S.; Williams, K. J.; Hatfield-Dodds, S.] CSIRO Ecosyst Sci, Canberra, ACT 2601, Australia; [Navarro-Garcia, J.] CSIRO Ecosyst Sci, Brisbane, Qld 4102, Australia; [Newth, D.; Cai, Y.; Harman, I.; Finnigan, J. J.] CSIRO Marine &amp; Atmospher Res, Canberra, ACT 2601, Australia; [Grigg, N.] CSIRO Land &amp; Water, Canberra, ACT 2601, Australia; [Grundy, M. J.] CSIRO Land &amp; Water, Dutton Pk, Qld 4102, Australia; [Wilson, K. A.; Law, E. A.] Univ Queensland, Sch Biol Sci, St Lucia, Qld 4072, Australia</t>
  </si>
  <si>
    <t>Commonwealth Scientific &amp; Industrial Research Organisation (CSIRO); Commonwealth Scientific &amp; Industrial Research Organisation (CSIRO); Ecosystem Sciences; Commonwealth Scientific &amp; Industrial Research Organisation (CSIRO); Commonwealth Scientific &amp; Industrial Research Organisation (CSIRO); Commonwealth Scientific &amp; Industrial Research Organisation (CSIRO); CSIRO Land &amp; Water; Commonwealth Scientific &amp; Industrial Research Organisation (CSIRO); CSIRO Land &amp; Water; University of Queensland</t>
  </si>
  <si>
    <t>Bryan, BA (corresponding author), CSIRO Ecosyst Sci, Waite Campus, Urrbrae, SA 5064, Australia.</t>
  </si>
  <si>
    <t>brett.bryan@csiro.au</t>
  </si>
  <si>
    <t>Harwood, Tom/C-7271-2009; Law, Elizabeth/C-8981-2015; Ferrier, Simon/C-1490-2009; Connor, Jeffery/G-5466-2010; Newth, David/A-1848-2011; Garcia, Francisco/C-2412-2011; Williams, Kristen/B-9941-2008; Connor, Jeff/T-7345-2019; Grigg, Nicola/H-1587-2011; Crossman, Neville/G-5433-2010; Wilson, Kerrie/W-4181-2019; Nolan, Martin/J-5483-2013; Navarro Garcia, Francisco Javier/C-2412-2011; Bryan, Brett/F-8949-2010; King, Darran/G-3996-2011; Willia, Kristen/B-9941-2008; Cai, Yiyong/F-3620-2015; Grundy, Michael/K-6335-2012; Grundy, Michael/K-6335-2012; Wilson, Kerrie/C-8058-2009; Hatfield-Dodds, Steve/K-1067-2013; Harman, Ian/A-4004-2012</t>
  </si>
  <si>
    <t>Law, Elizabeth/0000-0003-4456-1259; Connor, Jeffery/0000-0002-2313-8630; Grigg, Nicola/0000-0002-7601-3866; Crossman, Neville/0000-0002-8002-3450; Finnigan, John Joseph/0000-0003-1073-0886; Navarro Garcia, Francisco Javier/0000-0001-7945-0693; Nolan, Martin/0009-0006-4446-2276; Bryan, Brett/0000-0003-4834-5641; Willia, Kristen/0000-0002-7324-5880; Grundy, Michael/0000-0003-0627-2093; Grundy, Michael/0000-0003-0627-2093; Wilson, Kerrie/0000-0002-0092-935X; Harman, Ian/0000-0002-5690-0484</t>
  </si>
  <si>
    <t>CSIROs Sustainable Agriculture Flagship and Australian National Outlook</t>
  </si>
  <si>
    <t>We are very grateful to CSIROs Sustainable Agriculture Flagship and Australian National Outlook initiative for supporting this work.</t>
  </si>
  <si>
    <t>10.1016/j.gloenvcha.2014.06.013</t>
  </si>
  <si>
    <t>AR8QG</t>
  </si>
  <si>
    <t>WOS:000343839100015</t>
  </si>
  <si>
    <t>Alavaisha, E; Manzoni, S; Lindborg, R</t>
  </si>
  <si>
    <t>Alavaisha, E.; Manzoni, S.; Lindborg, R.</t>
  </si>
  <si>
    <t>Different agricultural practices affect soil carbon, nitrogen and phosphorous in Kilombero -Tanzania</t>
  </si>
  <si>
    <t>Fertilization; Irrigation; Agricultural management; Soil organic carbon; Soil nutrients</t>
  </si>
  <si>
    <t>DIFFERENT LAND USES; ORGANIC-CARBON; CONVENTIONAL TILLAGE; PADDY SOIL; FERTILIZATION; SEQUESTRATION; IRRIGATION; DECOMPOSITION; EFFICIENCY; YIELDS</t>
  </si>
  <si>
    <t>Converting natural and semi-natural vegetation to agriculture is currently the most significant land use change at global scale. This conversion leads to changes in soil nutrients and increased CO2 emissions. However, knowledge of how soil organic carbon and nutrients change under various farming management is still limited, especially for small scale farming systems. This study evaluated the effects of different farming systems on soil organic carbon (SOC), total nitrogen (TN) and total phosphorous (TP) in subsistence farming at Kilombero, Tanzania. We applied an in-situ experimental setup, comparing maize and rice farming with and without irrigation and difference in fertilizers, with replicated soil sampling at five soil depths to a depth of 60 cm. The results show that irrigation had a positive effect on profile-averaged concentrations of SOC and TN, while fertilization had a positive effect on TN. Higher concentrations and stocks of TN were found in maize field soils compered to rice fields. In the vertical profile, irrigation and fertilization had positive effects on concentrations of SOC and TN of top soil layers, and the interaction between irrigation and fertilization extended the effect to deeper soil layers. Our results indicate that moderate irrigation and fertilization can help to improve carbon storage and nutrient availability (TN) in small-scale farming soils in Africa.</t>
  </si>
  <si>
    <t>[Alavaisha, E.; Manzoni, S.; Lindborg, R.] Stockholm Univ, Dept Phys Geog, Stockholm, Sweden; [Alavaisha, E.] Univ Dar es Salaam, Inst Resource Assessment, Dar Es Salaam, Tanzania; [Manzoni, S.; Lindborg, R.] Bolin Ctr Climate Res, Stockholm, Sweden</t>
  </si>
  <si>
    <t>Stockholm University; University of Dar es Salaam</t>
  </si>
  <si>
    <t>Alavaisha, E (corresponding author), POB 35097, Dar Es Salaam, Tanzania.</t>
  </si>
  <si>
    <t>edmond.alavaisha@natgeo.su.se</t>
  </si>
  <si>
    <t>; Alavaisha, Edmond/ABD-3670-2020; Manzoni, Stefano/C-5330-2009</t>
  </si>
  <si>
    <t>Alavaisha, Edmond/0000-0001-5259-3301; Manzoni, Stefano/0000-0002-5960-5712</t>
  </si>
  <si>
    <t>Swedish International Development Agency (Sida) [SWE-2011-066, 2015-000032, 51170071, 2239]; Swedish Research Council (Vetenskapsradet, Formas); Sida joint project [VR 2016-06313]</t>
  </si>
  <si>
    <t>Swedish International Development Agency (Sida); Swedish Research Council (Vetenskapsradet, Formas); Sida joint project</t>
  </si>
  <si>
    <t>We thank Dr. A. Kimberley and two anonymous reviewers for valuable comment on the manuscript. This study was financially supported by Swedish International Development Agency (Sida) under Grant SWE-2011-066 and Sida Decision 2015-000032 Contribution 51170071 Sub-project 2239. SM and RI. also acknowledge support from the Swedish Research Councils (Vetenskapsradet, Formas) and Sida joint project VR 2016-06313. Authors appreciate the field assistance and logistics offered by Dr. M. Tumbo, H. Milembe, J. Chawala and W. Senkondo. We thank Sokoine University of Agriculture for laboratory work.</t>
  </si>
  <si>
    <t>10.1016/j.jenvman.2018.12.039</t>
  </si>
  <si>
    <t>HN5AO</t>
  </si>
  <si>
    <t>WOS:000460195000018</t>
  </si>
  <si>
    <t>Jia, YZ; Yan, XD</t>
  </si>
  <si>
    <t>Jia, Yizhen; Yan, Xiaodong</t>
  </si>
  <si>
    <t>Multi-Objective Optimization of the Planting Industry in Jiangsu Province and Analysis of Its Water-Energy-Carbon Characteristics</t>
  </si>
  <si>
    <t>crop planting; feature analysis; planting structure; multi-objective optimization; green sustainability</t>
  </si>
  <si>
    <t>FOOD SECURITY; AGRICULTURAL WATER; CHINA; CONSUMPTION; GREEN; EMISSIONS; LAND</t>
  </si>
  <si>
    <t>The modern development of the planting industry needs to not only ensure food supply but also to consider social and environmental issues. This poses higher demands for rational planning of planting structures to achieve green development while meeting demands and conserving resources. Therefore, this paper takes Jiangsu Province as a representative case, accounting for and analyzing the water footprint, energy consumption, and carbon emissions of seven major crops. Based on this analysis, a multi-objective planning model is established to explore the optimization of its planting structure. The results show that: (1) from 2010 to 2020, the overall water footprint of these seven crops in Jiangsu Province initially increased and then decreased, while energy consumption showed a fluctuating upward trend; (2) carbon emissions from planting in Jiangsu Province initially increased and then fluctuated downward over time, and exhibited significant spatial clustering characteristics, with overall emissions being higher in northern Jiangsu, followed by central Jiangsu, and then southern Jiangsu; (3) the optimization results indicate that economic benefits increased by 4.06%, while the carbon emission and grey water footprints decreased by 3.78% and 7.62%, respectively, resulting in comprehensive improvements in economic and ecological benefits. This study can provide theoretical support for adjusting the planting structure in crop-producing areas and promoting the green and sustainable development of the planting industry.</t>
  </si>
  <si>
    <t>[Jia, Yizhen; Yan, Xiaodong] Hohai Univ, Business Sch, Nanjing 211100, Peoples R China</t>
  </si>
  <si>
    <t>Hohai University</t>
  </si>
  <si>
    <t>Jia, YZ (corresponding author), Hohai Univ, Business Sch, Nanjing 211100, Peoples R China.</t>
  </si>
  <si>
    <t>jiayizhen027@126.com; yanxiaodong@hhu.edu.cn</t>
  </si>
  <si>
    <t>; Yan, Xiaodong/KEH-3551-2024</t>
  </si>
  <si>
    <t>Yan, Xiaodong/0009-0000-3533-6303;</t>
  </si>
  <si>
    <t>Major Project of National Social Science Foundation of China</t>
  </si>
  <si>
    <t>Major Project of National Social Science Foundation of China(National Office of Philosophy and Social Sciences)</t>
  </si>
  <si>
    <t>We appreciate all the researchers who provided information and assistance for this study.</t>
  </si>
  <si>
    <t>10.3390/su16072792</t>
  </si>
  <si>
    <t>NN6U1</t>
  </si>
  <si>
    <t>WOS:001201176600001</t>
  </si>
  <si>
    <t>Manjubaashini, N; Bargavi, P; Balakumar, S</t>
  </si>
  <si>
    <t>Manjubaashini, N.; Bargavi, P.; Balakumar, S.</t>
  </si>
  <si>
    <t>Carbon quantum dots derived from agro waste biomass for pioneering bioanalysis and in vivo bioimaging</t>
  </si>
  <si>
    <t>JOURNAL OF PHOTOCHEMISTRY AND PHOTOBIOLOGY A-CHEMISTRY</t>
  </si>
  <si>
    <t>Biomass; Bioimaging; Fluorescence; Biocompatibility; Hydrothermal</t>
  </si>
  <si>
    <t>BOVINE SERUM-ALBUMIN; GREEN SYNTHESIS; DENATURATION; PROTEIN; ANTIOXIDANT; SHELL; VITRO</t>
  </si>
  <si>
    <t>Waste to Wealth's mission aims to develop valuable products for choice of environmental and biological purposes, especially from agricultural wastes. A vast variety of organic and inorganic elements that are left over from agricultural activities like crop cultivation or livestock raising are referred to as agricultural waste, for example, pista shell (PS) and groundnut shell (GNS). These agricultural waste materials can be effectively utilized for preparing wealth materials depending on materials and their composition. Owing to the presence of high carbon content in these waste materials, preparing carbon-based nanostructured wealth materials for environmental and biological applications is significant, interestingly, it also fulfills the sustainable approach along with a cost-effective strategy. This hypothesis led us to prepare one such type of carbon-based nanostructured material, carbon quantum dots (CQDs), from PS and GNS agro-wastes. These agro-wastes derived CQDs were formulated by hydrothermal method and their distinct structural, morphological, functional, optical, and bioactive properties were determined. The XRD data divulges the amorphous nature of CQDs with interlayer spacing (similar to 0.30 nm) similar to graphite. HRTEM images express spherical morphology with a particle size of ca. 5 nm and ca. 12 nm for PSE and GNSE CQDs, respectively. Raman spectra divulge a doublet D band (1335 and 1447 cm(-1)) with I-D/I-G ratio of 1.6 and 1.2 for PSE and GNS CQDs, respectively. Using UV-Vis and photoluminescence (PL) spectroscopy data reveals that PSE and GNS CQDs show excitation at 370 and 309 nm, and emission at 456 and 440 nm, respectively. Further, high fluorescence quantum yield (9.5 % for PSE and 9.0 % for GNS), virtuous cell viability (90 % for both CQDs), high hemocompatibility (0.3 for PSE and 0.1 % for GNS), accelerated anti-bacterial activity, protein denaturation, bacteria interaction, and growth factors (IGF-1, Col-1) expression levels enable these CQDs to function as a probe for live quantitative bioimaging in Zebrafish.</t>
  </si>
  <si>
    <t>[Manjubaashini, N.; Balakumar, S.] Univ Madras, Natl Ctr Nanosci &amp; Nanotechnol, Chennai 600025, India; [Bargavi, P.] Saveetha Inst Med &amp; Tech Sci, Saveetha Dent Coll &amp; Hosp, Dept Oral Pathol, Chennai 600077, India</t>
  </si>
  <si>
    <t>University of Madras; Saveetha Institute of Medical &amp; Technical Science; Saveetha Dental College &amp; Hospital</t>
  </si>
  <si>
    <t>Balakumar, S (corresponding author), Univ Madras, Natl Ctr Nanosci &amp; Nanotechnol, Chennai 600025, India.</t>
  </si>
  <si>
    <t>balasuga@yahoo.com</t>
  </si>
  <si>
    <t>; Purushothaman, Bargavi/AGZ-7985-2022</t>
  </si>
  <si>
    <t>Venkatesh, Manjubaashini/0000-0002-3254-928X;</t>
  </si>
  <si>
    <t>Department of biotechnology, Government of India [SR/FST/ET-1/2020/694 (C)]; DS-FIST; [C3/RI &amp; QI/RUSA2.0/Theme/Group-2/Award/2021/034]</t>
  </si>
  <si>
    <t>Department of biotechnology, Government of India(Department of Biotechnology (DBT) India); DS-FIST;</t>
  </si>
  <si>
    <t>NM and SB acknowledge the department of biotechnology, Government of India, for Research Associate fellowship, MHRD-RUSA [C3/RI &amp; QI/RUSA2.0/Theme/Group-2/Award/2021/034, dt 03/02/2021] for funding and DS-FIST Funded X-Ray Diffractometer Facility, National Centre for Nanoscience and Nanotechnology, University of Madras, Guindy campus, Chennai [SR/FST/ET-1/2020/694 (C) ; dt 23 rd June 2021] .</t>
  </si>
  <si>
    <t>1010-6030</t>
  </si>
  <si>
    <t>1873-2666</t>
  </si>
  <si>
    <t>J PHOTOCH PHOTOBIO A</t>
  </si>
  <si>
    <t>J. Photochem. Photobiol. A-Chem.</t>
  </si>
  <si>
    <t>10.1016/j.jphotochem.2024.115702</t>
  </si>
  <si>
    <t>SK7S9</t>
  </si>
  <si>
    <t>WOS:001234418300001</t>
  </si>
  <si>
    <t>Kerdan, IG; Giarola, S; Hawkes, A</t>
  </si>
  <si>
    <t>Kerdan, Ivan Garcia; Giarola, Sara; Hawkes, Adam</t>
  </si>
  <si>
    <t>A novel energy systems model to explore the role of land use and reforestation in achieving carbon mitigation targets: A Brazil case study</t>
  </si>
  <si>
    <t>Energy systems model; Reforestation; Agriculture; Land-use; Mechanisation; Brazil</t>
  </si>
  <si>
    <t>GREENHOUSE-GAS MITIGATION; BIO-ENERGY; CLIMATE MITIGATION; FOOD; DECARBONISATION; EMISSIONS; DEMAND; FOREST; SEQUESTRATION; AGRICULTURE</t>
  </si>
  <si>
    <t>Due to its low global share of direct energy consumption and greenhouse gas emissions (1-2%), the implications of technological transitions in the agricultural and forestry sector on the energy system have been overlooked. This paper introduces the Agriculture and Land Use Sector module part of the ModUlar energy System Environment (MUSE), a novel energy system simulation model. The study presents a generalisable method that enables energy modellers to characterise agricultural technologies within an energy system modelling framework. Different mechanisation processes were characterised to simulate intensification/extensification transitions in the sector and its wider implications in the energy and land use system aiming at providing reliable non-energy outputs similarly to those found in dedicated land use models. Additionally, a forest growth model has been integrated to explore the role of reforestation alongside decarbonisation measures in the energy system in achieving carbon mitigation pathways. To illustrate the model's capabilities, Brazil is used as case study. Outputs suggest that by 2030 under a 2 degrees C mitigation scenario, most of Brazil agricultural production would move from 'transitional' to 'modern' practices, improving productivity and reducing deforestation rates, at the expense of higher energy and fertiliser demand. By mid-century Brazil has the potential to liberate around 24.4 Mha of agricultural land, where large-scale reforestation could have the capacity to sequester around 5.6 GtCO(2), alleviating mitigation efforts in the energy system, especially reducing carbon capture and storage technology investments in the industry and power sector. (C) 2019 Elsevier Ltd. All rights reserved.</t>
  </si>
  <si>
    <t>[Kerdan, Ivan Garcia; Hawkes, Adam] Imperial Coll London, Dept Chem Engn, South Kensington Campus, London SW7 2AZ, England; [Giarola, Sara] Imperial Coll London, Dept Earth Sci &amp; Engn, South Kensington Campus, London SW7 2AZ, England</t>
  </si>
  <si>
    <t>Imperial College London; Imperial College London</t>
  </si>
  <si>
    <t>Kerdan, IG (corresponding author), Imperial Coll London, Dept Chem Engn, South Kensington Campus, London SW7 2AZ, England.</t>
  </si>
  <si>
    <t>i.garcia-kerdan@imperial.ac.uk</t>
  </si>
  <si>
    <t>García Kerdan, Iván/F-3495-2019; Hawkes, Adam/F-6631-2012; García Kerdan, Iván/F-3495-2019</t>
  </si>
  <si>
    <t>García Kerdan, Iván/0000-0002-0566-555X; García Kerdan, Iván/0000-0002-0566-555X</t>
  </si>
  <si>
    <t>Sustainable Gas Institute; Imperial College London; Natural Environment Research Council (NERC) under the Newton Fund (NERC) [NE/N018656/1]; Natural Environment Research Council [NE/N018656/1] Funding Source: researchfish; NERC [NE/N018656/1] Funding Source: UKRI</t>
  </si>
  <si>
    <t>Sustainable Gas Institute; Imperial College London; Natural Environment Research Council (NERC) under the Newton Fund (NERC)(UK Research &amp; Innovation (UKRI)Natural Environment Research Council (NERC)); Natural Environment Research Council(UK Research &amp; Innovation (UKRI)Natural Environment Research Council (NERC)); NERC(UK Research &amp; Innovation (UKRI)Natural Environment Research Council (NERC))</t>
  </si>
  <si>
    <t>The authors would like to acknowledge the Sustainable Gas Institute, Imperial College London and the Natural Environment Research Council (NERC) under the Newton Fund (NERC reference: NE/N018656/1) for funding this work. The authors also want to acknowledge the work from Imperial College students Andres Gonzalez-Garay, Ellis Skinner, Marin Tuleu, Anshul Bongirwar and Omar Abdulla for their work in data collection and analysis.</t>
  </si>
  <si>
    <t>10.1016/j.jclepro.2019.05.345</t>
  </si>
  <si>
    <t>IM1XB</t>
  </si>
  <si>
    <t>WOS:000477784000070</t>
  </si>
  <si>
    <t>Nemo,; Klumpp, K; Coleman, K; Dondini, M; Goulding, K; Hastings, A; Jones, MB; Leifeld, J; Osborne, B; Saunders, M; Scott, T; Teh, YA; Smith, P</t>
  </si>
  <si>
    <t>Nemo; Klumpp, K.; Coleman, K.; Dondini, M.; Goulding, K.; Hastings, A.; Jones, Michael. B.; Leifeld, J.; Osborne, B.; Saunders, M.; Scott, T.; Teh, Y. A.; Smith, P.</t>
  </si>
  <si>
    <t>Soil Organic Carbon (SOC) Equilibrium and Model Initialisation Methods: an Application to the Rothamsted Carbon (RothC) Model</t>
  </si>
  <si>
    <t>ENVIRONMENTAL MODELING &amp; ASSESSMENT</t>
  </si>
  <si>
    <t>SOC; RothC; Model initialisation; Agricultural management; Ecosystem models; SOC fractionation</t>
  </si>
  <si>
    <t>LONG-TERM EXPERIMENTS; CLIMATE-CHANGE; MATTER; BUDGET; N2O; POOLS; MANAGEMENT; CROPLAND; CO2; CONSEQUENCES</t>
  </si>
  <si>
    <t>Carbon (C) emissions from anthropogenic land use have accelerated climate change. To reduce C emissions, dynamic models can be used to assess the impact of human drivers on terrestrial C sequestration. Model accuracy requires correct initialisation, since incorrect initialisation can influence the results obtained. Therefore, we sought to improve the initialisation of a process-based SOC model, RothC, which can estimate the effect of climate and land-use change on SOC. The most common initialisation involves running the model until equilibrium ('spin-up run'), when the SOC pools stabilise (method 1). However, this method does not always produce realistic results. At our experimental sites, the observed SOC was not at equilibrium after 10 years, suggesting that the commonly used spin-up initialisation method assuming equilibrium might be improved. In addition to method 1, we tested two alternative initialisations for RothC that involved adjusting the total or individual SOC pool equilibrium values by regulating the C input during the entire spin-up initialisation period (method 2) and initialising each SOC pool with recently measured SOC values obtained by SOC fractionation (method 3). Analysis of the simulation accuracy for each model initialisation, quantified using the root mean square error (RMSE), indicated that a variant of method 2 that involved adjusting the equilibrium total SOC to observed values (method 2-T) generally showed less variation in the individual SOC pools and total SOC. Furthermore, as total SOC is the sum of all SOC pools, and because total SOC data are more readily available than the individual SOC pool data, we conclude that method 2-T is best for initialising RothC.</t>
  </si>
  <si>
    <t>[Nemo; Klumpp, K.] INRA Clermont Ferrand, UREP, Clermont Ferrand, France; [Dondini, M.; Hastings, A.; Scott, T.; Teh, Y. A.; Smith, P.] Univ Aberdeen, Inst Biol &amp; Environm Sci, Aberdeen, Scotland; [Coleman, K.; Goulding, K.] Rothamsted Res, Dept Sustainable Soils &amp; Grassland Syst, Harpenden, Herts, England; [Osborne, B.; Saunders, M.] Univ Coll Dublin, Sch Biol &amp; Environm Sci, Dublin, Ireland; [Jones, Michael. B.] Trinity Coll Dublin, Dept Bot, Dublin, Ireland; [Leifeld, J.; Saunders, M.] Agroscope Reckenholz Tanikon, Zurich, Switzerland; [Saunders, M.] James Hutton Inst, Dundee, Scotland; [Teh, Y. A.] Univ St Andrews, Sch Geog &amp; Geosci, St Andrews, Fife, Scotland</t>
  </si>
  <si>
    <t>INRAE; University of Aberdeen; UK Research &amp; Innovation (UKRI); Biotechnology and Biological Sciences Research Council (BBSRC); Rothamsted Research; University College Dublin; Trinity College Dublin; Swiss Federal Research Station Agroscope; James Hutton Institute; University of St Andrews</t>
  </si>
  <si>
    <t>Nemo, (corresponding author), INRA Clermont Ferrand, UREP, Clermont Ferrand, France.</t>
  </si>
  <si>
    <t>lye0809@gmail.com</t>
  </si>
  <si>
    <t>Saunders, Matthew/J-2552-2015; Coleman, Kevin/D-5271-2011; Teh, Yit Arn/K-3812-2013; Smith, Pete/G-1041-2010; Scott, Tony/C-1291-2016; Smith, Pete/G-1041-2010; Goulding, Keith Walter Thomas/B-2635-2012; Dondini, Marta/E-8240-2017; Leifeld, Jens/A-3298-2014; Goulding, Keith/B-2635-2012</t>
  </si>
  <si>
    <t>Saunders, Matthew/0000-0002-1965-8932; Coleman, Kevin/0000-0002-9640-1479; Teh, Yit Arn/0000-0001-7976-6794; Smith, Pete/0000-0002-3784-1124; Hastings, Astley/0000-0001-9863-7613; Smith, Pete/0000-0002-3784-1124; Goulding, Keith Walter Thomas/0000-0002-6465-1465; Leifeld, Jens/0000-0002-7245-9852; Scott, Tony/0000-0002-6631-0672</t>
  </si>
  <si>
    <t>FP7 project GHG-Europe [244122]; Biotechnology and Biological Sciences Research Council [BBS/E/C/00005198, BB/K009265/1, BB/N004922/1] Funding Source: researchfish; Natural Environment Research Council [NE/M019691/1] Funding Source: researchfish; BBSRC [BBS/E/C/00005198, BB/N004922/1, BB/K009265/1] Funding Source: UKRI; NERC [NE/M019691/1] Funding Source: UKRI</t>
  </si>
  <si>
    <t>FP7 project GHG-Europe; Biotechnology and Biological Sciences Research Council(UK Research &amp; Innovation (UKRI)Biotechnology and Biological Sciences Research Council (BBSRC)); Natural Environment Research Council(UK Research &amp; Innovation (UKRI)Natural Environment Research Council (NERC)); BBSRC(UK Research &amp; Innovation (UKRI)Biotechnology and Biological Sciences Research Council (BBSRC)); NERC(UK Research &amp; Innovation (UKRI)Natural Environment Research Council (NERC))</t>
  </si>
  <si>
    <t>The authors would like to thank Angus Calder and Cheryl Wood (University of St Andrews, UK) who let us use the laboratory facilities to perform the soil fractionation and their helpful support. The authors are also grateful to Olivier Darsonville, Jean- Luc Ollier, Marine Zwicke and Pierre Legoueix for their technical supports at INRA Clermont-Ferrand, UREP, France and also Alex Coad, European Commission - Joint Research Centre for advice on statistics. Funding to support this work was provided by FP7 project GHG-Europe (Grant No. 244122). Pete Smith is a Royal Society-Wolfson Research Merit Award holder.</t>
  </si>
  <si>
    <t>1420-2026</t>
  </si>
  <si>
    <t>1573-2967</t>
  </si>
  <si>
    <t>ENVIRON MODEL ASSESS</t>
  </si>
  <si>
    <t>Environ. Model. Assess.</t>
  </si>
  <si>
    <t>10.1007/s10666-016-9536-0</t>
  </si>
  <si>
    <t>ET9QW</t>
  </si>
  <si>
    <t>WOS:000400643600003</t>
  </si>
  <si>
    <t>Pauli, N; Abbott, LK; Rex, R; Rex, C; Solaiman, ZM</t>
  </si>
  <si>
    <t>Pauli, Natasha; Abbott, Lynette K.; Rex, Rob; Rex, Caroline; Solaiman, Zakaria M.</t>
  </si>
  <si>
    <t>A farmer-scientist investigation of soil carbon sequestration potential in a chronosequence of perennial pastures</t>
  </si>
  <si>
    <t>carbon farming; innovative agriculture; participatory research; perennial pastures; soil organic carbon</t>
  </si>
  <si>
    <t>NEW-SOUTH-WALES; CROPPING SYSTEMS; ORGANIC-MATTER; LAND-USE; AUSTRALIA; GRASSES; STOCKS; ACCUMULATION; PERSISTENCE; MANAGEMENT</t>
  </si>
  <si>
    <t>Australian agricultural soils have sustained a substantial loss of naturally low levels of soil organic carbon (SOC) through conversion of native vegetation to cropping. Recently, government programmes focused on greenhouse gas emission abatement have provided incentives for conversion of cropland to permanent pastures. Concurrently, some farmers are pursuing innovative pasture grazing practices, such as the use of perennial pastures and rotational grazing. Although gaining carbon credits is generally not the main driver for uptake of these practices, there is significant potential for soil carbon sequestration. We investigated SOC stocks across a chronosequence of pastures sown with temperate, perennial grasses in south-western Australia. This study presents a rare insight into short-and long-term carbon dynamics in a novel agricultural system, which has potential for greater uptake within this region. SOC stocks for the upper 30 cm of soil ranged from 64.9 t ha-1 in the longest established pasture (sown in 2003 and sampled in 2012 and 2014) to 25.2 t ha-1 in a poorly performing pasture (sown in 2007). SOC stocks at two of the sampled sites showed large (19.7 to 22.0 t ha-1) fluctuations over a 2-year period, which was likely linked to targeted management practices intended to increase pasture productivity. Taking into account farmers' needs for experimenting with management practices and their detailed local knowledge of why certain locations responded in different ways is paramount for developing longer term and larger scale approaches to improve soil health through novel agricultural practices.</t>
  </si>
  <si>
    <t>[Pauli, Natasha; Abbott, Lynette K.; Solaiman, Zakaria M.] Univ Western Australia, UWA Sch Agr &amp; Environm, Perth, WA 6009, Australia; [Abbott, Lynette K.; Solaiman, Zakaria M.] Univ Western Australia, Fac Sci, UWA Inst Agr, Perth, WA 6009, Australia; [Rex, Rob; Rex, Caroline] Westendale Grazing, Wagin, WA 6315, Australia</t>
  </si>
  <si>
    <t>University of Western Australia; University of Western Australia</t>
  </si>
  <si>
    <t>Pauli, N (corresponding author), Univ Western Australia, UWA Sch Agr &amp; Environm, 35 Stirling Highway, Crawley, WA 6009, Australia.</t>
  </si>
  <si>
    <t>natasha.pauli@uwa.edu.au</t>
  </si>
  <si>
    <t>Pauli, Natasha/H-5605-2014; Solaiman, Zakaria/C-9645-2010; Solaiman, Dr Zakaria/C-9645-2010; Abbott, Lynette/AAK-4304-2020; Abbott, Lynette/F-7489-2011</t>
  </si>
  <si>
    <t>Pauli, Natasha/0000-0002-1145-7458; Solaiman, Zakaria/0000-0001-7014-7532; Abbott, Lynette/0000-0001-8586-7858</t>
  </si>
  <si>
    <t>Australian Government Department of Agriculture and Water Resources [AOTGR1166, AOTGR1-166]</t>
  </si>
  <si>
    <t>Australian Government Department of Agriculture and Water Resources(Australian Government)</t>
  </si>
  <si>
    <t>Australian Government Department of Agriculture and Water Resources, Grant/Award Number: Action on the Ground (AOTGR1166) AOTGR1-166</t>
  </si>
  <si>
    <t>10.1002/ldr.3184</t>
  </si>
  <si>
    <t>HU8YZ</t>
  </si>
  <si>
    <t>WOS:000465580100007</t>
  </si>
  <si>
    <t>Buratti, C; Fantozzi, F; Barbanera, M; Lascaro, E; Chiorri, M; Cecchini, L</t>
  </si>
  <si>
    <t>Buratti, C.; Fantozzi, F.; Barbanera, M.; Lascaro, E.; Chiorri, M.; Cecchini, L.</t>
  </si>
  <si>
    <t>Carbon footprint of conventional and organic beef production systems: An Italian case study</t>
  </si>
  <si>
    <t>Livestock; Meat production; GHG emissions; Carbon footprint; Life Cycle Assessment</t>
  </si>
  <si>
    <t>ENVIRONMENTAL IMPACTS; MILK-PRODUCTION; METHANE EMISSIONS; DAIRY-COWS; MANAGEMENT; CATTLE; SEQUESTRATION; PERFORMANCE; MITIGATION; STRATEGIES</t>
  </si>
  <si>
    <t>Beef cattle production is a widespread activity in Italy in the agricultural field and determines an important impact on environment and resources consumption. Carbon footprint evaluation is thus necessary to evaluate the contributions of the different stages and the possible improvements of the production chain. In this study, two typical Italian beef production systems, a conventional and an organic one are investigated in order to evaluate the greenhouse gas emissions from cradle to gate farm by a Life Cycle Assessment (LCA) approach; the carbon footprint (CF) per 1 kg of live weight meat is calculated. The contributions from feed production, enteric fermentation, and manure management are taken into account, in order to compare the life cycle of the two productions; also the carbon balance in soil is evaluated, in order to verify the impact in a life cycle perspective. The results of CF calculation of the two farms show that organic system (24.62 kg CO2eq/kg live weight) produce more GHG emissions than the conventional one (18.21 kg CO2eq/kg live weight) and that the enteric fermentation is the more heavy contribution, with a range of 50-54% of the global CF value. Improvements of the production chain could be realized by accurate feeding strategies, in order to obtain reduction of methane emissions from enteric digestion of cattles. (C) 2016 Elsevier B.V. All rights reserved.</t>
  </si>
  <si>
    <t>[Buratti, C.; Fantozzi, F.; Barbanera, M.; Lascaro, E.] CRB, Biomass Res Ctr, Via G Duranti 63, I-06125 Perugia, Italy; [Chiorri, M.; Cecchini, L.] Univ Perugia, Dept Agr Food &amp; Environm Sci, Borgo 20 Giugno 74, I-06121 Perugia, Italy</t>
  </si>
  <si>
    <t>University of Perugia</t>
  </si>
  <si>
    <t>Buratti, C (corresponding author), CRB, Biomass Res Ctr, Via G Duranti 63, I-06125 Perugia, Italy.</t>
  </si>
  <si>
    <t>cinzia.buratti@unipg.it</t>
  </si>
  <si>
    <t>Buratti, Cinzia/H-9744-2019; Barbanera, Marco/AAA-5971-2020; Fantozzi, Francesco/I-8918-2012</t>
  </si>
  <si>
    <t>Buratti, Cinzia/0000-0001-5653-3701; Fantozzi, Francesco/0000-0002-8674-8364;</t>
  </si>
  <si>
    <t>Umbria Region (PSR) [44750225342]</t>
  </si>
  <si>
    <t>Umbria Region (PSR)</t>
  </si>
  <si>
    <t>This study was conducted as part of the project BovinePrint2020, funded by the Umbria Region (PSR 2007-2013, Mis. 124, Grant Number 44750225342).</t>
  </si>
  <si>
    <t>10.1016/j.scitotenv.2016.10.075</t>
  </si>
  <si>
    <t>EG3SJ</t>
  </si>
  <si>
    <t>WOS:000390964700012</t>
  </si>
  <si>
    <t>Uusitalo, V; Havukainen, J; Manninen, K; Höhn, J; Lehtonen, E; Rasi, S; Soukka, R; Horttanainen, M</t>
  </si>
  <si>
    <t>Uusitalo, V.; Havukainen, J.; Manninen, K.; Hohn, J.; Lehtonen, E.; Rasi, S.; Soukka, R.; Horttanainen, M.</t>
  </si>
  <si>
    <t>Carbon footprint of selected biomass to biogas production chains and GHG reduction potential in transportation use</t>
  </si>
  <si>
    <t>RENEWABLE ENERGY</t>
  </si>
  <si>
    <t>Directive 2009/28/EC; Biogas; Biomethane; Transportation sector; CHP</t>
  </si>
  <si>
    <t>ENVIRONMENTAL SYSTEMS-ANALYSIS; GREENHOUSE GASES; ENERGY; EMISSIONS; BALANCES</t>
  </si>
  <si>
    <t>Biogas is a biofuel which can be used as an energy source for gas-operated vehicles or for electricity and heat production. This paper studies the greenhouse gas emissions from biowaste, waste water treatment plant sludge and agricultural biomass based biogas use as a transportation fuel and compares the transportation use with the electricity and heat production and composting of feedstock. The research is conducted using Life cycle assessment methods and the calculation follow the directive 2009/28/EC, ISO 14040 standard and Greenhouse Gas Protocol. The use of biogas in transportation sector led in all studied cases to reductions of GHG emissions compared to fossil transportation fuels. The GHG reductions varied from 49% to 84%. Biogas production and use in electricity and heat production also led to GHG reductions compared to composting of feedstock but the reductions are not as high as in transportation use in most of cases. In addition if biogas is already used in energy production, it should be considered carefully whether the advantages of directing biogas to transportation purposes are profitable from a GHG emission point of view. However the GHG reductions are heavily depended on local energy systems. This creates challenges for the policy makers and leads to need for system scale comparisons. The wider use of biogas as a transportation fuel has a potential for high GHG emission reductions in the transportation sector. (C) 2013 Elsevier Ltd. All rights reserved.</t>
  </si>
  <si>
    <t>[Uusitalo, V.; Havukainen, J.; Soukka, R.; Horttanainen, M.] Lappeenranta Univ Technol, FI-53851 Lappeenranta, Finland; [Uusitalo, V.; Havukainen, J.] Helsinki Reg Environm Serv Author, FI-00066 Helsinki, Finland; [Manninen, K.] Finnish Environm Inst, FI-000251 Helsinki, Finland; [Hohn, J.; Lehtonen, E.; Rasi, S.] MTT Agrifood Res Finland, FI-31600 Jokioinen, Finland</t>
  </si>
  <si>
    <t>Lappeenranta-Lahti University of Technology LUT; Finnish Environment Institute; Natural Resources Institute Finland (Luke)</t>
  </si>
  <si>
    <t>Uusitalo, V (corresponding author), Lappeenranta Univ Technol, Lab Environm Engn, POB 20, Lappeenranta 53851, Finland.</t>
  </si>
  <si>
    <t>ville.uusitalo@lut.fi</t>
  </si>
  <si>
    <t>; Rasi, Saija/E-4892-2015; Havukainen, Jouni/Y-6179-2019; Horttanainen, Mika/AAL-5568-2020</t>
  </si>
  <si>
    <t>Havukainen, Jouni/0000-0003-3502-9957; Soukka, Risto/0000-0002-8439-3854; Horttanainen, Mika/0000-0003-3313-4497; Uusitalo, Ville/0000-0002-6449-376X</t>
  </si>
  <si>
    <t>EU Central Baltic Interreg IV A Programme; Regional Council of Southwest Finland</t>
  </si>
  <si>
    <t>EU Central Baltic Interreg IV A Programme(Interreg Europe); Regional Council of Southwest Finland</t>
  </si>
  <si>
    <t>This work was funded by EU Central Baltic Interreg IV A Programme and Regional Council of Southwest Finland and the project partners. The authors would like to thank HSY Helsinki Region Environmental Services Authority, Turun seudun jatehuolto Oy, Kymen Vesi Oy, Kymenlaakson Jate Oy, Rouskis Oy, Liikelaitos Salon Vesi and Finnish Biogas Association.</t>
  </si>
  <si>
    <t>0960-1481</t>
  </si>
  <si>
    <t>RENEW ENERG</t>
  </si>
  <si>
    <t>Renew. Energy</t>
  </si>
  <si>
    <t>10.1016/j.renene.2013.12.004</t>
  </si>
  <si>
    <t>AD2NZ</t>
  </si>
  <si>
    <t>WOS:000333073700011</t>
  </si>
  <si>
    <t>Xing, XF; Wang, R; Bauer, N; Ciais, P; Cao, JJ; Chen, JM; Tang, X; Wang, L; Yang, X; Boucher, O; Goll, D; Peñuelas, J; Janssens, IA; Balkanski, Y; Clark, J; Ma, JM; Pan, B; Zhang, SC; Ye, XN; Wang, YT; Li, Q; Luo, G; Shen, GF; Li, W; Yang, YC; Xu, SQ</t>
  </si>
  <si>
    <t>Xing, Xiaofan; Wang, Rong; Bauer, Nico; Ciais, Philippe; Cao, Junji; Chen, Jianmin; Tang, Xu; Wang, Lin; Yang, Xin; Boucher, Olivier; Goll, Daniel; Penuelas, Josep; Janssens, Ivan A.; Balkanski, Yves; Clark, James; Ma, Jianmin; Pan, Bo; Zhang, Shicheng; Ye, Xingnan; Wang, Yutao; Li, Qing; Luo, Gang; Shen, Guofeng; Li, Wei; Yang, Yechen; Xu, Siqing</t>
  </si>
  <si>
    <t>Spatially explicit analysis identifies significant potential for bioenergy with carbon capture and storage in China</t>
  </si>
  <si>
    <t>CO2 CAPTURE; BIOMASS RESOURCES; MARGINAL LAND; ENERGY-PRODUCTION; EMISSIONS; COST; MISCANTHUS; COAL; CCS; RESOLUTION</t>
  </si>
  <si>
    <t>As China ramped-up coal power capacities rapidly while CO2 emissions need to decline, these capacities would turn into stranded assets. To deal with this risk, a promising option is to retrofit these capacities to co-fire with biomass and eventually upgrade to CCS operation (BECCS), but the feasibility is debated with respect to negative impacts on broader sustainability issues. Here we present a data-rich spatially explicit approach to estimate the marginal cost curve for decarbonizing the power sector in China with BECCS. We identify a potential of 222GW of power capacities in 2836 counties generated by co-firing 0.9 Gt of biomass from the same county, with half being agricultural residues. Our spatially explicit method helps to reduce uncertainty in the economic costs and emissions of BECCS, identify the best opportunities for bioenergy and show the limitations by logistical challenges to achieve carbon neutrality in the power sector with large-scale BECCS in China. China has pledged to achieve carbon neutrality in 2060. Here the authors find a promising option to abate 1.0 Gt CO2-eq yr(-)(1) of carbon emissions at a marginal cost of $69 (t CO2-eq)(-1) by retrofitting 222GW of coal power plants to co-fire with biomass and upgrading to CCS operation across 2836 counties in China.</t>
  </si>
  <si>
    <t>[Xing, Xiaofan; Wang, Rong; Chen, Jianmin; Tang, Xu; Wang, Lin; Yang, Xin; Zhang, Shicheng; Ye, Xingnan; Wang, Yutao; Li, Qing; Luo, Gang; Yang, Yechen; Xu, Siqing] Fudan Univ, Dept Environm Sci &amp; Engn, Shanghai Key Lab Atmospher Particle Pollut &amp; Prev, Shanghai, Peoples R China; [Wang, Rong; Chen, Jianmin; Tang, Xu] Fudan Univ, IRDR Int Ctr Excellence Risk Interconnect &amp; Gover, Shanghai, Peoples R China; [Wang, Rong; Chen, Jianmin; Tang, Xu] Fudan Univ, Inst Atmospher Sci, Shanghai, Peoples R China; [Wang, Rong] Fudan Univ, Ctr Urban Ecoplanning &amp; Design, Shanghai, Peoples R China; [Wang, Rong] Fudan Univ, Big Data Inst Carbon Emiss &amp; Environm Pollut, Shanghai, Peoples R China; [Wang, Rong] Shanghai Inst Pollut Control &amp; Ecol Secur, Shanghai, Peoples R China; [Bauer, Nico] Leibniz Assoc, Potsdam Inst Climate Impact Res PIK, Potsdam, Germany; [Ciais, Philippe; Balkanski, Yves] CEA CNRS UVSQ, Lab Sci Climat &amp; Environm, Gif Sur Yvette, France; [Ciais, Philippe] Cyprus Inst, Climate &amp; Atmosphere Res Ctr CARE C, 20 Konstantinou Kavafi St, CY-2121 Nicosia, Cyprus; [Cao, Junji] Chinese Acad Sci, Inst Atmospher Phys, Beijing, Peoples R China; [Boucher, Olivier] Sorbonne Univ, Inst Pierre Simon Laplace, CNRS, Paris, France; [Goll, Daniel] Univ Augsburg, Lehrstuhl Phys Geog Schwerpunkt Klimaforsch, Augsburg, Germany; [Penuelas, Josep] CREAF, Cerdanyola Del Valles, Catalonia, Spain; [Penuelas, Josep] Global Ecol Unit CREAF CSIC UAB, CSIC, Catalonia, Spain; [Janssens, Ivan A.] Univ Antwerp, Dept Biol, Antwerp, Belgium; [Clark, James] Univ York, Green Chem Centreof Excellence, Dept Chem, York, N Yorkshire, England; [Ma, Jianmin; Shen, Guofeng] Peking Univ, Coll Urban &amp; Environm Sci, Lab Earth Surface Proc, Beijing, Peoples R China; [Pan, Bo] Kunming Univ Sci &amp; Technol, Fac Environm Sci &amp; Engn, Kunming, Yunnan, Peoples R China; [Li, Wei] Tsinghua Univ, Dept EarthSyst Sci, Beijing, Peoples R China</t>
  </si>
  <si>
    <t>Fudan University; Fudan University; Fudan University; Fudan University; Fudan University; Shanghai Institute of Pollution Control &amp; Ecological Security; Potsdam Institut fur Klimafolgenforschung; Universite Paris Saclay; CEA; Chinese Academy of Sciences; Institute of Atmospheric Physics, CAS; Sorbonne Universite; Universite Paris Saclay; Centre National de la Recherche Scientifique (CNRS); CNRS - National Institute for Earth Sciences &amp; Astronomy (INSU); University of Augsburg; Centro de Investigacion Ecologica y Aplicaciones Forestales (CREAF-CERCA); Centro de Investigacion Ecologica y Aplicaciones Forestales (CREAF-CERCA); Consejo Superior de Investigaciones Cientificas (CSIC); University of Antwerp; University of York - UK; Peking University; Kunming University of Science &amp; Technology; Tsinghua University</t>
  </si>
  <si>
    <t>Wang, R (corresponding author), Fudan Univ, Dept Environm Sci &amp; Engn, Shanghai Key Lab Atmospher Particle Pollut &amp; Prev, Shanghai, Peoples R China.;Wang, R (corresponding author), Fudan Univ, IRDR Int Ctr Excellence Risk Interconnect &amp; Gover, Shanghai, Peoples R China.;Wang, R (corresponding author), Fudan Univ, Inst Atmospher Sci, Shanghai, Peoples R China.;Wang, R (corresponding author), Fudan Univ, Ctr Urban Ecoplanning &amp; Design, Shanghai, Peoples R China.;Wang, R (corresponding author), Fudan Univ, Big Data Inst Carbon Emiss &amp; Environm Pollut, Shanghai, Peoples R China.;Wang, R (corresponding author), Shanghai Inst Pollut Control &amp; Ecol Secur, Shanghai, Peoples R China.</t>
  </si>
  <si>
    <t>rongwang@fudan.edu.cn</t>
  </si>
  <si>
    <t>Goll, Daniel/K-6620-2017; Clark, James/C-2064-2012; Balkanski, Yves/A-6616-2011; Han, Yu/GZA-9220-2022; Janssens, Ivan/JAN-7752-2023; Ciais, Philippe/A-6840-2011; Penuelas, Josep/D-9704-2011; Wang, Lin/E-8546-2010; Junji, Cao/D-3259-2014; Boucher, Olivier/K-7483-2012; Chen, Jianmin/M-8575-2019; Chen, Jianmin/G-6484-2010; SHEN, Guofeng/F-3163-2015; Ye, Xingnan/B-4413-2012; Zhang, Shicheng/H-2399-2011; jiang, min/D-2531-2009; Li, Qing/B-7371-2016; Luo, Gang/I-5290-2014; li, Qing/B-7371-2016; Penuelas, Josep/D-9704-2011; Pan, Bo/I-9431-2014</t>
  </si>
  <si>
    <t>Yang, Xin/0000-0003-3428-3806; Penuelas, Josep/0000-0002-7215-0150; Wang, Lin/0000-0002-4905-3432; Bauer, Nico/0000-0002-0211-4162; Chen, Jianmin/0000-0001-5859-3070; SHEN, Guofeng/0000-0002-7731-5399; Tang, Xu/0000-0001-6274-2753; Clark, James/0000-0002-5860-2480; Wang, Rong/0000-0003-1962-0165; Luo, Gang/0000-0002-9711-9619; li, Qing/0000-0003-0587-1748; Penuelas, Josep/0000-0002-7215-0150; Pan, Bo/0000-0003-3680-1451; Yang, Xin/0000-0002-9173-1188; Xu, Siqing/0009-0005-4075-0476</t>
  </si>
  <si>
    <t>National Natural Science Foundation of China [41877506, 21925601, 41922057]; National Key Research and Development Program of China [2017YFC0212200]; Chinese Thousand Youth Talents Program, Chinese Academy of Science [XDA23010100]; ERC-Synergy IMBALANCE-P; ANR CLAND Convergence Institute [16-CONV-0003]; PEGASOS project - German Federal Ministry of Education and Research (BMBF) [01LA1826C]</t>
  </si>
  <si>
    <t>National Natural Science Foundation of China(National Natural Science Foundation of China (NSFC)); National Key Research and Development Program of China(National Key Research &amp; Development Program of China); Chinese Thousand Youth Talents Program, Chinese Academy of Science; ERC-Synergy IMBALANCE-P(European Research Council (ERC)); ANR CLAND Convergence Institute(Agence Nationale de la Recherche (ANR)); PEGASOS project - German Federal Ministry of Education and Research (BMBF)(Federal Ministry of Education &amp; Research (BMBF))</t>
  </si>
  <si>
    <t>This work was funded by the National Natural Science Foundation of China (41877506, 21925601, 41922057), National Key Research and Development Program of China (No. 2017YFC0212200), the Chinese Thousand Youth Talents Program, Chinese Academy of Science (XDA23010100), the ERC-Synergy IMBALANCE-P, and the ANR CLAND Convergence Institute 16-CONV-0003. The research leading to these results was also supported by the PEGASOS (01LA1826C) project funded by the German Federal Ministry of Education and Research (BMBF). We gratefully acknowledge the useful comments offered by three anonymous referees which are helpful to improve the manuscript.</t>
  </si>
  <si>
    <t>MAY 26</t>
  </si>
  <si>
    <t>10.1038/s41467-021-23282-x</t>
  </si>
  <si>
    <t>SN4YH</t>
  </si>
  <si>
    <t>WOS:000658296400007</t>
  </si>
  <si>
    <t>Li, YY; Xue, CX; Chai, CQ; Li, W; Li, N; Yao, SB</t>
  </si>
  <si>
    <t>Li, Yuanyuan; Xue, Caixia; Chai, Chaoqing; Li, Wei; Li, Na; Yao, Shunbo</t>
  </si>
  <si>
    <t>Influencing factors and spatiotemporal heterogeneity of net carbon sink of conservation tillage: evidence from China</t>
  </si>
  <si>
    <t>Conservation tillage; Net carbon sink; Sustainable agriculture; Influencing factors; Spatiotemporal heterogeneity</t>
  </si>
  <si>
    <t>GREENHOUSE-GAS EMISSIONS; SOIL ORGANIC-CARBON; AGRICULTURAL MANAGEMENT; STRAW RETURN; NO-TILLAGE; SEQUESTRATION; ACCUMULATION; AGGREGATION; REGRESSION; STORAGE</t>
  </si>
  <si>
    <t>Conservation tillage is an important reform of traditional tillage, which has significant carbon sequestration and emission reduction effects. It is important to investigate the influencing factors and spatiotemporal heterogeneity of net carbon sink of conservation tillage for realizing the dual carbon target, and facilitating agricultural sustainable development. This study used the coefficient accounting method to calculate the carbon sink and carbon emission of conservation tillage in China from 2000 to 2019, respectively. Based on this, the net carbon sink of conservation tillage was measured. Then, the spatiotemporal heterogeneity of influencing factors on net carbon sink of conservation tillage was analyzed by using the geographically and temporally weighted regression model. The results showed that (1) the net carbon sink of conservation tillage in China was significant and had potential to have a constant rise; (2) spatially, the net carbon sink of conservation tillage changed more variably in longitudinal direction. Specifically, the promotion effect of conservation tillage machinery gradually decreased from west to east. The planting structure and conservation tillage promotion intensity played key roles in improving net carbon sink of conservation tillage. (3) Temporally, the effect of conservation tillage machinery showed positive effect of decreasing yearly, while the positive effect of promotion intensity increased year by year. Planting structure and economic development negatively affected improvement on the net carbon sink of conservation tillage and the negative effect increased year by year. Additionally, the effect of education on the net carbon sink shifted from positive to negative over time. The study aims to provide a reference for the government to promote conservation tillage according to local conditions and to achieve the dual carbon target.</t>
  </si>
  <si>
    <t>[Li, Yuanyuan; Xue, Caixia; Chai, Chaoqing; Li, Na; Yao, Shunbo] Northwest Agr &amp; Forest Univ, Coll Econ &amp; Management, Yangling, Peoples R China; [Li, Wei] Northwest Agr &amp; Forest Univ, Coll Mech &amp; Elect Engn, Yangling, Peoples R China</t>
  </si>
  <si>
    <t>Northwest A&amp;F University - China; Northwest A&amp;F University - China</t>
  </si>
  <si>
    <t>Xue, CX (corresponding author), Northwest Agr &amp; Forest Univ, Coll Econ &amp; Management, Yangling, Peoples R China.</t>
  </si>
  <si>
    <t>xuecaixia008@nwsuaf.edu.cn</t>
  </si>
  <si>
    <t>; chai, chaoqing/JZC-7226-2024</t>
  </si>
  <si>
    <t>Yao, Shunbo/0000-0002-4779-8377;</t>
  </si>
  <si>
    <t>Humanities and Social Sciences Project of the Ministry of Education [22YJA630042]; Shaanxi Provincial Soft Science Project [2023-CX-RKX-043, JGYJSCXXM202206]; Graduate Student Science and Technology Innovation Project, School of Economics and Management, North-west A F University</t>
  </si>
  <si>
    <t>Humanities and Social Sciences Project of the Ministry of Education; Shaanxi Provincial Soft Science Project; Graduate Student Science and Technology Innovation Project, School of Economics and Management, North-west A F University</t>
  </si>
  <si>
    <t>This study was supported by Humanities and Social Sciences Project of the Ministry of Education: Research on the spatial and temporal patterns, driving forces and enhancement strategies of net carbon sink of conservation tillage in China [No. 22YJA630042], Shaanxi Provincial Soft Science Project: Net carbon sink effect of conservation tillage in Shaanxi province: spatial and temporal patterns, driving factors and policy optimization [No. 2023-CX-RKX-043], and Research on the Measurement, Driving Mechanism and Enhancement Path of Net Carbon Sink Effect of Conservation Tillage in China [No. JGYJSCXXM202206], Graduate Student Science and Technology Innovation Project, School of Economics and Management, North-west A &amp; F University.</t>
  </si>
  <si>
    <t>10.1007/s11356-023-29969-6</t>
  </si>
  <si>
    <t>EK2Q2</t>
  </si>
  <si>
    <t>WOS:001096330300005</t>
  </si>
  <si>
    <t>Vaughan, NE; Gough, C; Mander, S; Littleton, EW; Welfle, A; Gernaat, DEHJ; van Vuuren, DP</t>
  </si>
  <si>
    <t>Vaughan, Naomi E.; Gough, Clair; Mander, Sarah; Littleton, Emma W.; Welfle, Andrew; Gernaat, David E. H. J.; van Vuuren, Detlef P.</t>
  </si>
  <si>
    <t>Evaluating the use of biomass energy with carbon capture and storage in low emission scenarios</t>
  </si>
  <si>
    <t>1.5 degrees C; biomass energy with carbon capture and storage; integrated assessment model; negative emissions technologies; carbon dioxide removal; 2 degrees C; climate change mitigation</t>
  </si>
  <si>
    <t>TECHNOECONOMIC ASSESSMENT; BIOENERGY; LAND; COST; CCS; CO2; AVAILABILITY; AGRICULTURE; ACCEPTANCE; MITIGATION</t>
  </si>
  <si>
    <t>Biomass Energy with Carbon Capture and Storage (BECCS) is heavily relied upon in scenarios of future emissions that are consistent with limiting global mean temperature increase to 1.5 degrees C or 2 degrees C above pre-industrial. These temperature limits are defined in the Paris Agreement in order to reduce the risks and impacts of climate change. Here, we explore the use of BECCS technologies in a reference scenario and three low emission scenarios generated by an integrated assessment model (IMAGE). Using these scenarios we investigate the feasibility of key implicit and explicit assumptions about these BECCS technologies, including biomass resource, land use, CO2 storage capacity and carbon capture and storage (CCS) deployment rate. In these scenarios, we find that half of all global CO2 storage required by 2100 occurs in USA, Western Europe, China and India, which is compatible with current estimates of regional CO2 storage capacity. CCS deployment rates in the scenarios are very challenging compared to historical rates of fossil, renewable or nuclear technologies and are entirely dependent on stringent policy action to incentivise CCS. In the scenarios, half of the biomass resource is derived from agricultural and forestry residues and half from dedicated bioenergy crops grown on abandoned agricultural land and expansion into grasslands (i.e. land for forests and food production is protected). Poor governance of the sustainability of bioenergy crop production can significantly limit the amount of CO2 removed by BECCS, through soil carbon loss from direct and indirect land use change. Only one-third of the bioenergy crops are grown in regions associated with more developed governance frameworks. Overall, the scenarios in IMAGE are ambitious but consistent with current relevant literature with respect to assumed biomass resource, land use and CO2 storage capacity.</t>
  </si>
  <si>
    <t>[Vaughan, Naomi E.] Univ East Anglia, Sch Environm Sci, Tyndall Ctr Climate Change Res, Norwich NR4 7TJ, Norfolk, England; [Gough, Clair; Mander, Sarah; Welfle, Andrew] Univ Manchester, Sch Mech Aerosp &amp; Civil Engn, Tyndall Ctr Climate Change Res, Manchester M13 4PL, Lancs, England; [Littleton, Emma W.] Univ Exeter, Coll Life &amp; Environm Sci, Exeter EX4 4QJ, Devon, England; [Gernaat, David E. H. J.; van Vuuren, Detlef P.] PBL Netherlands Environm Assessment Agcy, The Hague, Netherlands; [Gernaat, David E. H. J.; van Vuuren, Detlef P.] Univ Utrecht, Copernicus Inst Sustainable Dev, Utrecht, Netherlands</t>
  </si>
  <si>
    <t>University of East Anglia; University of Manchester; University of Exeter; Utrecht University</t>
  </si>
  <si>
    <t>Vaughan, NE (corresponding author), Univ East Anglia, Sch Environm Sci, Tyndall Ctr Climate Change Res, Norwich NR4 7TJ, Norfolk, England.</t>
  </si>
  <si>
    <t>n.vaughan@uea.ac.uk</t>
  </si>
  <si>
    <t>; van Vuuren, Detlef/A-4764-2009; mander, sarah/KVZ-3247-2024</t>
  </si>
  <si>
    <t>Gernaat, David/0000-0003-4994-1453; Littleton, Emma/0000-0001-5576-5498; Gough, Clair/0000-0001-5063-9425; van Vuuren, Detlef/0000-0003-0398-2831; Mander, Sarah/0000-0001-8492-6246; Welfle, Anew/0000-0002-8705-3687; Vaughan, Naomi/0000-0002-4532-2084</t>
  </si>
  <si>
    <t>UK Government, Department for Business, Energy and Industrial Strategy; Natural Environment Research Council [NE/P019951/1]; EPSRC [EP/P026214/1, EP/S000771/1] Funding Source: UKRI; NERC [NE/P019722/2, NE/P019722/1, NE/P019951/1] Funding Source: UKRI; Engineering and Physical Sciences Research Council [EP/P026214/1, EP/S000771/1] Funding Source: researchfish; Natural Environment Research Council [NE/P019722/2, NE/P019722/1] Funding Source: researchfish</t>
  </si>
  <si>
    <t>UK Government, Department for Business, Energy and Industrial Strategy; Natural Environment Research Council(UK Research &amp; Innovation (UKRI)Natural Environment Research Council (NERC)); EPSRC(UK Research &amp; Innovation (UKRI)Engineering &amp; Physical Sciences Research Council (EPSRC)); NERC(UK Research &amp; Innovation (UKRI)Natural Environment Research Council (NERC)); Engineering and Physical Sciences Research Council(UK Research &amp; Innovation (UKRI)Engineering &amp; Physical Sciences Research Council (EPSRC)); Natural Environment Research Council(UK Research &amp; Innovation (UKRI)Natural Environment Research Council (NERC))</t>
  </si>
  <si>
    <t>This paper was funded by the UK Government, Department for Business, Energy and Industrial Strategy, as part of the Implications of global warming of 1.5 degrees C and 2 degrees C project. NEV, CG &amp; EWL acknowledge support from the Natural Environment Research Council (NE/P019951/1). NEV thanks BGM Webber and C Le Quere for input and discussions.</t>
  </si>
  <si>
    <t>10.1088/1748-9326/aaaa02</t>
  </si>
  <si>
    <t>GB0VG</t>
  </si>
  <si>
    <t>WOS:000428767000001</t>
  </si>
  <si>
    <t>Aditya, K; Bharti; Das, P; Banerjee, R; Rathinakumari, AC; Ahmad, T; Bhargav, VK; Kumaran, GS; Venu, SA</t>
  </si>
  <si>
    <t>Aditya, Kaustav; Bharti; Das, Pankaj; Banerjee, Rahul; Rathinakumari, A. Carolin; Ahmad, Tauqueer; Bhargav, Vinod Kumar; Kumaran, G. Senthil; Venu, S. A.</t>
  </si>
  <si>
    <t>Sampling design and estimation procedure for energy audit and carbon footprints for onion crop in India</t>
  </si>
  <si>
    <t>Energy use pattern; Survey weighted estimates; Data envelopment analysis; Renewable energy</t>
  </si>
  <si>
    <t>DIFFERENT TILLAGE METHODS; INPUT-OUTPUT-ANALYSIS; GAS EMISSIONS GHG; ECONOMIC-ANALYSIS; WHEAT PRODUCTION; USE EFFICIENCY; USE PATTERN; VEGETABLE PRODUCTION; APRICOT PRODUCTION; TOMATO PRODUCTION</t>
  </si>
  <si>
    <t>Agriculture significantly contributes to greenhouse gas emissions, necessitating swift policy action to mitigate its environmental impact, aligning with UN sustainable development Goals (SDGs). Assessing energy usage and targeting energy-intensive operations are key to effective energy management that enables farmers to implement strategies, reducing costs and carbon footprint. Implementing energy audits in agriculture requires a proper sampling methodology to identify energy-intensive operations and explore renewable energy sources. Therefore, the study presents a detailed sampling design and methodology for estimating energy usage in agricultural crops. It outlines sample size determination, allocation across strata, selection and parameter estimation procedures. Non-parametric data envelopment analysis (DEA) identified 7% of farm households as efficiently using energy, with an average technical efficiency of 0.77 for inefficient ones, suggesting a potential 23% resource saving without yield reduction. Additionally, CO2 emissions per crop production process highlight the urgency of policy formulation to promote renewable energy sources.</t>
  </si>
  <si>
    <t>[Aditya, Kaustav; Bharti; Das, Pankaj; Banerjee, Rahul; Ahmad, Tauqueer] ICAR Indian Agr Stat Res Inst, New Delhi, India; [Rathinakumari, A. Carolin; Kumaran, G. Senthil; Venu, S. A.] ICAR Indian Inst Hort Res, Bengaluru, India; [Bhargav, Vinod Kumar] ICAR Cent Inst Agr Engn, Bhopal, India</t>
  </si>
  <si>
    <t>Indian Council of Agricultural Research (ICAR); ICAR - Indian Agricultural Statistics Research Institute; Indian Council of Agricultural Research (ICAR); ICAR - Indian Institute of Horticultural Research; Indian Council of Agricultural Research (ICAR); ICAR - Central Institute of Agricultural Engineering</t>
  </si>
  <si>
    <t>Bharti (corresponding author), ICAR Indian Agr Stat Res Inst, New Delhi, India.</t>
  </si>
  <si>
    <t>bhartibhardwaj69@gmail.com</t>
  </si>
  <si>
    <t>KUMARAN, SENTHIL/OCL-4484-2025; Banerjee, Rahul/AAB-6477-2019; Aditya, Kaustav/AEM-1601-2022</t>
  </si>
  <si>
    <t>ICAR-All India Coordinated Research Project on Energy in Agriculture &amp; Agro-based Industries (ICAR-AICRP on EAAI)</t>
  </si>
  <si>
    <t>ICAR-All India Coordinated Research Project on Energy in Agriculture &amp; Agro-based Industries (ICAR-AICRP on EAAI).</t>
  </si>
  <si>
    <t>10.1038/s41598-025-96054-y</t>
  </si>
  <si>
    <t>9OV0A</t>
  </si>
  <si>
    <t>WOS:001611467400004</t>
  </si>
  <si>
    <t>Zhang, RX; Qu, ZY; Yang, W; Li, JJ; Wang, LP; Liu, Q; Zhang, DL; Qiao, T; Zhao, YB</t>
  </si>
  <si>
    <t>Zhang, Ruxin; Qu, Zhongyi; Yang, Wei; Li, Junjie; Wang, Liping; Liu, Qi; Zhang, Dongliang; Qiao, Tian; Zhao, Yibo</t>
  </si>
  <si>
    <t>Evaluating annual soil carbon emissions under biochar-added farmland subjecting from freeze-thaw cycle</t>
  </si>
  <si>
    <t>Biochar; Soil carbon emission; Microbial colony count; Structural equation modeling; Influence mechanism</t>
  </si>
  <si>
    <t>GREENHOUSE-GAS EMISSIONS; CLIMATE-CHANGE; STRAW BIOCHAR; SAMPLING TIME; WHEAT-STRAW; NITROGEN; MINERALIZATION; FOREST; YIELD; RICE</t>
  </si>
  <si>
    <t>Straw biochar is a commonly recognized agricultural amendment that can improve soil quality and reduce carbon emissions while sequestering soil carbon. However, the mechanisms underlying biochar's effects on annual soil carbon emissions in seasonally frozen soil areas and intrinsic drivers have not been clarified. Here, a 2-y field experiment was conducted to investigate the effects of different biochar dosages (0, 15, and 30, t ha(-1); B0 (CK), B15, and B30, respectively) on carbon emissions (CO2 and CH4) microbial colony count, and soil-environment factors. The study period was the full annual cycle, including the freeze-thaw period (FTP) and the crop growth period (CP). Structural equation modeling (SEM) was developed to reveal the key drivers and potential mechanisms of biochar on carbon emissions. Biochar application reduced soil carbon emissions, with the reduction rate positively related to the biochar application rate (B30 best). During FTP, the reduction rate was 11.5% for CO2 and 48.2% for CH4. During CP, the reduction rate was 17.9% for CO2 and 34.5% for CH4. Overall, compared with CK, B30 treatment had a significant effect on reducing total soil carbon emissions (P &lt; 0.05), with an average decrease of 16.7% during the two-year test period. The study also showed that for soils with continuous annual cycles (FTP and CP), carbon emissions were best observed from 10:00-13:00. After two years of freeze-thaw cycling, biochar continued to improve soil physical and chemical properties, thereby increasing soil microbial colony count. Compared with B0, the B30 treatment significantly increased the total colony count by 74.3% and 263.8% during FTP and CP (P &lt; 0.05). Structural equation modeling (SEM) indicated that, with or without biochar application, the soil physicochemical properties directly or indirectly affected soil CO2 and CH4 emission fluxes through microbial colony count. The total effects of biochar application on CO2 emission fluxes were 0.50 (P &lt; 0.05) and 0.64 (P &lt; 0.01), respectively, but there was no significant effect on CH4 emission fluxes (P &gt; 0.05). Among them, soil water content (SWC), soil temperature (ST) and soil organic carbon (SOC) were the main environmental determinants of CO2 emission fluxes during the FTP and CP. The total effects were 0.57, 0.65, and 0.53, respectively. For CH4, SWC, soil salinity (SS) and actinomycete colony count were the main environmental factors affecting its emission. The total effects were 0.50, 0.45, 0.44, respectively. For freeze-thaw alternating soils, the application of biochar is a feasible option for addressing climate change through soil carbon sequestration and greenhouse gas emissions mitigation. Soil water-heat-salt-fertilization and microbial communities are important for soil carbon emissions as the reaction matrix and main participants of soil carbon and nitrogen biochemical transformation.</t>
  </si>
  <si>
    <t>[Zhang, Ruxin; Qu, Zhongyi; Li, Junjie; Wang, Liping; Liu, Qi; Zhang, Dongliang; Qiao, Tian; Zhao, Yibo] Inner Mongolia Agr Univ, Coll Water Conservancy &amp; Civil Engn, Hohhot 010018, Peoples R China; [Yang, Wei] Inner Mongolia Agr Univ, Coll Grassland Resources &amp; Environm, Hohhot 010018, Peoples R China; [Qu, Zhongyi; Yang, Wei; Wang, Liping] Autonomous Reg Collaborat Innovat Ctr Integrated M, Hohhot 010018, Peoples R China</t>
  </si>
  <si>
    <t>Inner Mongolia Agricultural University; Inner Mongolia Agricultural University</t>
  </si>
  <si>
    <t>Qu, ZY (corresponding author), Inner Mongolia Agr Univ, Coll Water Conservancy &amp; Civil Engn, Hohhot 010018, Peoples R China.;Yang, W (corresponding author), Inner Mongolia Agr Univ, Coll Grassland Resources &amp; Environm, Hohhot 010018, Peoples R China.</t>
  </si>
  <si>
    <t>quzhongyi@imau.edu.cn; yang.wei@imau.edu.cn</t>
  </si>
  <si>
    <t>Zhao, Yibo/KCY-5534-2024</t>
  </si>
  <si>
    <t>Yang, Wei/0000-0002-9522-1417</t>
  </si>
  <si>
    <t>National Natural Science Foundation of China [52279037, 52109056]; National Key Research and Development Program of China [2021YFD1900605-08]; Program for Young Talents of Science and Technology in Universities of Inner Mongolia Autonomous Region [NJYT23102]; Basic Research Operating Expenses-Multi-disciplinary Research Program [BR22-15-03]</t>
  </si>
  <si>
    <t>National Natural Science Foundation of China(National Natural Science Foundation of China (NSFC)); National Key Research and Development Program of China(National Key Research &amp; Development Program of China); Program for Young Talents of Science and Technology in Universities of Inner Mongolia Autonomous Region; Basic Research Operating Expenses-Multi-disciplinary Research Program</t>
  </si>
  <si>
    <t>We really appreciate the editor and reviewers for their profound and professional comments which greatly improved this study. This work was supported by National Natural Science Foundation of China (52279037 and 52109056) ; National Key Research and Development Program of China (2021YFD1900605-08) ; Program for Young Talents of Science and Technology in Universities of Inner Mongolia Autonomous Region (NJYT23102) ; Basic Research Operating Expenses-Multi-disciplinary Research Program (BR22-15-03) .</t>
  </si>
  <si>
    <t>10.1016/j.jenvman.2024.121506</t>
  </si>
  <si>
    <t>H7T6D</t>
  </si>
  <si>
    <t>WOS:001325433500001</t>
  </si>
  <si>
    <t>Kim, J; Park, E; Song, CL; Hong, MA; Jo, HW; Lee, WK</t>
  </si>
  <si>
    <t>Kim, Jiwon; Park, Eunbeen; Song, Cholho; Hong, Mina; Jo, Hyun-Woo; Lee, Woo-Kyun</t>
  </si>
  <si>
    <t>How to manage land use conflict between ecosystem and sustainable energy for low carbon transition?: Net present value analysis for ecosystem service and energy supply</t>
  </si>
  <si>
    <t>land use management; ecosystem services; carbon neutrality; economic evaluation; net present value; sustainable development</t>
  </si>
  <si>
    <t>RENEWABLE ENERGY; KOREA; OPTION; SCALE</t>
  </si>
  <si>
    <t>Solar energy generation has become one of the most popular renewable energy sources for achieving global carbon neutrality. This transition to land-intensive energy generates inevitable land use conflicts with existing land cover, such as forest or agricultural land. South Korea is one of the countries currently experiencing conflicts in land use between ecosystems, food and energy. In addition, various land use problems occur, such as deforestation due to developments and an increase in idle agricultural land due to a decrease in the labor force. Thus, it is important to establish future land use policies that consider these issues. This study conducted a net present value (NPV) analysis for solving land use conflict by comparing monetary value according to different land use cases. Two land use scenarios were investigated: 1) land cover maintained (forest or agricultural land) and 2) land use change for solar energy generation. These two scenarios were compared in the target areas selected in this study to determine the criteria for the solar energy generation site. The economic values from Scenario 1were calculated primarily using ecosystem services assessment and market value, and those of Scenario 2 were calculated based on statistical data. The total suitable area for solar energy generation in Korea was 551,393 ha. As results, the NPV of forest ecosystem services was higher than that of solar energy generation in forest. In the case of idle agricultural land, agriculture caused a continuous deficit owing to carbon emissions, and accordingly, the carbon reduction effect through solar energy generation had a greater value than agricultural activities. This study attempted to resolve land use conflict by considering carbon neutrality through comparing economic values and introducing ecosystem services assessment and carbon credit price in the process of the analysis.</t>
  </si>
  <si>
    <t>[Kim, Jiwon; Park, Eunbeen; Hong, Mina; Jo, Hyun-Woo] Korea Univ, Dept Environm Sci &amp; Ecol Engn, Seoul, South Korea; [Song, Cholho; Hong, Mina] Korea Univ, OJEong Resilience Inst OJERI, Seoul, South Korea; [Lee, Woo-Kyun] Korea Univ, Div Environm Sci &amp; Ecol Engn, Seoul, South Korea</t>
  </si>
  <si>
    <t>Korea University; Korea University; Korea University</t>
  </si>
  <si>
    <t>Lee, WK (corresponding author), Korea Univ, Div Environm Sci &amp; Ecol Engn, Seoul, South Korea.</t>
  </si>
  <si>
    <t>leewk@korea.ac.kr</t>
  </si>
  <si>
    <t>; Hong, Mina/JNS-1552-2023; Song, Cholho/AAQ-1519-2020; Lee, Woo-Kyun/AAP-9837-2020; Jo, Hyun-Woo/GZK-7613-2022</t>
  </si>
  <si>
    <t>Kim, Jiwon/0000-0003-1856-4114;</t>
  </si>
  <si>
    <t>National Research Foundation of Korea (NRF) - Ministry of Science and ICT [2021K1A3A1A78097879]; National Research Foundation of Korea (NRF) - Korea government (MSIT) [2020R1C1C1007165]</t>
  </si>
  <si>
    <t>National Research Foundation of Korea (NRF) - Ministry of Science and ICT(National Research Foundation of KoreaMinistry of Science, ICT &amp; Future Planning, Republic of Korea); National Research Foundation of Korea (NRF) - Korea government (MSIT)(National Research Foundation of KoreaMinistry of Science, ICT &amp; Future Planning, Republic of KoreaMinistry of Science &amp; ICT (MSIT), Republic of Korea)</t>
  </si>
  <si>
    <t>This work was supported by the International Research and Development Program of the National Research Foundation of Korea (NRF) funded by the Ministry of Science and ICT (2021K1A3A1A78097879) and by the National Research Foundation of Korea (NRF) grant funded by the Korea government (MSIT) (No. 2020R1C1C1007165).</t>
  </si>
  <si>
    <t>10.3389/fenvs.2022.1044928</t>
  </si>
  <si>
    <t>6J6FR</t>
  </si>
  <si>
    <t>WOS:000886917000001</t>
  </si>
  <si>
    <t>Bai, J; Li, Y; Zhang, J; Xu, FL; Bo, QF; Wang, ZL; Li, ZY; Li, SQ; Shen, YF; Yue, SC</t>
  </si>
  <si>
    <t>Bai, Ju; Li, Yang; Zhang, Jie; Xu, Fanglei; Bo, Qifei; Wang, Zelin; Li, Ziyan; Li, Shiqing; Shen, Yufang; Yue, Shanchao</t>
  </si>
  <si>
    <t>Straw returning and one-time application of a mixture of controlled release and solid granular urea to reduce carbon footprint of plastic film mulching spring maize</t>
  </si>
  <si>
    <t>Greenhouse gases; Controlled release urea; Straw return; Net global warming potential; Carbon footprint</t>
  </si>
  <si>
    <t>GREENHOUSE-GAS EMISSIONS; NITROUS-OXIDE EMISSIONS; CROPPING SYSTEM; AGRICULTURAL SOILS; NO EMISSIONS; COATED UREA; N2O; YIELD; FERTILIZERS; DYNAMICS</t>
  </si>
  <si>
    <t>For a long time, nitrogen (N) management for high-yielding maize (Zea mays L.) has been a severe challenge. The N supply must maximize yield while minimizing environmental impact. In response to the above problems, we evaluated different approaches to nitrogen fertilizer management based on grain yield, economic benefits and environmental benefits of spring maize systems from 2017 to 2019 in a semiarid area of northwestern China. The four treatments included solid granular urea with a split application (UR), one-time application of a mixture of controlled release and solid granular urea (CU), straw return with the combination of controlled release and solid granular urea (CUS) and control (CK). From the perspective of agricultural production, compared with the CK, high yields (&gt;15 Mg ha(-1)) were guaranteed in the other treatments. Considering both the environment and the economy, compared with the UR treatment, the CU treatment not only improved the economic efficiency of maize cultivation (increased by 4.9%-12.1%) but also significantly decreased the net global warming potential (NGWP) and carbon footprint (CF) (decreased by 21.1-21.7% and 17.8-23.1%, respectively). At the same time, the CU treatment optimized the proportions of N2O emissions at different growth stages and reduced the risk of emissions caused by high temperatures and rainfall in the middle and late stages of maize growth. Compared to the CU treatment, although the CUS treatment increased CO2 and N2O emissions (increased by 35% and 51%, respectively), the accumulation of soil organic carbon (SOC) was enhanced by straw return, which offset the negative impact of the increase in greenhouse gas emissions and significantly reduced the NGWP and CF compared to values for the other three treatments (decreased by 51% and 50%, respectively). With a comprehensive consideration of environmental impacts and economic benefits, the combination of solid granular urea (SGU) and controlled release urea (CRU) with the straw return is an environmentally friendly, high-yielding, high-economic benefit and low-emissions production technology for arid and semiarid areas. (C) 2020 Elsevier Ltd. All rights reserved.</t>
  </si>
  <si>
    <t>[Bai, Ju; Li, Shiqing; Shen, Yufang; Yue, Shanchao] Northwest A&amp;F Univ, State Key Lab Soil Eros &amp; Dryland Farming Loess P, Yangling 712100, Shaanxi, Peoples R China; [Bai, Ju; Li, Yang; Zhang, Jie; Xu, Fanglei; Bo, Qifei; Wang, Zelin; Li, Ziyan; Li, Shiqing; Shen, Yufang; Yue, Shanchao] Northwest A&amp;F Univ, Coll Nat Resources &amp; Environm, Yangling 712100, Shaanxi, Peoples R China</t>
  </si>
  <si>
    <t>Shen, YF; Yue, SC (corresponding author), Northwest A&amp;F Univ, State Key Lab Soil Eros &amp; Dryland Farming Loess P, Yangling 712100, Shaanxi, Peoples R China.</t>
  </si>
  <si>
    <t>shenyufang@nwafu.edu.cn; yueshanchao@nwafu.edu.cn</t>
  </si>
  <si>
    <t>Wang, Zelin/ABC-1645-2021; Yue, Shanchao/D-1846-2009; bo, qifei/LGX-4782-2024; XU, Fanglei/NRY-6617-2025; Li, Shiqing/AAG-8907-2019; Shen, Yao-chun/AAB-4394-2019</t>
  </si>
  <si>
    <t>National Key R&amp;D Program of China [2017YFD0201801, 2017YFD0201807]; Ministry of Science and Technology of China [2015CB150402]</t>
  </si>
  <si>
    <t>National Key R&amp;D Program of China; Ministry of Science and Technology of China(Ministry of Science and Technology, China)</t>
  </si>
  <si>
    <t>This research was financially supported by the National Key R&amp;D Program of China (2017YFD0201801, 2017YFD0201807) and the Ministry of Science and Technology of China (2015CB150402).</t>
  </si>
  <si>
    <t>10.1016/j.jclepro.2020.124478</t>
  </si>
  <si>
    <t>PT6RU</t>
  </si>
  <si>
    <t>WOS:000608741500020</t>
  </si>
  <si>
    <t>Sukhoveeva, OE</t>
  </si>
  <si>
    <t>Sukhoveeva, O. E.</t>
  </si>
  <si>
    <t>Carbon Calculators as a Tool for Assessing Greenhouse Gas Emissions from Livestock</t>
  </si>
  <si>
    <t>DOKLADY EARTH SCIENCES</t>
  </si>
  <si>
    <t>carbon dioxide; methane; nitrous oxide; cows; sheep; horses</t>
  </si>
  <si>
    <t>Carbon calculators are programs for calculating greenhouse gas emissions (a carbon footprint) from agricultural production on the farm scale. They are created on the base of the IPCC methods but have not been used in Russia yet. The purpose of this study is to analyze the effectiveness of their application to assess emissions from livestock production and to develop recommendations for their reduction. The four most common calculators, i.e., the Cool Farm Tool, the AgRE-Calc, the Farm Carbon Calculator, and Ex-Act, were selected as the study objects. Among them, the Cool Farm Tool is recognized as the most convenient and effective, while the AgRE-Calc and the Farm Carbon Calculator do not fully present the technological features of animal husbandry. Ex-Act is ill-suited for the livestock sector because it is based on changes of land use. According to model experiments, the most efficient type of farming in terms of reducing greenhouse gas emissions is full grazing, in which manure is left in the fields, and there are no expenses for production of additional feed. In this case, the emissions are reduced by 2.45 and 0.84 t CO2-eq./head-yr for cows and horses, respectively (the Cool Farm Tool); as well as by 0.53 and 0.42 t CO2-eq./head-yr for cows and horses, respectively (the Farm Carbon Calculator). However, this leads to extensive farm management. The second variant is changing the diet, including expenses for feed production: exclusion of green crops from the diet in case of keeping in stalls will reduce emissions by 0.05 (the AgRE-Calc) to 0.14 (the Cool Farm Tool) t CO2-eq./head-yr, and exclusion of silage will lead to a decrease by 0.96 t CO2-eq./head-yr, although such decisions may worsen the diet balance. To reduce greenhouse gas emissions from livestock production, it is recommended that the number of domestic animals be gradually decreased. The Farm Carbon Calculator, the AgRE-Calc, and Ex-Act significantly overestimate the intensity of greenhouse gas sequestration by forests. Because of the discrepancy in the estimates between the calculators, they should be used comprehensively.</t>
  </si>
  <si>
    <t>[Sukhoveeva, O. E.] Russian Acad Sci, Inst Geog, Moscow 119017, Russia</t>
  </si>
  <si>
    <t>Russian Academy of Sciences; Institute of Geography, Russian Academy of Sciences</t>
  </si>
  <si>
    <t>Sukhoveeva, OE (corresponding author), Russian Acad Sci, Inst Geog, Moscow 119017, Russia.</t>
  </si>
  <si>
    <t>olgasukhoveeva@gmail.com</t>
  </si>
  <si>
    <t>Sukhoveeva, Olga/C-7633-2019</t>
  </si>
  <si>
    <t>PLEIADES PUBLISHING LTD</t>
  </si>
  <si>
    <t>TORTOLA</t>
  </si>
  <si>
    <t>TROPIC ISLE BLDG, PO BOX 3331. ROAD TOWN, TORTOLA, BRITISH VIRGIN ISL</t>
  </si>
  <si>
    <t>1028-334X</t>
  </si>
  <si>
    <t>1531-8354</t>
  </si>
  <si>
    <t>DOKL EARTH SCI</t>
  </si>
  <si>
    <t>Dokl. Earth Sci.</t>
  </si>
  <si>
    <t>10.1134/S1028334X21030119</t>
  </si>
  <si>
    <t>RM7MV</t>
  </si>
  <si>
    <t>WOS:000639844000016</t>
  </si>
  <si>
    <t>Lyngfelt, A; Johansson, DJA; Lindeberg, E</t>
  </si>
  <si>
    <t>Lyngfelt, Anders; Johansson, Daniel J. A.; Lindeberg, Erik</t>
  </si>
  <si>
    <t>Negative CO2 emissions - An analysis of the retention times required with respect to possible carbon leakage</t>
  </si>
  <si>
    <t>INTERNATIONAL JOURNAL OF GREENHOUSE GAS CONTROL</t>
  </si>
  <si>
    <t>14th International Conference on Greenhouse Gas Control Technologies (GHGT)</t>
  </si>
  <si>
    <t>OCT 21-25, 2018</t>
  </si>
  <si>
    <t>Melbourne, AUSTRALIA</t>
  </si>
  <si>
    <t>Negative CO2 emissions; Negative emission technologies; NETs; BECCS; CO2 leakage</t>
  </si>
  <si>
    <t>With present emissions the global CO2 budget associated with a maximum temperature increase of about 1.5-2 degrees C will likely be spent within a few decades, Thus, it will be very difficult or perhaps even impossible to meet the climate targets agreed upon in Paris only by decreasing emissions of greenhouse gases. Scenarios presented in the IPCC reports accommodate for this by introducing so-called negative CO2 emissions. The idea is that the cumulative CO2 emission budget will be exceeded, but that massive negative emissions, especially during the latter part of the century, will remove the surplus of CO2 in the atmosphere. A number of different Negative Emissions Technologies (NETs) have been proposed, including Biomass Energy with Carbon Capture and Storage (BECCS), afforestation/reforestation, altered agricultural practices, biochar production, enhanced weathering and direct air captured. However, many of the options proposed could be associated with carbon leakage which could compromise the purpose of negative emissions, e.g. storage in of carbon in growing/dead biomass that leaks to the atmosphere. Furthermore, it may be difficult to safely assess the long-term leakage rates. To reach the large negative emissions needed it is expected to require a mix of approaches having different expected retention times, and different safety in terms of leakage rates. Could the risk of leakage mean that we are just delaying the problem and transferring the problem to coming generations? The short answer to this is that it all depends on the leakage rates. Different leakage rates and mixes of leakage rates are investigated in the paper. For the case of a mixture of leakage time scales of 300, 1000 and 10,000 years and assuming that 80% or more was permanently stored, the contribution to the atmospheric stock was small, peaking at about 3 ppm CO2. It was concluded that leakage would not significantly compromise the benefits of negative emissions unless leakage is substantial and rapid. To quantify what could be meant by substantial and rapid, an example would be if 100% of the CO2 stored would leak out at a rate of the order of 1%/year.</t>
  </si>
  <si>
    <t>[Lyngfelt, Anders; Johansson, Daniel J. A.] Chalmers Univ Technol, S-41496 Gothenburg, Sweden; [Lindeberg, Erik] SINTEF, Postboks 4761 Torgarden, N-7465 Trondheim, Norway</t>
  </si>
  <si>
    <t>Chalmers University of Technology; SINTEF</t>
  </si>
  <si>
    <t>Lyngfelt, A (corresponding author), Chalmers Univ Technol, S-41496 Gothenburg, Sweden.</t>
  </si>
  <si>
    <t>Anders.Lyngfelt@chalmers.se</t>
  </si>
  <si>
    <t>Lyngfelt, Anders/B-2948-2016; Johansson, Daniel/H-4515-2012</t>
  </si>
  <si>
    <t>Swedish Research Council, project Biomass combustion chemistry with oxygen carriers [2016-06023]; Nordic Flagship Project - Nordic Energy Research [77,732]; project Premises for bioenergy with carbon capture and storage in the global response to climate change (BECCS) - Swedish Energy Agency; Swedish Research Council [2016-06023] Funding Source: Swedish Research Council</t>
  </si>
  <si>
    <t>Swedish Research Council, project Biomass combustion chemistry with oxygen carriers(Swedish Research Council); Nordic Flagship Project - Nordic Energy Research; project Premises for bioenergy with carbon capture and storage in the global response to climate change (BECCS) - Swedish Energy Agency; Swedish Research Council</t>
  </si>
  <si>
    <t>This work was carried out with funding from Swedish Research Council, project Biomass combustion chemistry with oxygen carriers 2016-06023, the Nordic Flagship Project No. 77,732 Negative CO2 emissions in the Nordic energy system (2015-2019), funded by the Nordic Energy Research and the project Premises for bioenergy with carbon capture and storage in the global response to climate change (BECCS) funded by the Swedish Energy Agency.</t>
  </si>
  <si>
    <t>1750-5836</t>
  </si>
  <si>
    <t>1878-0148</t>
  </si>
  <si>
    <t>INT J GREENH GAS CON</t>
  </si>
  <si>
    <t>Int. J. Greenh. Gas Control</t>
  </si>
  <si>
    <t>10.1016/j.ijggc.2019.04.022</t>
  </si>
  <si>
    <t>Green &amp; Sustainable Science &amp; Technology; Energy &amp; Fuels; Engineering, Environmental; Engineering, Chemical</t>
  </si>
  <si>
    <t>Science &amp; Technology - Other Topics; Energy &amp; Fuels; Engineering</t>
  </si>
  <si>
    <t>IH1GL</t>
  </si>
  <si>
    <t>WOS:000474239200003</t>
  </si>
  <si>
    <t>Liyanage, TDP; Maeda, M; Somura, H; Thuong, NTT; Mori, M; Fujiwara, T</t>
  </si>
  <si>
    <t>Liyanage, Thanuja Deepani Panangala; Maeda, Morihiro; Somura, Hiroaki; Thuong, Nguyen Thi Thu; Mori, Makito; Fujiwara, Taku</t>
  </si>
  <si>
    <t>Nitrous oxide and carbon dioxide emissions from two soils amended with different manure composts in aerobic incubation tests</t>
  </si>
  <si>
    <t>SOIL SCIENCE AND PLANT NUTRITION</t>
  </si>
  <si>
    <t>Aerobic incubation; carbon dioxide; compost; nitrous oxide; WHC</t>
  </si>
  <si>
    <t>N2O EMISSIONS; AGRICULTURAL SOILS; ORGANIC AMENDMENTS; CO2 EMISSIONS; MOISTURE; NITRIFICATION; DYNAMICS; AMMONIUM; ARCHAEA; FIELDS</t>
  </si>
  <si>
    <t>Identification of nitrous oxide (N2O) and carbon dioxide (CO2) emissions from soils amended with different types of compost is needed for appropriate use of manure in agriculture. This study aimed at investigating the interaction effects of compost type and soil properties and effects of moisture contents on N2O and CO2 emissions, with identification of relative abundances of functional ammonia-oxidizing genes. Laboratory tests were conducted using cattle manure compost (CC) or mixed compost (MC) (cattle, poultry, and swine manure) amended Kochi (from a greenhouse) or Ushimado (from a paddy field) soils (3% by weight) with controls (no compost). Initial moisture contents were adjusted to 60% water-holding capacity (WHC) for Kochi soil and 70% WHC for both soils. The samples were aerobically incubated at 25 degrees C. Emissions of N2O and CO2 and contents of ammonium N (NH4+-N) and nitrate N in soils were measured continuously until day 42. The abundances of ammonia-oxidizing bacteria (AOB) and archaea genes were estimated to evaluate nitrifying activities. Cumulative N2O and CO2 emissions were significantly higher (p &lt; 0.05) in MC than those in CC treatments probably due to higher NH4+-N content and lower C/N ratio, which facilitated faster N mineralization and C decomposition. Emissions of N2O and CO2 were higher in compost-amended Kochi soil (70% WHC) with high total C and N, mineral N, and clay contents than those in less fertile Ushimado soil. Interestingly, interactions of compost type and soil properties on N2O emissions were significant (p &lt; 0.05) only in Kochi soil because the addition of decomposition resistant CC increased N2O emissions only from this soil with high C and N contents. Higher soil moisture contents increased N2O and CO2 emissions significantly (p &lt; 0.05) in Kochi soil. Emissions of N2O until day 15 were mainly due to activities of AOB amoA genes (R-2 = 0.91). This study suggests that N2O emissions are increased by high NH4+-N contents and a low C/N ratio in compost and high total C and N, mineral N, and clay contents in soil. The application of compost with less decomposable C increases N2O emissions only from nutrient-rich soil.</t>
  </si>
  <si>
    <t>[Liyanage, Thanuja Deepani Panangala; Maeda, Morihiro; Somura, Hiroaki; Thuong, Nguyen Thi Thu] Okayama Univ, Grad Sch Environm &amp; Life Sci, Okayama, Japan; [Mori, Makito] Kochi Univ, Res &amp; Educ Fac, Agr Unit, Nankoku, Kochi, Japan; [Fujiwara, Taku] Kyoto Univ, Grad Sch Engn, Kyoto, Japan</t>
  </si>
  <si>
    <t>Okayama University; Kochi University; Kyoto University</t>
  </si>
  <si>
    <t>Maeda, M (corresponding author), Okayama Univ, Grad Sch Environm &amp; Life Sci, Kita Ku, 3-1-1 Tsushima Naka, Okayama 7008530, Japan.</t>
  </si>
  <si>
    <t>mun@cc.okayama-u.ac.jp</t>
  </si>
  <si>
    <t>Fujiwara, Taku/Y-8274-2019; Somura, Hiroaki/R-4315-2019</t>
  </si>
  <si>
    <t>Fujiwara, Taku/0000-0003-4530-7906</t>
  </si>
  <si>
    <t>Cabinet Office; IoP (Internet of Plants), Japan; Grants-in-Aid for Scientific Research [21H04747, 20KK0147] Funding Source: KAKEN</t>
  </si>
  <si>
    <t>Cabinet Office; IoP (Internet of Plants), Japan; Grants-in-Aid for Scientific Research(Ministry of Education, Culture, Sports, Science and Technology, Japan (MEXT)Japan Society for the Promotion of ScienceGrants-in-Aid for Scientific Research (KAKENHI))</t>
  </si>
  <si>
    <t>This study was partially supported by a Cabinet Office grant-in-aid, the Advanced Next-Generation Greenhouse Horticulture by IoP (Internet of Plants), Japan.</t>
  </si>
  <si>
    <t>0038-0768</t>
  </si>
  <si>
    <t>1747-0765</t>
  </si>
  <si>
    <t>SOIL SCI PLANT NUTR</t>
  </si>
  <si>
    <t>Soil Sci. Plant Nutr.</t>
  </si>
  <si>
    <t>10.1080/00380768.2022.2095669</t>
  </si>
  <si>
    <t>Plant Sciences; Environmental Sciences; Soil Science</t>
  </si>
  <si>
    <t>Plant Sciences; Environmental Sciences &amp; Ecology; Agriculture</t>
  </si>
  <si>
    <t>3S9UU</t>
  </si>
  <si>
    <t>WOS:000825514700001</t>
  </si>
  <si>
    <t>Adekanye, TA; Oni, KC</t>
  </si>
  <si>
    <t>Adekanye, Timothy Adesoye; Oni, Kayode Carroll</t>
  </si>
  <si>
    <t>Application of a Parametric Method for Energy Use Pattern in Cassava Production in Nigeria</t>
  </si>
  <si>
    <t>Agriculture; cassava; yield; energy use pattern; model</t>
  </si>
  <si>
    <t>ECONOMIC-ANALYSIS; PROVINCE</t>
  </si>
  <si>
    <t>This study applied parametric equations to examine energy consumption in cassava production in three different farm sizes and technologies in Kwara State of Nigeria. Production data from 175 cassava farmers were collected through questionnaires during 2015-2017 cropping seasons. Selected cassava farms were divided into nomechanization (small-scale; 1 to 5 ha), partial mechanization (medium scale; 6 to 15 ha) and fully mechanized (large-scale; 16 to 50 ha). There were 92 cassava farms in the no-mechanization category, partial mechanization category consisted of 54 farms and fully mechanized category consisted of 29 farms. Human labour, machinery, diesel fuel, chemicals, seed and fertilizers were considered as inputs that influenced cassava yield. Results of the study showed that cassava production used 4,904.87 MJ/ ha in no-mechanization farms, 36,240.44 MJ/ ha in partial mechanization farms and 96,257.93 MJ/ha in fully mechanized farms. The average energy output of cassava production in the study area was 107,632 MJ/ ha, 604,800 MJ/ha and 2,016,000 MJ/ha in respective of the category of farm type. Energy input- output ratio was estimated as 16.13, 16.69 and 20.94 for the three groups of farm. Cobb-Douglas function was applied to determine effects of inputs on cassava outputs. Indirect energy and non-renewable energy contributed to yield more than direct energy and renewable energy in medium and large-scale farms. Empirical results revealed that human labour, fertilizers, chemicals and seed were statistically significant and contribute to yield.</t>
  </si>
  <si>
    <t>[Adekanye, Timothy Adesoye] Landmark Univ, Dept Agr &amp; Biosyst Engn, PMB 1001, Omu Aran, Kwara State, Nigeria; [Oni, Kayode Carroll] Univ Ilorin, Dept Agr &amp; Biosyst Engn, PMB 1515, Ilorin, Kwara State, Nigeria</t>
  </si>
  <si>
    <t>Landmark University; University of Ilorin</t>
  </si>
  <si>
    <t>Adekanye, TA (corresponding author), Landmark Univ, Dept Agr &amp; Biosyst Engn, PMB 1001, Omu Aran, Kwara State, Nigeria.</t>
  </si>
  <si>
    <t>adekanye.timothy@lmu.edu.ng</t>
  </si>
  <si>
    <t>Adekanye, Timothy/AAZ-1846-2020</t>
  </si>
  <si>
    <t>Q8WC5</t>
  </si>
  <si>
    <t>WOS:001060258400005</t>
  </si>
  <si>
    <t>Trozzo, L; D'Ottavio, P; Kishimoto-Mo, AW; Francioni, M</t>
  </si>
  <si>
    <t>Trozzo, Laura; D'Ottavio, Paride; Kishimoto-Mo, Ayaka Wenhong; Francioni, Matteo</t>
  </si>
  <si>
    <t>Wood gasification biochar enhances soil carbon sequestration without affecting greenhouse gas fluxes or wheat yield in sub-alkaline soil</t>
  </si>
  <si>
    <t>Soil carbon stock; Carbon farming; Carbon sequestration; Climate mitigation; Syngas</t>
  </si>
  <si>
    <t>N2O EMISSIONS; AGRICULTURAL SOILS; CROP PRODUCTIVITY; REDUCED-TILLAGE; RESPIRATION; METHANE; IMPACT; ROOT; CH4; NITRATE</t>
  </si>
  <si>
    <t>The agricultural sector plays a vital role in mitigating soil greenhouse gas (GHG) emissions and enhancing carbon sequestration. One promising approach is wood biochar produced through gasification, which generates both syngas and stable biochar. This study evaluates the effects of wood gasification biochar (WGB) on subalkaline soil under Mediterranean climate conditions. A field experiment was conducted over two cropping years, monitoring soil N2O, CH4, and CO2 fluxes, along with temperature and water content, for two treatments: unamended wheat (control) and wheat amended with 60 Mg ha(-1) of WGB. Additionally, soil physicochemical properties at 0-10 cm and 10-40 cm depths and wheat yield were assessed. In the WGB treatment, soil N2O, CH4, and CO2 fluxes remained unchanged, though a slight increase in soil temperature (+0.1 degrees C) was observed. No significant differences were detected in soil pH, total and ammoniacal nitrogen, bulk density, or cation exchange capacity. However, soil nitric nitrogen levels significantly decreased. Soil carbon stock increased 2.2-fold at 0-10 cm and 1.4-fold at 10-40 cm, with this effect persisting into the second year. Wheat yield remained comparable between treatments, averaging similar to 2.0 Mg ha(-1) (control) vs. similar to 1.8 Mg ha(-1) (WGB) in year one and similar to 3.9 Mg ha(-1) vs. similar to 3.1 Mg ha(-1) in year two. These findings indicate that wood gasification biochar enhances soil carbon sequestration without affecting GHG emissions or wheat yield, reinforcing its potential for sustainable soil management and circular agriculture.</t>
  </si>
  <si>
    <t>[Trozzo, Laura; D'Ottavio, Paride; Francioni, Matteo] Polytech Univ Marche, Dept Agr Food &amp; Environm Sci, I-60131 Ancona, Italy; [Kishimoto-Mo, Ayaka Wenhong] Natl Agr &amp; Food Res Org, Inst Agroenvironm Sci, Tsukuba, Ibaraki 3058604, Japan</t>
  </si>
  <si>
    <t>Marche Polytechnic University; National Agriculture &amp; Food Research Organization - Japan</t>
  </si>
  <si>
    <t>D'Ottavio, P (corresponding author), Polytech Univ Marche, Dept Agr Food &amp; Environm Sci, I-60131 Ancona, Italy.</t>
  </si>
  <si>
    <t>p.dottavio@univpm.it</t>
  </si>
  <si>
    <t>; Francioni, Matteo/B-2668-2017; D'Ottavio, Paride/AAL-7586-2020</t>
  </si>
  <si>
    <t>Kishimoto-Mo, Ayaka W/0000-0002-7025-3332; Francioni, Matteo/0000-0002-8882-1254; D'Ottavio, Paride/0000-0003-1204-5014</t>
  </si>
  <si>
    <t>Universita Politecnica delle Marche; Universita Politecnica delle Marche through the Elsevier; CRUI agreement</t>
  </si>
  <si>
    <t>This study was conducted with the support of two projects funded by the Universita Politecnica delle Marche: 'Effects of biochar application on crop yields and soil' (2019) and 'Greenhouse gas emissions in temporary and permanent pastures' (2020) . Open Access Funding was provided by the Universita Politecnica delle Marche through the Elsevier and CRUI agreement. During the preparation of this work the authors used ChatGPT in order to improve language readability. After using this tool, the authors reviewed and edited the content as needed and take full responsibility for the content of the publication We would like to thank the late Marco Toderi for his considerable help and inspiration and without whom this research would never have been possible.</t>
  </si>
  <si>
    <t>10.1016/j.still.2025.106556</t>
  </si>
  <si>
    <t>0VD7Z</t>
  </si>
  <si>
    <t>WOS:001456769400001</t>
  </si>
  <si>
    <t>Elrys, AS; Raza, S; Elnahal, ASM; Na, M; Ahmed, M; Zhou, JB; Chen, ZJ</t>
  </si>
  <si>
    <t>Elrys, Ahmed S.; Raza, Sajjad; Elnahal, Ahmed S. M.; Na, Miao; Ahmed, Muneer; Zhou, Jianbin; Chen, Zhujun</t>
  </si>
  <si>
    <t>Do soil property variations affect dicyandiamide efficiency in inhibiting nitrification and carbon dioxide emissions?</t>
  </si>
  <si>
    <t>Nitrogen; Nitrification; DCD; Gaseous emission; AOB; Soil properties</t>
  </si>
  <si>
    <t>NITROUS-OXIDE EMISSIONS; AMMONIA-OXIDIZING ARCHAEA; N2O EMISSIONS; AGRICULTURAL SOILS; CALCAREOUS SOIL; VOLATILIZATION; LOSSES; DCD; ABUNDANCE; RESIDUES</t>
  </si>
  <si>
    <t>Nitrification inhibitors (NIs) are used to retard the nitrification process and reduce nitrogen (N) losses. However, the effects of soil properties on NI efficacy are less clear. Moreover, the direct and indirect effects of soil property variations on NI efficiency in minimizing carbon dioxide (CO2) emissions have not been previously studied. An incubation experiment was conducted for 40 days with two treatments, N (200 mg N-urea kg(-1)) and N + dicyandiamide (DCD) (20 mg DCD kg-(1)), and a control group (without the N) to investigate the response of ammonia-oxidizing bacteria (AOB) and archaea (AOA) to DCD application and the consequences for CO2(,) nitrous oxide (N2O) and ammonia (NH3) emissions from six soils from the Loess Plateau with different properties. The nitrification process completed within 6-18 days for the N treatment and within 30- 40 days for the N + DCD treatment. AOB increased significantly with N fertilizer application, while this effect was inhibited in soils when DCD was applied. AOA was not sensitive to N fertilizer and DCD application. The nitrification rate was positively correlated with the clay (p &lt; 0.05) and SOM contents (p &lt; 0.01); DCD was more effective in loam soil with low SOM and high soil pH. Soil pH significantly was decreased with N fertilizer application, while it increased when DCD was applied. Moreover, DCD application decreased CO2 emissions from soils by 22%-172%; CO2 emissions were negatively correlated with the clay and SOM contents. DCD application decreased N2O emissions in each soil by 1.0-to 94-fold compared with those after N fertilizer application. In contrast, DCD application increased NH3 release from soils by 59-278%. NH3 volatilization was negatively correlated with clay (p &lt; 0.05) and SOM (p &lt; 0.01) contents and positively correlated with soil pH (p &lt; 0.01). Therefore, soil texture, SOM and soil pH have significant effects on the DCD performance, nitrification process and gaseous emissions.</t>
  </si>
  <si>
    <t>[Elrys, Ahmed S.; Raza, Sajjad; Na, Miao; Zhou, Jianbin; Chen, Zhujun] Northwest A&amp;F Univ, Coll Nat Resources &amp; Environm, Yangling 712100, Shaanxi, Peoples R China; [Elrys, Ahmed S.] Zagazig Univ, Fac Agr, Soil Sci Dept, Zagazig 44511, Egypt; [Elrys, Ahmed S.; Raza, Sajjad; Na, Miao; Zhou, Jianbin; Chen, Zhujun] Minist Agr, Key Lab Plant Nutr &amp; Agrienvironm Northwest China, Yangling 712100, Shaanxi, Peoples R China; [Elnahal, Ahmed S. M.] Northwest A&amp;F Univ, Coll Plant Protect, Yangling 712100, Shaanxi, Peoples R China; [Ahmed, Muneer] Lasbela Univ Agr Water &amp; Marine Sci, Uthal, Pakistan</t>
  </si>
  <si>
    <t>Northwest A&amp;F University - China; Egyptian Knowledge Bank (EKB); Zagazig University; Northwest A&amp;F University - China; Lasbela University of Agricultural Water &amp; Marine Science</t>
  </si>
  <si>
    <t>Zhou, JB; Chen, ZJ (corresponding author), Northwest A&amp;F Univ, Coll Nat Resources &amp; Environm, Yangling 712100, Shaanxi, Peoples R China.</t>
  </si>
  <si>
    <t>jbzhou@nwsuaf.edu.cn; zjchen@nwsuaf.edu.cn</t>
  </si>
  <si>
    <t>Zhou, Jianbin/AFS-3130-2022; Elrys, Ahmed/ABE-2326-2021; Elnahal, Ahmed/AAO-9787-2021; Raza, Sajjad/AAB-7859-2021</t>
  </si>
  <si>
    <t>Elrys, Ahmed/0000-0003-0373-888X; Raza, Sajjad/0000-0002-4811-6059; Zhou, Jianbin/0000-0002-8987-1982</t>
  </si>
  <si>
    <t>National Natural Science Foundation of China [41671295]; National Key R&amp;D Program of China [2017YFD0200106]; 111 Project [B12007]</t>
  </si>
  <si>
    <t>National Natural Science Foundation of China(National Natural Science Foundation of China (NSFC)); National Key R&amp;D Program of China; 111 Project(Ministry of Education, China - 111 Project)</t>
  </si>
  <si>
    <t>This work was supported by the National Natural Science Foundation of China (41671295), the National Key R&amp;D Program of China (2017YFD0200106), and the 111 Project (No. B12007). We would like to express our thanks to Prof. Dr. Yakov Kuzyakov from Georg-August University of Gottingen, Gottingen, Germany for the fruitful discussion.</t>
  </si>
  <si>
    <t>10.1016/j.ecoenv.2020.110875</t>
  </si>
  <si>
    <t>NH2DD</t>
  </si>
  <si>
    <t>WOS:000564485300006</t>
  </si>
  <si>
    <t>Kapica, J; Pawlak, H; Scibisz, M</t>
  </si>
  <si>
    <t>Kapica, Jacek; Pawlak, Halina; Scibisz, Marek</t>
  </si>
  <si>
    <t>Carbon dioxide emission reduction by heating poultry houses from renewable energy sources in Central Europe</t>
  </si>
  <si>
    <t>Renewable energy heating; CO2 reduction; Wind energy; Solar energy</t>
  </si>
  <si>
    <t>GREENHOUSE-GAS EMISSIONS; VS. WEIBULL DISTRIBUTION; DECISION-SUPPORT-SYSTEM; TURBINE HUB HEIGHT; CLIMATE-CHANGE; WIND-SPEED; ANIMAL PRODUCTION; AGRICULTURAL PRODUCTION; MITIGATION MEASURES; NITROUS-OXIDE</t>
  </si>
  <si>
    <t>The production of thermal and electrical energy is related to the emission of greenhouse gases, which are believed to cause climatic changes. The activities of the international community show an increase of ecological awareness. In the Central European countries the share of renewable energy in overall energy production is relatively small. One sector where some progress can be made is agriculture. This paper presents simulation results of CO2 reduction potential by replacing conventional heating system for a poultry house with a hybrid solar-wind system. Heat requirement for 2400 birds was calculated. Simple models for solar collector, wind turbine and heat storage tank are presented. The system is modelled in a Matlab/Simulink environment and various system configurations are analysed for climatic conditions typical for Central Europe. The solar collector area was varied between 0 and 80 m(2), wind turbine diameter was varied in the range of 0-20 m and 1 to 4 heat storage tanks. Apart from percentage of CO2 emission reduction two other indicators are introduced: renewable energy utilisation ratio and weighted CO2 emission reduction renewable energy utilisation coefficient. The results show that larger systems provide higher CO2 reduction but the energy utilisation ratio decreases. (C) 2015 Published by Elsevier Ltd.</t>
  </si>
  <si>
    <t>[Kapica, Jacek; Pawlak, Halina; Scibisz, Marek] Univ Life Sci, Lublin, Poland</t>
  </si>
  <si>
    <t>Kapica, J (corresponding author), Ul Gleboka 28, PL-20612 Lublin, Poland.</t>
  </si>
  <si>
    <t>jacek.kapica@up.lublin.pl</t>
  </si>
  <si>
    <t>; Kapica, Jacek/U-3176-2018</t>
  </si>
  <si>
    <t>Ścibisz, Marek/0000-0002-9336-1184; Kapica, Jacek/0000-0001-8378-0249</t>
  </si>
  <si>
    <t>10.1016/j.agsy.2015.08.001</t>
  </si>
  <si>
    <t>CS0VE</t>
  </si>
  <si>
    <t>WOS:000361779500020</t>
  </si>
  <si>
    <t>Zhang, JT; Tian, HQ; You, YF; Liang, XZ; Ouyang, ZT; Pan, NQ; Pan, SF</t>
  </si>
  <si>
    <t>Zhang, Jingting; Tian, Hanqin; You, Yongfa; Liang, Xin-Zhong; Ouyang, Zutao; Pan, Naiqing; Pan, Shufen</t>
  </si>
  <si>
    <t>Balancing Non-CO2 GHG Emissions and Soil Carbon Change in US Rice Paddies: A Retrospective Meta-Analysis and Agricultural Modeling Study</t>
  </si>
  <si>
    <t>AGU ADVANCES</t>
  </si>
  <si>
    <t>rice paddies; methane; nitrous oxide; soil organic carbon (SOC); nature climate solution; DLEM</t>
  </si>
  <si>
    <t>GREENHOUSE-GAS EMISSIONS; NITROUS-OXIDE EMISSIONS; METHANE EMISSIONS; N2O EMISSIONS; ORGANIC-CARBON; FLOODED RICE; MANAGEMENT-PRACTICES; FERTILIZER NITROGEN; MITIGATION OPTIONS; WATER MANAGEMENT</t>
  </si>
  <si>
    <t>U.S. rice paddies, critical for food security, are increasingly contributing to non-CO(2 )greenhouse gas (GHG) emissions like methane (CH4) and nitrous oxide (N2O). Yet, the full assessment of GHG balance, considering trade-offs between soil organic carbon (SOC) change and non-CO(2 )GHG emissions, is lacking. Integrating an improved agroecosystem model with a meta-analysis of multiple field studies, we found that U.S. rice paddies were the rapidly growing net GHG emission sources, increased 138% from 3.7 +/- 1.2 Tg CO(2 )eq yr(-1) in the 1960s to 8.9 +/- 2.7 Tg CO(2)eq yr(-1) in the 2010s. CH4, as the primary contributor, accounted for 10.1 +/- 2.3 Tg CO(2 )eq yr(-1) in the 2010s, alongside a notable rise in N2O emissions by 0.21 +/- 0.03 Tg CO(2 )eq yr(-1). SOC change could offset 14.0% (1.45 +/- 0.46 Tg CO(2 )yr(-1)) of the climate-warming effects of soil non-CO(2 )GHG emissions in the 2010s. This escalation in net GHG emissions is linked to intensified land use, increased atmospheric CO2 , higher synthetic nitrogen fertilizer and manure application, and climate change. However, no/reduced tillage and non-continuous irrigation could reduce net soil GHG emissions by approximately 10% and non-CO(2 )GHG emissions by about 39%, respectively. Despite the rise in net GHG emissions, the cost of achieving higher rice yields has decreased over time, with an average of 0.84 +/- 0.18 kg CO(2 )eq ha(-1) emitted per kilogram of rice produced in the 2010s. The study suggests the potential for significant GHG emission reductions to achieve climate-friendly rice production in the U.S. through optimizing the ratio of synthetic N to manure fertilizer, reducing tillage, and implementing intermittent irrigation.</t>
  </si>
  <si>
    <t>[Zhang, Jingting; Liang, Xin-Zhong] Univ Maryland, Earth Syst Sci Interdisciplinary Ctr, College Pk, MD USA; [Tian, Hanqin; You, Yongfa; Pan, Naiqing; Pan, Shufen] Boston Coll, Schiller Inst Integrated Sci &amp; Soc, Ctr Earth Syst Sci &amp; Global Sustainabil, Chestnut Hill, MA 02467 USA; [Tian, Hanqin] Boston Coll, Dept Earth &amp; Environm Sci, Chestnut Hill, MA 02467 USA; [Liang, Xin-Zhong] Univ Maryland, Dept Atmospher &amp; Ocean Sci, College Pk, MD USA; [Ouyang, Zutao] Auburn Univ, Coll Forestry Wildlife &amp; Environm, Auburn, AL USA; [Pan, Shufen] Boston Coll, Dept Engn, Chestnut Hill, MA USA</t>
  </si>
  <si>
    <t>University System of Maryland; University of Maryland College Park; Boston College; Boston College; University System of Maryland; University of Maryland College Park; Auburn University System; Auburn University; Boston College</t>
  </si>
  <si>
    <t>Tian, HQ (corresponding author), Boston Coll, Schiller Inst Integrated Sci &amp; Soc, Ctr Earth Syst Sci &amp; Global Sustainabil, Chestnut Hill, MA 02467 USA.;Tian, HQ (corresponding author), Boston Coll, Dept Earth &amp; Environm Sci, Chestnut Hill, MA 02467 USA.</t>
  </si>
  <si>
    <t>hanqin.tian@bc.edu</t>
  </si>
  <si>
    <t>Yang, Zutao/LSL-2505-2024; Liang, Xin-Zhong/B-3561-2014; Tian, Hanqin/A-6484-2012; Pan, Shufen/KZT-8244-2024; You, Yongfa/LCE-0542-2024; Zhang, Jingting/GZB-1769-2022</t>
  </si>
  <si>
    <t>Yang, Zutao/0000-0002-6919-569X; You, Yongfa/0000-0002-8916-2940; Tian, Hanqin/0000-0002-1806-4091; Liang, Xin-Zhong/0000-0002-5047-3135; Zhang, Jingting/0000-0001-5041-3629; Pan, Naiqing/0000-0002-1465-7738;</t>
  </si>
  <si>
    <t>National Science Foundation; USDA [20206801231674, 2022-38821-37341]; NSF [EAR1639327]; [1903722]; [1922687]</t>
  </si>
  <si>
    <t>National Science Foundation(National Science Foundation (NSF)); USDA(United States Department of Agriculture (USDA)); NSF(National Science Foundation (NSF)); ;</t>
  </si>
  <si>
    <t>This research has been partially supported by the National Science Foundation (Grants 1903722 and 1922687), USDA Grants (20206801231674 and 2022-38821-37341), and NSF Grant (EAR1639327). We thank Bo Cheng who has assisted field data collection and model evaluation at the early stage of this study.</t>
  </si>
  <si>
    <t>2576-604X</t>
  </si>
  <si>
    <t>AGU ADV</t>
  </si>
  <si>
    <t>AGU Adv.</t>
  </si>
  <si>
    <t>e2023AV001052</t>
  </si>
  <si>
    <t>10.1029/2023AV001052</t>
  </si>
  <si>
    <t>GW3N1</t>
  </si>
  <si>
    <t>WOS:001155671000001</t>
  </si>
  <si>
    <t>Jia, XP; Zhang, ZT; Wang, F; Li, ZW; Wang, YT; Aviso, KB; Foo, DYC; Nair, PNSB; Tan, RR; Wang, F</t>
  </si>
  <si>
    <t>Jia, Xiaoping; Zhang, Zetian; Wang, Fei; Li, Zhiwei; Wang, Yutao; Aviso, Kathleen B.; Foo, Dominic Y. C.; Nair, Purusothmn Nair S. Bhasker; Tan, Raymond R.; Wang, Fang</t>
  </si>
  <si>
    <t>Regional carbon drawdown with enhanced weathering of non-hazardous industrial wastes</t>
  </si>
  <si>
    <t>Non-hazardous industrial waste; Negative emission technology; Source-sink model; CO2 sequestration; Optimization; Circular economy</t>
  </si>
  <si>
    <t>COAL FLY-ASH; MINERAL CARBONATION; NEGATIVE EMISSIONS; CLIMATE-CHANGE; CO2 CAPTURE; SEQUESTRATION; MITIGATION; EFFICIENCY; REMOVAL; IMPACTS</t>
  </si>
  <si>
    <t>Countries around the world are taking active efforts to address the current climate crisis. Negative emissions technologies (NET) such as enhanced weathering will play a significant role in these efforts in the coming decades. Enhanced weathering is based on the terrestrial application of powdered natural or synthetic silicate minerals to remove carbon dioxide (CO2) from the atmosphere. In the latter case, non-hazardous industrial waste (NHIW) can react with water and CO2 from the atmosphere to achieve carbon drawdown through the acceleration of the naturally occurring weathering process. This approach also addresses the problem of sustainable industrial waste management. Besides, carbon drawdown also enhances soil quality for agricultural application sites. In the future, planning the large-scale implementation of enhanced weathering via carbon management networks can be facilitated by using optimization models. In this work, a source-sink model is developed for the proper allocation of NHIW to application sites. The method is demonstrated with a case study based at Shandong Province, China. Two scenarios are analyzed, with both achieving significant negative CO2 emissions. The CO2 sequestration rates for these two scenarios are determined as 12.73 Mt/y and 13.77 Mt/y, respectively. Scenario 1 shows that the system can achieve negative CO2 emissions at a cost of $ 184.25/t CO2, which is comparable to previously reported cost estimates. Given the necessary input data, the model can be used to generate case-specific estimates for any country. The increasing use of clean energy in the transport and crushing process will enhance CO2 sequestration of the system.</t>
  </si>
  <si>
    <t>[Jia, Xiaoping; Zhang, Zetian; Wang, Fei; Wang, Fang] Qingdao Univ Sci &amp; Technol, Sch Environm &amp; Safety Engn, Zhengzhou Rd 53, Qingdao 266042, Peoples R China; [Li, Zhiwei] Hefei Univ Technol, Sch Chem &amp; Chem Engn, Hefei 230009, Peoples R China; [Wang, Yutao] Fudan Univ, Dept Environm Sci &amp; Engn, Shanghai 200438, Peoples R China; [Aviso, Kathleen B.; Tan, Raymond R.] De La Salle Univ, Chem Engn Dept, Manila 0922, Philippines; [Foo, Dominic Y. C.; Nair, Purusothmn Nair S. Bhasker] Univ Nottingham Malaysia, Dept Chem &amp; Environm Engn, Semenyih 43500, Malaysia; [Wang, Fang] Qingdao Univ Sci &amp; Technol, Sino German Engn Coll, Qingdao 266061, Peoples R China</t>
  </si>
  <si>
    <t>Qingdao University of Science &amp; Technology; Hefei University of Technology; Fudan University; De La Salle University; University of Nottingham Malaysia; Qingdao University of Science &amp; Technology</t>
  </si>
  <si>
    <t>Wang, F (corresponding author), Qingdao Univ Sci &amp; Technol, Sch Environm &amp; Safety Engn, Zhengzhou Rd 53, Qingdao 266042, Peoples R China.;Wang, F (corresponding author), Qingdao Univ Sci &amp; Technol, Sino German Engn Coll, Qingdao 266061, Peoples R China.</t>
  </si>
  <si>
    <t>wangf@qust.edu.cn</t>
  </si>
  <si>
    <t>LI, Zhiwei/G-3099-2017; Wang, Yutao/P-4878-2019; Aviso, Kathleen/ABA-4589-2020</t>
  </si>
  <si>
    <t>LI, Zhiwei/0000-0001-8932-5634; S Bhasker Nair, Purusothmn Nair/0000-0001-9663-8479;</t>
  </si>
  <si>
    <t>National Natural Science Foundation of China [41771575]</t>
  </si>
  <si>
    <t>The authors would like to thank the financial support provided by the National Natural Science Foundation of China (41771575).</t>
  </si>
  <si>
    <t>10.1016/j.resconrec.2021.105910</t>
  </si>
  <si>
    <t>UW8IW</t>
  </si>
  <si>
    <t>WOS:000700397600013</t>
  </si>
  <si>
    <t>Wiesmeier, M; von Lützow, M; Spörlein, P; Geuss, U; Hangen, E; Reischl, A; Schilling, B; Kögel-Knabner, I</t>
  </si>
  <si>
    <t>Wiesmeier, Martin; von Luetzow, Margit; Spoerlein, Peter; Geuss, Uwe; Hangen, Edzard; Reischl, Arthur; Schilling, Bernd; Koegel-Knabner, Ingrid</t>
  </si>
  <si>
    <t>Land use effects on organic carbon storage in soils of Bavaria: The importance of soil types</t>
  </si>
  <si>
    <t>Soil organic carbon; Carbon sequestration; Land use change; Equivalent soil mass</t>
  </si>
  <si>
    <t>SEQUESTRATION; STOCKS; CONVERSION; NITROGEN; CROPLAND; TILLAGE; FOREST; MATTER</t>
  </si>
  <si>
    <t>Numerous studies have reported substantial changes of soil organic carbon (SOC) stocks after converting forests into agricultural land and vice versa. However, some studies suggested that agricultural soils might contain similar amounts of SOC as forest soils. Losses of SOC induced by cultivation might be overestimated due to shallow soil sampling and application of inaccurate pedotransfer functions. We investigated the impact of different land uses on total SOC storage down to the subsoil on the basis of 270 soil profiles in southeast Germany under similar climatic and pedogenic conditions using an equivalent soil mass (ESM) approach. Land use effects on SOC storage were strongly affected by soil class, which comprised soil types with similar pedogenesis. Both slightly lower (&lt;20%) and even higher SOC stocks were found under cropland compared with forest land for different soil classes. A comparison of different soil classes under grassland and forest land also showed no considerable differences of SOC stocks. Soil cultivation may not generally be associated with a strong decline of SOC, as tillage probably promotes the formation of organo-mineral associations and a relocation of SOC with depth may decrease its decomposition. This finding should be taken into consideration when estimating and managing the emission and sequestration of C in soils. We assume that many studies based on topsoils alone may have underestimated agricultural SOC stocks, particularly when an ESM approach is used. Our results highlight the need for soil type-specific evaluations in terms of interpreting the effects of land use management on SOC stocks. (C) 2014 Elsevier B.V. All rights reserved.</t>
  </si>
  <si>
    <t>[Wiesmeier, Martin; von Luetzow, Margit; Koegel-Knabner, Ingrid] Tech Univ Munich, Wissensch Zentrum Weihenstephan Ernahrung Landnut, Dept Okol &amp; Okosystemmanagement, Lehrstuhl Bodenkunde, D-85350 Freising Weihenstephan, Germany; [Spoerlein, Peter; Geuss, Uwe; Hangen, Edzard; Reischl, Arthur; Schilling, Bernd] Bayer Landesamt Umwelt LfU, D-95030 Hof, Germany; [Koegel-Knabner, Ingrid] Tech Univ Munich, Inst Adv Study, D-85748 Garching, Germany</t>
  </si>
  <si>
    <t>Technical University of Munich; Technical University of Munich</t>
  </si>
  <si>
    <t>Wiesmeier, M (corresponding author), Tech Univ Munich, Wissensch Zentrum Weihenstephan Ernahrung Landnut, Dept Okol &amp; Okosystemmanagement, Lehrstuhl Bodenkunde, D-85350 Freising Weihenstephan, Germany.</t>
  </si>
  <si>
    <t>wiesmeier@wzw.tum.de</t>
  </si>
  <si>
    <t>; Kögel-Knabner, Ingrid/ITV-2701-2023; von Luetzow, Margit/A-1799-2010; Wiesmeier, Martin/N-3066-2014</t>
  </si>
  <si>
    <t>Kögel-Knabner, Ingrid/0000-0002-7216-8326; Wiesmeier, Martin/0000-0003-3981-5461</t>
  </si>
  <si>
    <t>Bavarian State Ministry of the Environment and Public Health</t>
  </si>
  <si>
    <t>We are grateful to the Bavarian State Ministry of the Environment and Public Health for funding the project Der Humuskorper bayerischer Boden im Klimawandel-Auswirkungen und Potentiale.</t>
  </si>
  <si>
    <t>10.1016/j.still.2014.10.003</t>
  </si>
  <si>
    <t>AY3RA</t>
  </si>
  <si>
    <t>WOS:000347499100019</t>
  </si>
  <si>
    <t>Peter, C; Fiore, A; Hagemann, U; Nendel, C; Xiloyannis, C</t>
  </si>
  <si>
    <t>Peter, Christiane; Fiore, Angela; Hagemann, Ulrike; Nendel, Claas; Xiloyannis, Cristos</t>
  </si>
  <si>
    <t>Improving the accounting of field emissions in the carbon footprint of agricultural products: a comparison of default IPCC methods with readily available medium-effort modeling approaches</t>
  </si>
  <si>
    <t>Carbon footprint; Crop management; Fertilizer field emissions; GHG accounting; Regional variability; Soil carbon change; Tier methodologies</t>
  </si>
  <si>
    <t>LONG-TERM EXPERIMENTS; SOIL ORGANIC-CARBON; C-DYNAMICS; ROTHC; VOLATILIZATION</t>
  </si>
  <si>
    <t>The estimations of greenhouse gas (GHG) field emissions from fertilization and soil carbon changes are challenges associated with calculating the carbon footprint (CFP) of agricultural products. At the regional level, the IPCC Guidelines for National Greenhouse Gas Inventories (2006a) Tier 1 approach, based on default emission factors, insufficiently accounts for emission variability resulting from pedo-climatic conditions or management practices. However, Tier 2 and 3 approaches are usually considered too complex to be practicable. In this paper, we discuss different readily available medium-effort methods to improve the accuracy of GHG emission estimates. We present four case studies-two wheat crops in Germany and two peach orchards in Italy-to test the performance of Tier 1, 2, and 3 methodologies and compare the estimated results with available field measurements. The methodologies selected at Tier 2 and Tier 3 level are characterized by simple implementation and data collection, for which only a medium level of effort for stakeholders is required. The Tier 2 method consists of calculating direct and indirect N2O, emissions from fertilization with a multivariate empirical model which accounts for pedo-climatic and crop management conditions. The Tier 3 method entails simulation of soil carbon stock change using the Rothamsted carbon model. Relevant differences were found among the tested methodologies: in all case studies, the Tier 1 approach exceeded the Tier 2 estimations for fertilizer-induced emissions (up to +50 %) and the measurements. Using this higher Tier approach reduced the estimated CFP calculation of annual crops by 4 and 21 % and that of the perennial crop by 7 %. Removals related to positive soil carbon change calculated using the Tier 1 approach also exceeded the Tier 3 calculations for the studied annual crops (up to +90 %) but considerably underrated the Tier 3 estimations and measurements for perennial crops (-75 %). In this case, the impact of the selected Tier method on the final CFP results was even more relevant: an increase of 194 and 88 % for the studied annual crops and a decrease of 67 % for the perennial crop case study. The use of higher Tiers for the estimation of land-based emissions is strongly recommended to improve the accuracy of the CFP results. The suggested medium-effort methods tested in this study represent a good compromise between complexity reduction and accuracy improvement and can be considered reliable for the assessment of GHG mitigation potentials.</t>
  </si>
  <si>
    <t>[Peter, Christiane; Nendel, Claas] Inst Landscape Syst Anal, Leibniz Ctr Agr Landscape Res ZALF eV, Eberswalder Str 84, D-15374 Muncheberg, Germany; [Fiore, Angela; Xiloyannis, Cristos] Univ Basilicata, Dept European &amp; Mediterranean Cultures Architectu, Environm &amp; Cultural Heritage, Via San Rocco, I-75100 Matera, Italy; [Hagemann, Ulrike] Inst Landscape Biogeochem, Leibniz Ctr Agr Landscape Res ZALF eV, Eberswalder Str 84, D-15374 Muncheberg, Germany</t>
  </si>
  <si>
    <t>Leibniz Association; Leibniz Zentrum fur Agrarlandschaftsforschung (ZALF); University of Basilicata; Leibniz Association; Leibniz Zentrum fur Agrarlandschaftsforschung (ZALF)</t>
  </si>
  <si>
    <t>Peter, C (corresponding author), Inst Landscape Syst Anal, Leibniz Ctr Agr Landscape Res ZALF eV, Eberswalder Str 84, D-15374 Muncheberg, Germany.</t>
  </si>
  <si>
    <t>christiane.peter@zalf.de</t>
  </si>
  <si>
    <t>Nendel, Claas/C-8844-2013; Fiore, Angela/KYP-5354-2024; Hagemann, Ulrike/K-1882-2012</t>
  </si>
  <si>
    <t>Nendel, Claas/0000-0001-7608-9097; Hagemann, Ulrike/0000-0001-5655-8917; Fiore, Angela/0000-0001-8512-2637</t>
  </si>
  <si>
    <t>German Federal Ministry of Food and Agriculture through the Agency of Renewable Resources (FNR) [FKZ 22013008]; Measure 124 of the Rural Development Program of Basilicata Region (Italy); German Federal Ministry of Food and Agriculture through the Agency of Renewable Resources (FNR) e.V [FKZ 22021008]</t>
  </si>
  <si>
    <t>German Federal Ministry of Food and Agriculture through the Agency of Renewable Resources (FNR); Measure 124 of the Rural Development Program of Basilicata Region (Italy); German Federal Ministry of Food and Agriculture through the Agency of Renewable Resources (FNR) e.V</t>
  </si>
  <si>
    <t>The authors want to express their gratitude to the participants of the following research projects who provided the observed data used for the CFP calculations: (i) Development and comparison of optimized cropping systems for the agricultural production of energy crops (FKZ 22013008), funded by the German Federal Ministry of Food and Agriculture through the Agency of Renewable Resources (FNR); (ii) Innovation for Quality and Sustainability of fruit and vegetable production (IQuaSoPO), funded by Measure 124 of the Rural Development Program 2007-2013 of Basilicata Region (Italy); and (iii) the joint research project Potentials for the mitigation of climate- relevant greenhouse gas emissions from energy crop cultivation for biogas production (FKZ 22021008), funded by the German Federal Ministry of Food and Agriculture through the Agency of Renewable Resources (FNR) e.V. We would especially like to thank Achim Seidel, Gawan Heintze, and Madlen Pohl for their contribution of data on field NH3 and N2O emissions and Anne-Katrin Prescher for reviewing the manuscript.</t>
  </si>
  <si>
    <t>10.1007/s11367-016-1056-2</t>
  </si>
  <si>
    <t>DM0LO</t>
  </si>
  <si>
    <t>WOS:000376036600001</t>
  </si>
  <si>
    <t>Desta, GA; Melka, Y; Sime, G; Yirga, F; Marie, M; Haile, M</t>
  </si>
  <si>
    <t>Desta, Getnet Alemu; Melka, Yoseph; Sime, Getachew; Yirga, Fikadu; Marie, Mequannt; Haile, Mebrahtu</t>
  </si>
  <si>
    <t>Biogas technology in fuelwood saving and carbon emission reduction in southern Ethiopia</t>
  </si>
  <si>
    <t>Adopter; Biogas energy; Deforestation; Fuelwood; Greenhouse gas emission</t>
  </si>
  <si>
    <t>Most rural communities in developing countries, rely heavily on traditional biomass for cooking and lighting. Furthermore, a large area of forest land has been changed to other land-use types like agricultural land is becoming a serious problem in Wondo Genet district. This situation largely contributed to deforestation and forest degradation. Hence, assessing the efficiency of adopting an alternative source of energy was found to be very important. This study was carried out to examine the role of biogas technology in fuelwood saving and carbon emission reduction in Wondo Genet district, southern Ethiopia. The multi-stage sampling procedure was followed to select sample households. A total of 152 households (54 adopters and 98 non-adopters) were involved in the household survey. Moreover, 25 test subjects were taken randomly from both adoption categories to conduct Kitchen Performance Test. Descriptive statistics and independent-sample t-test were used to analyze the data. Results showed that the major fuel sources for domestic use were plantation forest, natural forest, crop residue, and animal dung, accounting 46.71 %, 30.92 %, 15.13 %, and 7.24 %, respectively. Among the 54 sampled biogas plants, 32 (59.26 %) were a digester size of 6 m(3) whereas the remaining 22 (40.74 %) were of 8 m(3). The annual fuelwood saving potential of the technology was found to be 1423.06 kg with an emission reduction potential of 2.1 tons of CO2 e per biogas plant annually. Accordingly, all functional biogas plants were estimated to reduce about 91.63 tons of carbon emission annually. Generally, the biogas was found to be a promising technology in combating the pressure on forest resources and mitigating climate change. Therefore, the energy sector of the country should encourage households to adopt biogas plants that have more than 8 m(3) digester size to improve the fuelwood and carbon emission reduction potential.</t>
  </si>
  <si>
    <t>[Desta, Getnet Alemu; Yirga, Fikadu; Marie, Mequannt] Oda Bultum Univ, Nat Resource Management Program, Chiro, Ethiopia; [Melka, Yoseph] Hawassa Univ, Wondo Genet Coll Forestry &amp; Nat Resources, Nat Resources Econ &amp; Policy Program, Awasa, Ethiopia; [Sime, Getachew] Hawassa Univ, Dept Biol, Awasa, Ethiopia; [Haile, Mebrahtu] Mekelle Univ, Coll Dryland Agr &amp; Nat Resources, Mekelle, Ethiopia</t>
  </si>
  <si>
    <t>Hawassa University; Hawassa University; Mekelle University</t>
  </si>
  <si>
    <t>Haile, M (corresponding author), Mekelle Univ, Coll Dryland Agr &amp; Nat Resources, Mekelle, Ethiopia.</t>
  </si>
  <si>
    <t>mebrahtu.haile@yahoo.com</t>
  </si>
  <si>
    <t>; Haile, Mebrahtu/V-8695-2019; Yirga, Fikadu/OFM-5535-2025</t>
  </si>
  <si>
    <t>Yoseph, Melka/0000-0002-5659-5889; Haile, Mebrahtu/0000-0002-7043-0976; yirga, fikadu/0000-0002-9704-5365; Feyissa, Getachew Sime/0000-0002-4406-3770;</t>
  </si>
  <si>
    <t>EnPe-Bio-energy-Hawassa University, Ethiopa project</t>
  </si>
  <si>
    <t>We would like to acknowledge the financial support of EnPe-Bio-energy-Hawassa University, Ethiopa project. We are also thankful to the energy experts of Wondo Genet district for their information. The anonymous reviewers are highly acknowledged for their constructive comments on an earlier version of this paper.</t>
  </si>
  <si>
    <t>e04791</t>
  </si>
  <si>
    <t>10.1016/j.heliyon.2020.e04791</t>
  </si>
  <si>
    <t>OK1DQ</t>
  </si>
  <si>
    <t>WOS:000584392300004</t>
  </si>
  <si>
    <t>Han, JY; Qu, JS; Maraseni, TN; Xu, L; Zeng, JJ; Li, HJ</t>
  </si>
  <si>
    <t>Han, Jinyu; Qu, Jiansheng; Maraseni, Tek Narayan; Xu, Li; Zeng, Jingjing; Li, Hengji</t>
  </si>
  <si>
    <t>A critical assessment of provincial-level variation in agricultural GHG emissions in China</t>
  </si>
  <si>
    <t>Agricultural GHGs; Interprovincial variation; Geographically weighted regression model; Related factors; China</t>
  </si>
  <si>
    <t>NITROUS-OXIDE EMISSIONS; CARBON EMISSIONS</t>
  </si>
  <si>
    <t>China is a world leader on agriculture production; with only 8% of global cropland it feeds 20% of the world's population. However, the increasing production capacity comes with the cost of greenhouse gas (GHG) emissions. As a populous country with the highest GHG emissions in the world, determining how to achieve the dual goals of mitigating climate change and ensuring food security is of great significance for the agricultural sector. This requires assessing the spatial variation in agricultural greenhouse gases (GHGs) and their drivers. In this study, we conduct a spatial assessment of agricultural GHGs at the provincial level in China for the years 1997-2017, and then explore the effects of related factors on GHG emissions using a geographically weighted regression (GWR) model. The results suggest the following. 1) There have always been significant interprovincial variations, whether in the total amount, structure, intensity, or per capita level of agricultural GHG emissions. 2) The directions of the effects of selected factors on GHG intensity fall broadly into three categories: negative effects (urbanization, intensity of agricultural practices, and agricultural structure), positive effects (agricultural investment and cropland endowments), and mixed effects, with factors leading to reductions in some provinces and increases in others (economic level, frequency and intensity of disasters, and the level of mechanization). 3) The magnitude of the effects varies by factor and also by province. The results suggest synergetic province- or state-specific reduction policies in agricultural GHG for China, as well as for other developing and emerging economies.</t>
  </si>
  <si>
    <t>[Han, Jinyu; Qu, Jiansheng; Xu, Li; Li, Hengji] Lanzhou Univ, Coll Earth &amp; Environm Sci, Lanzhou 730000, Peoples R China; [Qu, Jiansheng; Zeng, Jingjing; Li, Hengji] Chinese Acad Sci, Northwest Inst Ecoenvironm &amp; Resources, Lanzhou 730000, Peoples R China; [Maraseni, Tek Narayan] Univ Southern Queensland, Inst Agr &amp; Environm, Toowoomba, Qld 4350, Australia</t>
  </si>
  <si>
    <t>Lanzhou University; Chinese Academy of Sciences; University of Southern Queensland</t>
  </si>
  <si>
    <t>Qu, JS (corresponding author), Lanzhou Univ, Coll Earth &amp; Environm Sci, Lanzhou 730000, Peoples R China.</t>
  </si>
  <si>
    <t>hanjy18@lzu.edu.cn; jsqu@lzb.ac.cn</t>
  </si>
  <si>
    <t>; Zeng, Jingjing/ABE-2333-2021</t>
  </si>
  <si>
    <t>Han, Jinyu/0000-0002-9133-8431; Maraseni, Tek/0000-0001-9361-1983; 曾, 静静/0000-0002-2236-3924</t>
  </si>
  <si>
    <t>National Key Basic Research Program [2016YFA0602803]</t>
  </si>
  <si>
    <t>National Key Basic Research Program(National Basic Research Program of China)</t>
  </si>
  <si>
    <t>This research was funded by the National Key Basic Research Program (no. 2016YFA0602803).</t>
  </si>
  <si>
    <t>10.1016/j.jenvman.2021.113190</t>
  </si>
  <si>
    <t>UA9UD</t>
  </si>
  <si>
    <t>WOS:000685498300004</t>
  </si>
  <si>
    <t>Kragt, ME; Gibson, FL; Maseyk, F; Wilson, KA</t>
  </si>
  <si>
    <t>Kragt, M. E.; Gibson, F. L.; Maseyk, F.; Wilson, K. A.</t>
  </si>
  <si>
    <t>Public willingness to pay for carbon farming and its co-benefits</t>
  </si>
  <si>
    <t>Emissions reduction fund; Australia; Broad-acre farming; Nonmarket valuation; Choice modelling; Climate change mitigation</t>
  </si>
  <si>
    <t>CLIMATE-CHANGE; SEQUESTRATION; BIODIVERSITY; CHOICE; POLICIES</t>
  </si>
  <si>
    <t>Governments worldwide have implemented climate change mitigation policies that aim to encourage abatement by changing agricultural practices. In Australia, farmers can gain carbon credits for sequestering carbon or reducing emissions. In addition to mitigation, these 'carbon farming' activities often generate ancillary (co-)benefits, such as creating native habitat or preventing erosion. This paper presents results of an Australia-wide choice experiment, conducted to estimate community values for climate change mitigation and the cobenefits of carbon farming. Values for carbon farming benefits are shown to depend on respondent's opinions about climate change. Respondents who do not believe that climate change is happening have a lower willingness to pay for reducing Australia's greenhouse gas emissions than people who believe climate change is (at least partly) caused by human actions. On average, respondents were willing to pay $1.13/Mt of CO2-e reduction. Respondents were willing to pay around $19/ha increase in the area of native vegetation on farmland. Value estimates for reducing soil erosion were not significant. Our results demonstrate that the community benefits from carbon farming extend beyond their effects on climate change mitigation. Future policies should take these positive values for cobenefits into account. (C) 2016 Elsevier B.V. All rights reserved.</t>
  </si>
  <si>
    <t>[Kragt, M. E.; Gibson, F. L.] Univ Western, Sch Agr &amp; Resource Econ, Ctr Environm Econ &amp; Policy, Crawley, WA 6009, Australia; [Kragt, M. E.] Univ Western Australia, Inst Agr, Crawley, WA 6009, Australia; [Maseyk, F.; Wilson, K. A.] Univ Queensland, Sch Biol Sci, Brisbane, Qld 4065, Australia</t>
  </si>
  <si>
    <t>University of Western Australia; University of Western Australia; University of Queensland</t>
  </si>
  <si>
    <t>Kragt, ME (corresponding author), Sch Agr &amp; Resource Econ, M089-35 Stirling Highway, Crawley, WA 6009, Australia.</t>
  </si>
  <si>
    <t>marit.kragt@uwa.edu.au</t>
  </si>
  <si>
    <t>; Kragt, Marit/D-3185-2011; Wilson, Kerrie/C-8058-2009; Kragt, Marit Ellen/D-3185-2011; Wilson, Kerrie/W-4181-2019; Maseyk, Fleur/M-2871-2013</t>
  </si>
  <si>
    <t>Dempster, Fiona/0000-0002-7989-3483; Wilson, Kerrie/0000-0002-0092-935X; Kragt, Marit Ellen/0000-0001-6847-4817; Maseyk, Fleur/0000-0002-2712-0438;</t>
  </si>
  <si>
    <t>University of Western Australia - Research Development Award; Australian Government's National Environmental Research Program; Australian Research Council Centre of Excellence for Environmental Decisions</t>
  </si>
  <si>
    <t>University of Western Australia - Research Development Award; Australian Government's National Environmental Research Program(Australian Government); Australian Research Council Centre of Excellence for Environmental Decisions(Australian Research Council)</t>
  </si>
  <si>
    <t>Support for the survey was provided by a University of Western Australia - Research Development Award. This research was conducted with funding support from the Australian Government's National Environmental Research Program and the Australian Research Council Centre of Excellence for Environmental Decisions.</t>
  </si>
  <si>
    <t>10.1016/j.ecolecon.2016.02.018</t>
  </si>
  <si>
    <t>DM2ZA</t>
  </si>
  <si>
    <t>WOS:000376215400012</t>
  </si>
  <si>
    <t>You, YQ; Zhang, HR; Liu, YL; Lei, BF</t>
  </si>
  <si>
    <t>You, Yaqin; Zhang, Haoran; Liu, Yingliang; Lei, Bingfu</t>
  </si>
  <si>
    <t>Transparent sunlight conversion film based on carboxymethyl cellulose and carbon dots</t>
  </si>
  <si>
    <t>CARBOHYDRATE POLYMERS</t>
  </si>
  <si>
    <t>Carboxymethyl cellulose; Carbon dots; Composite; Sunlight conversion; Film</t>
  </si>
  <si>
    <t>BLUE-LIGHT; WHITE; ENHANCEMENTS; NANODOTS; GROWTH</t>
  </si>
  <si>
    <t>Transparent sunlight conversion film based on carboxymethyl cellulose (CMC) and carbon dots (CDs) has been developed for the first time through dispersion of CDs in CMC aqueous solution. Due to the hydrogen bonds interaction, CMC can effectively absorb the CDs, whose surfaces are functionalized by lots of polar groups. The results from atomic force microscopy (AFM), scanning electron microscopy (SEM) confirm that the composite film possesses a homogeneous and compact structure. Besides, the CMC matrix neither competes for absorbing excitation light nor absorbs the emissions of CDs, which reserves the inherent optical properties of the individual CDs. The composite films can efficiently convert ultraviolet light to blue light. What's more, the film is transparent and possesses excellent mechanical properties, expected to apply in the field of agricultural planting for sunlight conversion. (C) 2016 Elsevier Ltd. All rights reserved.</t>
  </si>
  <si>
    <t>[You, Yaqin; Zhang, Haoran; Liu, Yingliang; Lei, Bingfu] South China Agr Univ, Coll Mat &amp; Energy, Guangdong Prov Engn Technol Res Ctr Opt Agr, Guangzhou 510642, Guangdong, Peoples R China</t>
  </si>
  <si>
    <t>Liu, YL; Lei, BF (corresponding author), South China Agr Univ, Coll Mat &amp; Energy, Guangdong Prov Engn Technol Res Ctr Opt Agr, Guangzhou 510642, Guangdong, Peoples R China.</t>
  </si>
  <si>
    <t>tliuyl@163.com; tleibf@scau.edu.cn</t>
  </si>
  <si>
    <t>Bingfu, Lei/B-4421-2014; liu, yingliang/M-7865-2017; You, Ya/GWD-0248-2022; Lei, Bingfu/B-4421-2014; You, Ya/F-1270-2015</t>
  </si>
  <si>
    <t>Bingfu, Lei/0000-0002-6634-0388; You, Ya/0000-0002-2069-5212;</t>
  </si>
  <si>
    <t>National Natural Science Foundations of China [21571067, 21371062]; Foundation for High-level Talents in Higher Education of Guangdong Province; Project for Construction of High-level University in Guangdong Province; Teamwork Projects - Guangdong Natural Science Foundation [S2013030012842]; Provincial Science and technology project of Guangdong Province [2014A010105035, 2015B090903074]</t>
  </si>
  <si>
    <t>National Natural Science Foundations of China(National Natural Science Foundation of China (NSFC)); Foundation for High-level Talents in Higher Education of Guangdong Province; Project for Construction of High-level University in Guangdong Province; Teamwork Projects - Guangdong Natural Science Foundation; Provincial Science and technology project of Guangdong Province</t>
  </si>
  <si>
    <t>The present work was supported by the National Natural Science Foundations of China (Grant Nos. 21571067, 21371062), the Foundation for High-level Talents in Higher Education of Guangdong Province, the Project for Construction of High-level University in Guangdong Province, the Teamwork Projects funded by the Guangdong Natural Science Foundation (Grant No. S2013030012842), and the Provincial Science and technology project of Guangdong Province (Nos. 2014A010105035, 2015B090903074).</t>
  </si>
  <si>
    <t>0144-8617</t>
  </si>
  <si>
    <t>1879-1344</t>
  </si>
  <si>
    <t>CARBOHYD POLYM</t>
  </si>
  <si>
    <t>Carbohydr. Polym.</t>
  </si>
  <si>
    <t>10.1016/j.carbpol.2016.05.063</t>
  </si>
  <si>
    <t>Chemistry, Applied; Chemistry, Organic; Polymer Science</t>
  </si>
  <si>
    <t>Chemistry; Polymer Science</t>
  </si>
  <si>
    <t>DS7DV</t>
  </si>
  <si>
    <t>WOS:000380943900028</t>
  </si>
  <si>
    <t>Huisingh, D; Zhang, ZH; Moore, JC; Qiao, Q; Li, Q</t>
  </si>
  <si>
    <t>Huisingh, Donald; Zhang, Zhihua; Moore, John C.; Qiao, Qi; Li, Qi</t>
  </si>
  <si>
    <t>Recent advances in carbon emissions reduction: policies, technologies, monitoring, assessment and modeling</t>
  </si>
  <si>
    <t>Carbon emissions reduction; Improved energy use efficiency; Implementation of low-fossil carbon energy; systems Carbon capture and storage; Geoengineering approaches; Carbon trade/tax schemes</t>
  </si>
  <si>
    <t>GREENHOUSE-GAS EMISSIONS; ENERGY-CONSUMPTION; CO2 EMISSIONS; DIOXIDE EMISSION; INDUSTRIAL SYMBIOSIS; DIMETHYL CARBONATE; CEMENT PRODUCTION; LAND-USE; CHINA; MITIGATION</t>
  </si>
  <si>
    <t>Climate change and its social, environmental, economic and ethical consequences are widely recognized as the major set of interconnected problems facing human societies. Its impacts and costs will be large, serious, and unevenly spread, globally for decades. The main factor causing climate change and global warming is the increase of global carbon emissions produced by human activities such as deforestation and burning of fossil fuels. In this special volume, the articles mainly focus on investigations of technical innovations and policy interventions for improved energy efficiency and carbon emissions reduction in a wide diversity of industrial, construction and agricultural sectors at different scales, from the smallest scales (firm or household), cities, regional, to national and global scales. Some articles in this special volume assess alternative carbon emissions reduction approaches, such as carbon capture and storage and geoengineering schemes. Given the high cost and internal/external uncertainties of carbon capture and storage and risks and side effects of various geoengineering schemes, improved energy efficiency and widespread implementation of low fossil-carbon renewable-energy based systems are clearly the most direct and effective approaches to reduce carbon emissions. This means that we have to radically transform our societal metabolism towards low/no fossil-carbon economies. However, design and implementation of low/no fossil-carbon production will require fundamental changes in the design, production and use of products and these needed changes are evolving but much more needs to be done. Additionally, the design and timing of suitable climate policy interventions, such as various carbon taxation/trading schemes, must be integral in facilitating the development of low fossil carbon products and accelerating the transition to post-fossil carbon societies. (C) 2015 Elsevier Ltd. All rights reserved.</t>
  </si>
  <si>
    <t>[Huisingh, Donald] Univ Tennessee, Inst Secure &amp; Sustainable Environm, Knoxville, TN USA; [Zhang, Zhihua; Moore, John C.] Beijing Normal Univ, Coll Global Change &amp; Earth Syst Sci, Beijing 100875, Peoples R China; [Zhang, Zhihua; Moore, John C.] Joint Ctr Global Change Studies, Beijing 100875, Peoples R China; [Moore, John C.] Univ Lapland, Arctic Ctr, Rovaniemi, Finland; [Qiao, Qi] Chinese Res Inst Environm Sci, Beijing, Peoples R China; [Li, Qi] Chinese Acad Sci, Inst Rock &amp; Soil Mech, State Key Lab Geomech &amp; Geotech Engn, Wuhan, Peoples R China</t>
  </si>
  <si>
    <t>University of Tennessee System; University of Tennessee Knoxville; Beijing Normal University; University of Lapland; Chinese Research Academy of Environmental Sciences; Chinese Academy of Sciences; Wuhan Institute of Rock &amp; Soil Mechanics, CAS</t>
  </si>
  <si>
    <t>Zhang, ZH (corresponding author), Beijing Normal Univ, Coll Global Change &amp; Earth Syst Sci, Beijing 100875, Peoples R China.</t>
  </si>
  <si>
    <t>zhangzh@bnu.edu.cn</t>
  </si>
  <si>
    <t>Zhang, Zhihua/ABC-7016-2021; moore, john/B-2868-2013; Moore, John/B-2868-2013; LI, QI/F-5257-2011; Li, Qi/F-5257-2011</t>
  </si>
  <si>
    <t>moore, john/0000-0001-8271-5787; LI, QI/0000-0003-0679-4385;</t>
  </si>
  <si>
    <t>10.1016/j.jclepro.2015.04.098</t>
  </si>
  <si>
    <t>CL5HQ</t>
  </si>
  <si>
    <t>WOS:000356990800001</t>
  </si>
  <si>
    <t>Huang, LX; Li, XQ</t>
  </si>
  <si>
    <t>Huang, Lixia; Li, Xuanqi</t>
  </si>
  <si>
    <t>ANALYSIS OF RURAL ECOLOGICAL GOVERNANCE AND ENVIRONMENTAL RISK ASSESSMENT IN A DUAL-CARBON ENVIRONMENT</t>
  </si>
  <si>
    <t>Double carbon environment; ecological environment governance; rural ecological governance; carbon dioxide</t>
  </si>
  <si>
    <t>Under the policies of carbon neutralization and carbon peak, the governance of rural ecological environment is gradually put on the agenda. The rural ecological environment is also damaged due to human production and life, such as the increase of domestic waste and the new agricultural production process, and a large amount of carbon dioxide emission. Seeking new rural ecological environment governance methods and rural ecological environment risk assessment under the dual carbon environment has become an important topic to solve agricultural development and ecological environment protection, and to follow the dual carbon index. Taking the carbon neutralization and carbon peak policies as an opportunity. based on the constructed carbon reduction model of DBI, this study analyzes the coupling relationship between rural ecological environment and carbon emission and air pollution index, evaluates the interdependence and ecological environment risk between them, and finds governance methods and new measures that can significantly improve rural ecological governance and reduce rural ecological environment risk. The research results show that under the background of carbon neutralization and carbon peak policies, the improvement of lifestyle and the strengthening of rural air quality detection, especially the amount of air solid particles and carbon dioxide should promote the governance of rural ecological environment through the innovation of rural field production and labor technology. The CO: in the air after ecological governance is only 3.5 mg . L-1, which is far lower than the CO2 of 12.9 mg . L-1 without rural ecological governance. The air pollution index also decreased from 0.86 without rural ecological treatment to 0.32 after ecological treatment. The rural ecological governance method guided by the environment of carbon neutralization and carbon peak can significantly improve the quality of rural ecological environment, effectively improve the rural greenhouse effect, reduce the risk of rural ecological environment, and promote the transformation of rural economy while promoting the transformation of rural ecological environment.</t>
  </si>
  <si>
    <t>[Huang, Lixia; Li, Xuanqi] Hunan Appl Technol Univ, Changde 415100, Peoples R China</t>
  </si>
  <si>
    <t>Huang, LX (corresponding author), Hunan Appl Technol Univ, Changde 415100, Peoples R China.</t>
  </si>
  <si>
    <t>juliajulai1220@163.com</t>
  </si>
  <si>
    <t>Li, xuanqi/KZU-9894-2024</t>
  </si>
  <si>
    <t>2020 Key Poverty Alleviation Project of Scientific Research of Hunan Provincial Department of Education, China [20A359]; 2021 Science and Technology Achievement Award Cultivation Project of Hunan Institute of Applied Technology, China; Key Projects of Scientific and Technological Innovation and Development in Changde City in 2020, China [134]</t>
  </si>
  <si>
    <t>2020 Key Poverty Alleviation Project of Scientific Research of Hunan Provincial Department of Education, China; 2021 Science and Technology Achievement Award Cultivation Project of Hunan Institute of Applied Technology, China; Key Projects of Scientific and Technological Innovation and Development in Changde City in 2020, China</t>
  </si>
  <si>
    <t>This work was supported by the 2020 Key Poverty Alleviation Project of Scientific Research of Hunan Provincial Department of Education, China (No. 20A359), the 2021 Science and Technology Achievement Award Cultivation Project of Hunan Institute of Applied Technology, China, the Key Projects of Scientific and Technological Innovation and Development in Changde City in 2020, China (No. 134).Research results of the smart agriculture innovation research team project of Hunan Institute of Applied Technology in 2022,China.Research results of the research platform of the smart IOT research center of Hunan Institute of Applied Technology in 2021,China.</t>
  </si>
  <si>
    <t>4A4MX</t>
  </si>
  <si>
    <t>WOS:000845078600055</t>
  </si>
  <si>
    <t>Mahmood, GG; Liberatori, S; Mazzetto, F</t>
  </si>
  <si>
    <t>Mahmood, Gohar Gulshan; Liberatori, Sandro; Mazzetto, Fabrizio</t>
  </si>
  <si>
    <t>Agricultural mechanization perspective in Pakistan: present challenges and digital future</t>
  </si>
  <si>
    <t>JOURNAL OF AGRICULTURAL ENGINEERING</t>
  </si>
  <si>
    <t>farm digitization challenges; agriculture 4.0; farm mechanization policies</t>
  </si>
  <si>
    <t>Agriculture constitutes a critical sector within the economic landscape of Pakistan, engaging 37.4% of the labour force and contributing 22.9% to the Gross Domestic Product (GDP), thus functioning as an essential element of the country's economic architecture and the sustenance of its citizens. The primary agricultural commodities, which encompass wheat, rice, cotton, maize, and sugarcane, occupy extensive tracts of agricultural land, thereby underscoring their paramount importance regarding food security, impacts on territory management and related landscape, as well as income generation through export activities. Despite its crucial role, the advancement of agricultural mechanization in Pakistan is significantly lacking, with the available agricultural power that is a little less than 1.6 kW ha-1, which is below the minimum required farm power of 1.82 kW ha-1. In this study, we seek to investigate the historical evolution, current scenario, and significant obstacles confronting agricultural mechanization in Pakistan, especially right now when innovative trends worldwide are pushing towards a progressive digitisation of the sector. Continuing with the conventional agricultural practices during the period of independence in 1947, the Green Revolution of the 1960s represented a crucial transformation towards mechanization, propelled by the indigenous manufacturing of tractors. Nevertheless, the pace of mechanization has slowed in recent years, primarily due to the prevalence of small farm sizes, economic constraints, and inadequate access to financial resources. While tasks such as land preparation and pesticide application have achieved notable levels of mechanization, fundamental operations including sowing, transplanting, weeding, and harvesting continue to be insufficiently mechanized. Significant initiatives, such as Laser Land Levelling in Punjab, show the considerable impact of focused interventions. To address the mechanization deficit, proposed strategies encompass the enhancement of local machinery manufacturing, the establishment of quality standards, the promotion of advanced imported equipment, an increase in farmer education, and the implementation of comprehensive government support through subsidies, tax reliefs, and dedicated research and development efforts. A collaborative approach between governmental bodies and the private sector is imperative for fostering advancements in mechanization, thereby ensuring a more efficient, productive, and sustainable agricultural sector in Pakistan.</t>
  </si>
  <si>
    <t>[Mahmood, Gohar Gulshan; Liberatori, Sandro; Mazzetto, Fabrizio] Free Univ Bozen Bolzano, Fac Agr Environm &amp; Food Sci, Piazza Univ 1, I-39100 Bolzano, Italy</t>
  </si>
  <si>
    <t>Free University of Bozen-Bolzano</t>
  </si>
  <si>
    <t>Mahmood, GG (corresponding author), Free Univ Bozen Bolzano, Fac Agr Environm &amp; Food Sci, Piazza Univ 1, I-39100 Bolzano, Italy.</t>
  </si>
  <si>
    <t>GoharGulshan.Mahmood@unibz.it</t>
  </si>
  <si>
    <t>; Mazzetto, Fabrizio/ABV-0406-2022</t>
  </si>
  <si>
    <t>Mahmood, Gohar Gulshan/0009-0001-1395-0633;</t>
  </si>
  <si>
    <t>European Union Next-Generation EU [D.D. 1032 17/06/2022, CN00000022]</t>
  </si>
  <si>
    <t>European Union Next-Generation EU</t>
  </si>
  <si>
    <t>this study was carried out within the Agritech National Research Center and received funding from the European Union Next-Generation EU (Piano Nazionale di Ripresa e Resilienza (PNRR) -Missione 4 Componente 2, Investimento 1.4-D.D. 1032 17/06/2022, CN00000022) . This manuscript reflects only the Authors' views and opinions, neither the European Union nor the European Commission can be considered responsible for them.</t>
  </si>
  <si>
    <t>PAGEPRESS PUBL</t>
  </si>
  <si>
    <t>PAVIA</t>
  </si>
  <si>
    <t>MEDITGROUP, VIA G BELLI, 4, PAVIA, 27100, ITALY</t>
  </si>
  <si>
    <t>1974-7071</t>
  </si>
  <si>
    <t>2239-6268</t>
  </si>
  <si>
    <t>J AGRIC ENG-ITALY</t>
  </si>
  <si>
    <t>J. Agric. Eng.</t>
  </si>
  <si>
    <t>10.4081/jae.2025.1636</t>
  </si>
  <si>
    <t>3FJ5T</t>
  </si>
  <si>
    <t>WOS:001499022200002</t>
  </si>
  <si>
    <t>Srinivasarao, C; Rani, YS; Veni, VG; Sharma, KL; Sankar, GRM; Prasad, JVNS; Prasad, YG; Sahrawat, KL</t>
  </si>
  <si>
    <t>Srinivasarao, Ch; Rani, Y. Sudha; Veni, V. Girija; Sharma, K. L.; Sankar, G. R. Maruthi; Prasad, J. V. N. S.; Prasad, Y. G.; Sahrawat, K. L.</t>
  </si>
  <si>
    <t>Assessing village-level carbon balance due to greenhouse gas mitigation interventions using EX-ACT model</t>
  </si>
  <si>
    <t>INTERNATIONAL JOURNAL OF ENVIRONMENTAL SCIENCE AND TECHNOLOGY</t>
  </si>
  <si>
    <t>CO2 emissions; EX-ACT model; Agriculture; Carbon balance; Climatic smart practices</t>
  </si>
  <si>
    <t>NITROGEN-FERTILIZER; SEQUESTRATION; SOILS; EMISSIONS; TILLAGE; AGROFORESTRY; MANAGEMENT; METHANE; SYSTEMS; OXIDE</t>
  </si>
  <si>
    <t>Under National Initiative on Climate Resilient Agriculture (NICRA) project, a range of climate smart agricultural practices were evaluated with on-farm demonstrations during 2011-2013 in eight climatically vulnerable villages of Andhra Pradesh, India. Proven climate smart practices viz residue recycling, soil, water and nutrient management, afforestation and feeding + breeding practices in livestock were implemented in annual and perennial crops, irrigated rice, horticulture, fodder, forestry and livestock. An EX-ante carbon-balance tool (EX-ACT) developed by the FAO was used with a combination of various climate smart interventions to know the mitigation potentials in eight climatically vulnerable villages of Andhra Pradesh, India. Based on our observations, EX-ACT model had shown that these practices were effective to mitigate CO2 emissions apart from enhancing soil productivity. In Nacharam, Yagantipalli, Sirusuwada and Matsyapuri villages, climate smart practices implemented in annual crops along with crop residue recycling, crop and water management practices resulted in negative carbon (C) balance by -16,410, -8851, -7271 and -6125 t CO2 e, respectively. The EX-ACT model predicted positive carbon balance with irrigated module in the rice-growing villages of Sirusuwada and Matsyapuri villages. The negative values suggest a sink, and positive values a source for CO2 emissions. In Chamaluru village, although there were CO2 emissions (source) due to livestock and non-forest and land use changes, there was a carbon sink due to other activities as predicted by the model. The results suggested that various climatic smart practices at the village level were successful in creating net sink of CO2 emissions (t CO2 e).</t>
  </si>
  <si>
    <t>[Srinivasarao, Ch; Rani, Y. Sudha; Veni, V. Girija; Sharma, K. L.; Sankar, G. R. Maruthi; Prasad, J. V. N. S.; Prasad, Y. G.] Cent Res Inst Dryland Agr, Hyderabad 500059, Andhra Pradesh, India; [Sahrawat, K. L.] Int Crops Res Inst Semi Arid Trop, Hyderabad 502324, Andhra Pradesh, India</t>
  </si>
  <si>
    <t>Indian Council of Agricultural Research (ICAR); ICAR - Central Research Institute of Dryland Agriculture; CGIAR; International Crops Research Institute for the Semi-Arid-Tropics (ICRISAT)</t>
  </si>
  <si>
    <t>Srinivasarao, C (corresponding author), Cent Res Inst Dryland Agr, Saidabad PO, Hyderabad 500059, Andhra Pradesh, India.</t>
  </si>
  <si>
    <t>cherukumalli2011@gmail.com</t>
  </si>
  <si>
    <t>Venati, Girijaveni/0000-0001-7744-9883</t>
  </si>
  <si>
    <t>Indian Council of Agricultural Research (ICAR) under National Initiative on Climate Resilient Agriculture [ICAR-NICRA: 4-3/2010-1.A.II]</t>
  </si>
  <si>
    <t>Indian Council of Agricultural Research (ICAR) under National Initiative on Climate Resilient Agriculture(Indian Council of Agricultural Research (ICAR))</t>
  </si>
  <si>
    <t>We sincerely thank the Indian Council of Agricultural Research (ICAR) for funding under National Initiative on Climate Resilient Agriculture (ICAR-NICRA: 4-3/2010-1.A.II) and Central Research Institute for Dryland Agriculture (CRIDA) for providing all the facilities. Authors would like to thank anonymous reviewers whose suggestions have contributed to the improvement of the manuscript significantly.</t>
  </si>
  <si>
    <t>1735-1472</t>
  </si>
  <si>
    <t>1735-2630</t>
  </si>
  <si>
    <t>INT J ENVIRON SCI TE</t>
  </si>
  <si>
    <t>Int. J. Environ. Sci. Technol.</t>
  </si>
  <si>
    <t>10.1007/s13762-015-0788-z</t>
  </si>
  <si>
    <t>CZ9ZR</t>
  </si>
  <si>
    <t>WOS:000367457000011</t>
  </si>
  <si>
    <t>Qiao, H; Pu, MZ; Wang, RN; Zheng, FT</t>
  </si>
  <si>
    <t>Qiao, Hui; Pu, Mingzhe; Wang, Ruonan; Zheng, Fengtian</t>
  </si>
  <si>
    <t>Is the Ratoon Rice System More Sustainable? An Environmental Efficiency Evaluation Considering Carbon Emissions and Non-Point Source Pollution</t>
  </si>
  <si>
    <t>ratoon rice; agricultural sustainability; SBM-DEA; environmental efficiency; carbon emissions; non-point source pollution</t>
  </si>
  <si>
    <t>FOOTPRINT; TECHNOLOGY; CHALLENGES; PROVINCE; PROGRESS</t>
  </si>
  <si>
    <t>The sustainability of rice-cropping systems hinges on balancing resources, output, and environmental impacts. China is revitalizing the ancient ratoon rice (RR) system for input savings and environmental benefits. Prior research has explored the RR system's performance using various individual indicators, but few studies have focused on its overall balance of these factors. Environmental efficiency (EE) analysis addresses this gap. Using field survey data from Hunan Province in China and the slacks-based data envelopment analysis method, we quantified the EE of the RR, double-season rice (DR), and single-season rice (SR) systems. Key findings include: (1) the RR system outperforms in carbon emissions and non-point source pollution; (2) the RR system's EE is 0.67, significantly higher than the DR (0.58) and SR (0.57) systems, indicating superior performance; and (3) despite its relatively high EE, the RR system can still improve, mainly due to input redundancy and production value shortfall. These findings provide strategies for optimizing RR systems to enhance agricultural sustainability.</t>
  </si>
  <si>
    <t>[Qiao, Hui] Chinese Acad Social Sci, Rural Dev Inst, Beijing 100732, Peoples R China; [Pu, Mingzhe] Chinese Acad Agr Sci, Inst Agr Econ &amp; Dev, Beijing 100081, Peoples R China; [Wang, Ruonan] Sichuan Acad Social Sci, Res Inst Eco Civilizat, Chengdu 610072, Peoples R China; [Zheng, Fengtian] Renmin Univ China, Sch Agr Econ &amp; Rural Dev, Beijing 100872, Peoples R China</t>
  </si>
  <si>
    <t>Chinese Academy of Social Sciences; Chinese Academy of Agricultural Sciences; Institute of Agricultural Economics &amp; Development, CAAS; Renmin University of China</t>
  </si>
  <si>
    <t>Zheng, FT (corresponding author), Renmin Univ China, Sch Agr Econ &amp; Rural Dev, Beijing 100872, Peoples R China.</t>
  </si>
  <si>
    <t>nfs-qiaohui@cass.org.cn; pumingzhe@caas.cn; ruonanwang1996@163.com; zft2000@126.com</t>
  </si>
  <si>
    <t>National Natural Science Foundation of China; Innovation Project of the Chinese Academy of Social Sciences [2024NFSB08]; Youth Development Program [2024QQJH110]; [71773137]; [71873139]</t>
  </si>
  <si>
    <t>National Natural Science Foundation of China(National Natural Science Foundation of China (NSFC)); Innovation Project of the Chinese Academy of Social Sciences; Youth Development Program; ;</t>
  </si>
  <si>
    <t>This research was funded by the National Natural Science Foundation of China (No. 71773137 &amp; 71873139), Innovation Project of the Chinese Academy of Social Sciences (No. 2024NFSB08), and Youth Development Program (YDP) at Chinese Academy of Social Sciences (No. 2024QQJH110).</t>
  </si>
  <si>
    <t>10.3390/su16229920</t>
  </si>
  <si>
    <t>N8B6K</t>
  </si>
  <si>
    <t>WOS:001366526600001</t>
  </si>
  <si>
    <t>Chacón, P; Lorenz, K; Lal, R; Calhoun, FG; Fausey, N</t>
  </si>
  <si>
    <t>Chacon, Paula; Lorenz, Klaus; Lal, Rattan; Calhoun, Frank G.; Fausey, Norman</t>
  </si>
  <si>
    <t>Soil organic carbon in some land uses of Costa Rica</t>
  </si>
  <si>
    <t>ACTA AGRICULTURAE SCANDINAVICA SECTION B-SOIL AND PLANT SCIENCE</t>
  </si>
  <si>
    <t>land use; soil organic carbon stratification; ecoregions; soil organic carbon; Costa Rica</t>
  </si>
  <si>
    <t>TILLAGE CHRONOSEQUENCE; STRATIFICATION RATIO; MATTER; SEQUESTRATION; FOREST; STOCKS; MANAGEMENT; INDICATOR; DYNAMICS; NITROGEN</t>
  </si>
  <si>
    <t>The native vegetation in the Tropics is increasingly replaced by crops, pastures, tree plantations, or settlements with contradictory effects on soil organic carbon (SOC). Therefore, the general objective was to estimate the SOC stock depth distribution to 100-cm depth in soils of Costa Rica and to assess their theoretical carbon (C) sink capacity by different management practices. A study was established in three ecoregions of Costa Rica: the Isthmian-Atlantic Moist Forest (AM), the Pacific Dry Forest (PD), and the Montane Forest (MO) ecoregions. Within each ecoregion, three agricultural land uses and a mature forest were sampled to 100-cm depth. The SOC stock in 0-100 cm depth was 114-150 Mg C ha(-1) for AM, 76-165 Mg C ha(-1) for PD, and 166-246 Mg C ha(-1) for MO. Land use had only weak effects on SOC concentrations and stocks except at PD where both were lower for soils under mango (Mangifera indica) and pasture. This may indicate soil degradation which was also supported by data on SOC stratification. However, it was generally unclear whether differences among land uses within each ecoregion already existed particularly at deeper depths before land-use change, and whether the sampling approach was sufficient to investigate them. Nevertheless, about 26-71% of Costa Rica's total C emissions may be offset by SOC sequestration in agricultural and forest soils. However, ecoregion-specific practices must be implemented to realize this potential.</t>
  </si>
  <si>
    <t>[Chacon, Paula; Lorenz, Klaus; Lal, Rattan; Calhoun, Frank G.] Ohio State Univ, Sch Environm &amp; Nat Resources, Columbus, OH 43210 USA; [Fausey, Norman] Ohio State Univ, Dept Food Agr &amp; Biol Engn, Columbus, OH 43210 USA</t>
  </si>
  <si>
    <t>University System of Ohio; Ohio State University; University System of Ohio; Ohio State University</t>
  </si>
  <si>
    <t>Lorenz, K (corresponding author), Ohio State Univ, Sch Environm &amp; Nat Resources, 2021 Coffey Rd, Columbus, OH 43210 USA.</t>
  </si>
  <si>
    <t>lorenz.59@osu.edu</t>
  </si>
  <si>
    <t>Lal, Rattan/D-2505-2013</t>
  </si>
  <si>
    <t>CWC - TIE (Climate, Water, and Carbon - Targeted Investment in Excellence) Program; EARTH University</t>
  </si>
  <si>
    <t>This research was funded by the CWC - TIE (Climate, Water, and Carbon - Targeted Investment in Excellence) Program in collaboration with EARTH University.</t>
  </si>
  <si>
    <t>TAYLOR &amp; FRANCIS AS</t>
  </si>
  <si>
    <t>OSLO</t>
  </si>
  <si>
    <t>KARL JOHANS GATE 5, NO-0154 OSLO, NORWAY</t>
  </si>
  <si>
    <t>0906-4710</t>
  </si>
  <si>
    <t>1651-1913</t>
  </si>
  <si>
    <t>ACTA AGR SCAND B-S P</t>
  </si>
  <si>
    <t>Acta Agric. Scand. Sect. B-Soil Plant Sci.</t>
  </si>
  <si>
    <t>MAY 19</t>
  </si>
  <si>
    <t>10.1080/09064710.2015.1008563</t>
  </si>
  <si>
    <t>CC6FF</t>
  </si>
  <si>
    <t>WOS:000350459700003</t>
  </si>
  <si>
    <t>Reaño, RL; Halog, A</t>
  </si>
  <si>
    <t>Reano, Resmond Lat; Halog, Anthony</t>
  </si>
  <si>
    <t>Analysis of carbon footprint and energy performance of biohydrogen production through gasification of different waste agricultural biomass from the Philippines</t>
  </si>
  <si>
    <t>Gasification; Biohydrogen; Carbon footprint; Sensitivity analysis; Biophysical allocation</t>
  </si>
  <si>
    <t>LIFE-CYCLE ASSESSMENT; HYDROGEN-PRODUCTION; RICE HUSK; SYSTEMS; PYROLYSIS; CATALYST; WATER; FUEL; ALLOCATION; COCONUT</t>
  </si>
  <si>
    <t>Agricultural crop residues are available in abundance in Asian countries such as the Philippines. These residues have high potential as feedstock to produce clean and high-value energy products, to mitigate global warming and reduce dependence on fossil fuels. This study investigated the carbon footprint and energy performance of biohydrogen production system through gasification of different waste agricultural biomass. The proposed system includes biomass transport and pre-processing, gasification process, and biohydrogen enrichment and purification technologies. Calculation of the syngas composition was performed using a stoichiometric-thermodynamic equilibrium model using python script. Generation of energy from fossil fuel to support the system operations produced the highest greenhouse gas emission. The production system using sugarcane leaves as feedstocks exhibited the lowest carbon footprint, highest gasification efficiency, and best energy performance based on the computed energy ratio. Biophysical allocation was used to determine the burden associated with the biomass during its growth phase. Incorporation of the carbon uptake during biomass growth phase reduced the carbon footprint of the system. Sensitivity analysis showed that increasing C/O and H/O ratio improves the quality of the syngas produced, while increasing C/H ratio results to lower biohydrogen yield. In selection of feedstock mix, it is preferred to maximize C/O and H/O ratio while reducing C/H ratio of the feedstock composition.</t>
  </si>
  <si>
    <t>[Reano, Resmond Lat] Univ Philippines Los Banos, Coll Engn &amp; Agroind Technol, Dept Engn Sci, Laguna 4031, Philippines; [Halog, Anthony] Univ Queensland, Fac Sci, Sch Earth &amp; Environm Sci, Brisbane, Qld 4072, Australia</t>
  </si>
  <si>
    <t>University of the Philippines System; University of the Philippines Los Banos; University of Queensland</t>
  </si>
  <si>
    <t>Reaño, RL (corresponding author), Univ Philippines Los Banos, Coll Engn &amp; Agroind Technol, Dept Engn Sci, Laguna 4031, Philippines.</t>
  </si>
  <si>
    <t>rlreano@up.edu.ph; a.halog@uq.edu.au</t>
  </si>
  <si>
    <t>; Halog, Anthony/I-6718-2012; Reaño, Resmond/AAU-8919-2021</t>
  </si>
  <si>
    <t>Reaño, Resmond/0000-0002-4763-468X;</t>
  </si>
  <si>
    <t>10.1007/s13399-020-01151-9</t>
  </si>
  <si>
    <t>NOV 2020</t>
  </si>
  <si>
    <t>FI0D9</t>
  </si>
  <si>
    <t>WOS:000590896100001</t>
  </si>
  <si>
    <t>Li, MQ; Liu, SL; Sun, YX; Liu, YX</t>
  </si>
  <si>
    <t>Li, Mingqi; Liu, Shiliang; Sun, Yongxiu; Liu, Yixuan</t>
  </si>
  <si>
    <t>Agriculture and animal husbandry increased carbon footprint on the Qinghai-Tibet Plateau during past three decades</t>
  </si>
  <si>
    <t>Carbon emission; Carbon sequestration; Carbon footprint; Agriculture; Animal husbandry</t>
  </si>
  <si>
    <t>CROP PRODUCTION; CHINA; SYSTEMS; EMISSIONS; NITROGEN; PROVINCE; METHANE</t>
  </si>
  <si>
    <t>Agriculture and animal husbandry are important sources of greenhouse gas (GHG) emission and contribute to climate change, but the carbon sink function of cropland and grassland plays an important role in mitigating climate changes. Based on ecological footprint methodology, this study comprehensively considered carbon emission and carbon sequestration in order to calculate the carbon footprints from agriculture and animal husbandry, and analyzed spatiotemporal distribution of carbon emission, carbon sequestration, and carbon footprint on the QTP. The results showed that during the period of 1990-2015, the carbon emissions of agriculture and animal husbandry on the QTP increased by 163% and 41%, respectively. Agricultural carbon sequestration showed an increasing trend with a growth rate of 45%, and animal husbandry carbon sequestration showed that it increased by 40% in the period of 1990-2005 and then decreased by 28% in the period of 2005-2015. The carbon footprint of agriculture reduced by 23% from 1990 to 1995, then grew by 112% from 1995 to 2015, and the animal husbandry carbon footprint reduced by 18% from 1990 to 2005 then grew by 71% from 2005 to 2015; both of these phenomena showed the downward trends first before trending upward. The high carbon emission and sequestration regions of agriculture were mainly distributed in the southeastern and northwestern areas of the QTP, and the high carbon footprint regions of agriculture were centered in the southeastern and northeastern areas. The high carbon emission regions of animal husbandry were located in southeastern areas, while the high carbon sequestration regions were in the southeastern, southwestern and middle areas. Additionally, the high carbon footprint regions were in southwestern areas. All measures mentioned showed a significant variation in spatial distribution. The economic and population growth contributed to the increase in carbon footprint despite technological advances. This study propose options to reduce the carbon emission and suggestions to improve carbon sink function. This study provides an important basis for policy formulation and planning for sustainable agriculture on the QTP. (C) 2020 Elsevier Ltd. All rights reserved.</t>
  </si>
  <si>
    <t>[Li, Mingqi; Liu, Shiliang; Sun, Yongxiu; Liu, Yixuan] Beijing Normal Univ, Sch Environm, State Key Lab Water Environm Simulat, Beijing 100875, Peoples R China</t>
  </si>
  <si>
    <t>Liu, SL (corresponding author), Beijing Normal Univ, Sch Environm, State Key Lab Water Environm Simulat, Beijing 100875, Peoples R China.</t>
  </si>
  <si>
    <t>shiliangliu@bnu.edu.cn</t>
  </si>
  <si>
    <t>Li, Mingqi/GLU-9912-2022; Sun, Yongxiu/AAO-6253-2020; Liu, Shiliang/N-1885-2019</t>
  </si>
  <si>
    <t>Second Scientific Expedition to the Qinghai-Tibet Plateau [2019QZKK0405-05]; National Key Research and Development Project [2016YFC0502103]; National Natural Science Foundation of China [41571173]; Special Fund of State Key Joint Laboratory of Environment Simulation and Pollution Control [19L01ESPC]</t>
  </si>
  <si>
    <t>Second Scientific Expedition to the Qinghai-Tibet Plateau; National Key Research and Development Project(National Key Research &amp; Development Program of China); National Natural Science Foundation of China(National Natural Science Foundation of China (NSFC)); Special Fund of State Key Joint Laboratory of Environment Simulation and Pollution Control</t>
  </si>
  <si>
    <t>The work was supported by the Second Scientific Expedition to the Qinghai-Tibet Plateau (No. 2019QZKK0405-05), National Key Research and Development Project (No. 2016YFC0502103), National Natural Science Foundation of China (No. 41571173) and Special Fund of State Key Joint Laboratory of Environment Simulation and Pollution Control (No. 19L01ESPC).</t>
  </si>
  <si>
    <t>10.1016/j.jclepro.2020.123963</t>
  </si>
  <si>
    <t>OZ9TF</t>
  </si>
  <si>
    <t>WOS:000595260600032</t>
  </si>
  <si>
    <t>Chen, PF; Yang, JP; Jiang, ZH; Zhu, EY; Mo, CY</t>
  </si>
  <si>
    <t>Chen, Pengfei; Yang, Jingping; Jiang, Zhenhui; Zhu, Enyan; Mo, Chaoyang</t>
  </si>
  <si>
    <t>Prediction of future carbon footprint and ecosystem service value of carbon sequestration response to nitrogen fertilizer rates in rice production</t>
  </si>
  <si>
    <t>N fertilizer; GHG emissions; DNDC model; Rice ecosystem; Climate change</t>
  </si>
  <si>
    <t>GREENHOUSE-GAS EMISSIONS; CROP-ROTATION SYSTEMS; CLIMATE-CHANGE; WATER MANAGEMENT; METHANE EMISSION; OXIDE EMISSIONS; USE EFFICIENCY; SOIL; MODEL; CO2</t>
  </si>
  <si>
    <t>There is concern for variations of the carbon footprint (CF) and ecosystem service value of carbon sequestration (ESVCS) related to nitrogen (N) fertilizer rate in rice production under future climate change. To explore possible future ecological effects of N fertilizer rate, a DeNitrificationDeComposition (DNDC) model combined with Representative Concentration Pathway (RCP) projections (RCP 4.5 and RCP 8.5) were used to predict the CF and ESVCS of rice production. The model was validated by a two-year field experiment, and then seven N fertilizer levels (0, 75, 150, 190, 225, 300, and 375 kg N/ha) were set for prediction from 2015 to 2050. The validation results indicated a good fit between the DNDC-simulated and observed data of GHG emission and rice yield. Under RCP 8.5, the mean CF was 4.58.7% higher and the average ESVCS was 3.67.4% lower than those under RCP 4.5. The effects of N fertilizer rate on CF and ESVCS were consistent between the two climate change scenarios. In both RCPs, it was found that CF and ESVCS were mainly influenced by N fertilizer rate due to the latter's effect on CH4 emissions and crop carbon fixation. CH4 was the main contributor to CF during 20152050, accounting for 43.958.3% of the total CF. Agricultural inputs were also large contributors to CF, and N fertilizer increased the indirect GHG emissions by 24.6122.2% compared with no N fertilization treatment. Among the studied N fertilizer rates, 190 kg N/ha was the optimal rate, obtaining the lowest CF and highest ESVCS. These results indicate that, under future climate change, an N fertilizer rate of 190 kg N/ha could achieve a trade-off between high yield, reduction of CF, and improvement of ESVCS in rice production.</t>
  </si>
  <si>
    <t>[Chen, Pengfei; Yang, Jingping; Jiang, Zhenhui; Zhu, Enyan; Mo, Chaoyang] Zhejiang Univ, Coll Environm &amp; Resource Sci, Hangzhou 310058, Zhejiang, Peoples R China</t>
  </si>
  <si>
    <t>Zhejiang University</t>
  </si>
  <si>
    <t>Yang, JP (corresponding author), Zhejiang Univ, 866 Yuhangtang Rd, Hangzhou 310058, Zhejiang, Peoples R China.</t>
  </si>
  <si>
    <t>jpyang@zju.edu.cn</t>
  </si>
  <si>
    <t>, Jingping/0000-0002-3212-0184</t>
  </si>
  <si>
    <t>National Key Research and Development Program of China [2016YFD0300203-4]; National Natural Science Foundation of China [31870419]</t>
  </si>
  <si>
    <t>This research was financially supported by the National Key Research and Development Program of China (No. 2016YFD0300203-4) and the National Natural Science Foundation of China (No. 31870419).</t>
  </si>
  <si>
    <t>10.1016/j.scitotenv.2020.139506</t>
  </si>
  <si>
    <t>MB4GV</t>
  </si>
  <si>
    <t>WOS:000542562600002</t>
  </si>
  <si>
    <t>Zhang, Z; Chen, YH; Tian, Y</t>
  </si>
  <si>
    <t>Zhang, Zhuang; Chen, You-Hua; Tian, Yun</t>
  </si>
  <si>
    <t>Effect of agricultural fiscal expenditures on agricultural carbon intensity in China</t>
  </si>
  <si>
    <t>Agricultural fiscal expenditures; Agricultural carbon intensity; Scale effect; Structure effect; Technique effect</t>
  </si>
  <si>
    <t>FOOD SECURITY; FARM SIZE; EMISSIONS; SUBSIDIES; INCENTIVES; CLIMATE; IMPACT</t>
  </si>
  <si>
    <t>Few studies provide direct evidences that agricultural fiscal affects agricultural carbon intensity. This study tries to fill this gap. Using panel data of 30 provinces in China from 2005 to 2019, we conclude that agricultural fiscal expenditures significantly reduce agricultural carbon intensity. The result is still robust after employing the provincial agricultural leaders' birthplace information as an instrumental variable. Further study shows that the negative effect of agricultural fiscal expenditures on agricultural carbon intensity is more pronounced in regions with less corruption and is also more visible in central, western, and inland regions than other areas. For this effect, agricultural technological improvement and structure optimization are possible channels, but not operation scale expansion. Interestingly, although agricultural fiscal expenditures reduce the local agricultural carbon intensity, neighbor regions' carbon intensities are increased due to fiscal rivalry.</t>
  </si>
  <si>
    <t>[Zhang, Zhuang; Tian, Yun] Zhongnan Univ Econ &amp; Law, Sch Business Adm, Wuhan 430073, Peoples R China; [Chen, You-Hua] South China Agr Univ, Coll Econ &amp; Management, Guangzhou 510642, Peoples R China; [Chen, You-Hua] South China Agr Univ, Res Ctr Green Dev Agr, Guangzhou 510642, Peoples R China</t>
  </si>
  <si>
    <t>Zhongnan University of Economics &amp; Law; South China Agricultural University; South China Agricultural University</t>
  </si>
  <si>
    <t>Zhang, Z (corresponding author), Zhongnan Univ Econ &amp; Law, Sch Business Adm, Wuhan 430073, Peoples R China.</t>
  </si>
  <si>
    <t>zhangzhaung@qq.com; Chenyhua214@163.com; tianyun1986@163.com</t>
  </si>
  <si>
    <t>; Chen, Y.H./M-4136-2013</t>
  </si>
  <si>
    <t>zhang, zhuang/0009-0000-8546-5277;</t>
  </si>
  <si>
    <t>National Natural Science Foundation of China [72273045, 71903197]</t>
  </si>
  <si>
    <t>This work is supported by the National Natural Science Foundation of China (General Program): Research on the impact mechanism of climate change on the resilience of major grain producing areas and its improvement path: taking major grain producing areas in northern China as an example (No. 72273045); the National Natural Science Foundation of China (Youth Program): Research on provincial distribution of China's agricultural carbon emission rights and cooperative emission reduction strategy under Paris agreement (No. 71903197).</t>
  </si>
  <si>
    <t>10.1007/s11356-023-25763-6</t>
  </si>
  <si>
    <t>IY1I1</t>
  </si>
  <si>
    <t>Green Accepted, Bronze</t>
  </si>
  <si>
    <t>WOS:000933447000020</t>
  </si>
  <si>
    <t>Kiran, KTM; Pal, S; Chand, P; Kandpal, A</t>
  </si>
  <si>
    <t>Kiran, Kumara T. M.; Pal, Suresh; Chand, Prem; Kandpal, Ankita</t>
  </si>
  <si>
    <t>Carbon sequestration potential of agroforestry systems in Indian agricultural landscape: A Meta-Analysis</t>
  </si>
  <si>
    <t>Agroforestry; Carbon sequestration; Ecosystem services; Climate change; India; Meta-analysis</t>
  </si>
  <si>
    <t>SOIL ORGANIC-CARBON; LAND-USE CHANGE; ECOSYSTEM SERVICES; STOCKS; CLIMATE; BIOMASS; FOREST; INTENSIFICATION; MITIGATE; BENEFITS</t>
  </si>
  <si>
    <t>Agroforestry (AF) systems offer numerous ecosystem services and environmental benefits to humanity. Compared to conventional agricultural practices, these systems have the potential to address the impacts of climate change through carbon (C) sequestration. We examined the impacts of four dominant AF systems, viz., agrisilviculture, silvipasture, agrihortisilviculture, and agrihorticulture, on soil C sequestration and the influencing factors as well as associated benefits. Results revealed that conversion to agroforestry systems resulted in a considerably higher C sequestration (+25.34%) compared to non-agroforestry systems. The highest mean soil C stock was found in agrihorticulture (38.11 Mg C ha-1), which is + 31.64% higher in comparison with conventional systems. The transformation from grasslands to agroforestry systems resulted in the highest carbon sequestration, with an increase of + 36.94%. In contrast, the transition from forest to agroforestry systems resulted in a decline in soil C sequestration (-23.42%), implying its sequestration potential outside the forest rather than the substitute of forests. AF in semi-arid subtropical regions showed higher sequestration potential compared to other regions. Further, higher C sequestration was observed in younger trees (+39.51%) and in the upper soil layers (upto30cm) of AF systems. Factors such as previous land use, system type, age, and rainfall were the major drivers of soil C sequestration in AF systems. Our findings also indicated that all the AF systems considered are technically feasible and economically profitable in the Indian agricultural landscape. Reorienting and extending incentives for agroforestry, improving certification standards for agroforestry products, and strengthening the AF extension system will be crucial in enhancing ecosystem services and supporting India's efforts toward achieving its net zero emission target.</t>
  </si>
  <si>
    <t>[Kiran, Kumara T. M.; Chand, Prem; Kandpal, Ankita] ICAR Natl Inst Agr Econ &amp; Policy Res NIAP, Agr Econ, New Delhi 110012, India; [Pal, Suresh] ICAR Natl Inst Agr Econ &amp; Policy Res NIAP, New Delhi 110012, India</t>
  </si>
  <si>
    <t>Indian Council of Agricultural Research (ICAR); ICAR - National Institute of Agricultural Economics &amp; Policy Research; Indian Council of Agricultural Research (ICAR); ICAR - National Institute of Agricultural Economics &amp; Policy Research</t>
  </si>
  <si>
    <t>Kandpal, A (corresponding author), ICAR Natl Inst Agr Econ &amp; Policy Res NIAP, Agr Econ, New Delhi 110012, India.</t>
  </si>
  <si>
    <t>kiran.tm@icar.gov.in; Prem.Chand@icar.gov.in; Ankita.Kandpal@icar.gov.in</t>
  </si>
  <si>
    <t>Chand, Prem/I-4623-2017; KANDPAL, ANKITA/ADX-8277-2022</t>
  </si>
  <si>
    <t>TM, KIRAN/0000-0002-0676-7873; Chand, Prem/0000-0001-8645-4107</t>
  </si>
  <si>
    <t>2212-0416</t>
  </si>
  <si>
    <t>ECOSYST SERV</t>
  </si>
  <si>
    <t>Ecosyst. Serv.</t>
  </si>
  <si>
    <t>10.1016/j.ecoser.2023.101537</t>
  </si>
  <si>
    <t>Ecology; Environmental Sciences; Environmental Studies</t>
  </si>
  <si>
    <t>L6VH6</t>
  </si>
  <si>
    <t>WOS:001024613400001</t>
  </si>
  <si>
    <t>Narbaud, C; Paris, JD; Wittig, S; Berchet, A; Saunois, M; Nédélec, P; Belan, BD; Arshinov, MY; Belan, SB; Davydov, D; Fofonov, A; Kozlov, A</t>
  </si>
  <si>
    <t>Narbaud, Clement; Paris, Jean-Daniel; Wittig, Sophie; Berchet, Antoine; Saunois, Marielle; Nedelec, Philippe; Belan, Boris D.; Arshinov, Mikhail Y.; Belan, Sergei B.; Davydov, Denis; Fofonov, Alexander; Kozlov, Artem</t>
  </si>
  <si>
    <t>Disentangling methane and carbon dioxide sources and transport across the Russian Arctic from aircraft measurements</t>
  </si>
  <si>
    <t>PARTICLE DISPERSION MODEL; GLOBAL WETLAND EXTENT; PRESENT STATE; ATMOSPHERE; EMISSIONS; FLEXPART; AIR; CO2; VALIDATION; INSIGHTS</t>
  </si>
  <si>
    <t>A more accurate characterization of the sources and sinks of methane (CH4) and carbon dioxide (CO2) in the vulnerable Arctic environment is required to better predict climate change. A large-scale aircraft campaign took place in September 2020 focusing on the Siberian Arctic coast. CH4 and CO2 were measured in situ during the campaign and form the core of this study. Measured ozone (O-3) and carbon monoxide (CO) are used here as tracers. Median CH4 mixing ratios are fairly higher than the monthly mean hemispheric reference (Mauna Loa, Hawaii, US) with 1890-1969 ppb vs. 1887 ppb respectively, while CO2 mixing ratios from all flights are lower (408.09-411.50 ppm vs. 411.52 ppm). We also report on three case studies. Our analysis suggests that during the campaign the European part of Russia's Arctic and western Siberia were subject to long-range transport of polluted air masses, while the east was mainly under the influence of local emissions of greenhouse gases. The relative contributions of the main anthropogenic and natural sources of CH(4 )are simulated using the Lagrangian model FLEXPART in order to identify dominant sources in the boundary layer and in the free troposphere. On western terrestrial flights, air mass composition is influenced by emissions from wetlands and anthropogenic activities (waste management, fossil fuel industry, and to a lesser extent the agricultural sector), while in the east, emissions are dominated by freshwater, wetlands, and the oceans, with a likely contribution from anthropogenic sources related to fossil fuels. Our results highlight the importance of the contributions from freshwater and ocean emissions. Considering the large uncertainties associated with them, our study suggests that the emissions from these aquatic sources should receive more attention in Siberia.</t>
  </si>
  <si>
    <t>[Narbaud, Clement; Paris, Jean-Daniel; Wittig, Sophie; Berchet, Antoine; Saunois, Marielle] UVSQ, IPSL, Lab Sci Climat &amp; Environm,Orme Merisiers, CEA,CNRS, F-91190 Gif sur Yvette, France; [Paris, Jean-Daniel] Cyprus Institute, Climate &amp; Atmosphere Res Ctr CARE C, CY-2121 Nicosia, Cyprus; [Nedelec, Philippe] Univ Toulouse, LAERO, UT3, CNRS, Toulouse, France</t>
  </si>
  <si>
    <t>Universite Paris Saclay; Universite Paris Cite; Centre National de la Recherche Scientifique (CNRS); CEA; Centre National de la Recherche Scientifique (CNRS); Universite de Toulouse; Universite Toulouse III - Paul Sabatier</t>
  </si>
  <si>
    <t>Paris, JD (corresponding author), UVSQ, IPSL, Lab Sci Climat &amp; Environm,Orme Merisiers, CEA,CNRS, F-91190 Gif sur Yvette, France.;Paris, JD (corresponding author), Cyprus Institute, Climate &amp; Atmosphere Res Ctr CARE C, CY-2121 Nicosia, Cyprus.</t>
  </si>
  <si>
    <t>jean-daniel.paris@lsce.ipsl.fr</t>
  </si>
  <si>
    <t>Belan, Boris/A-6506-2014; Arshinov, Mikhail/A-5953-2014; Saunois, Marielle/JYP-5156-2024</t>
  </si>
  <si>
    <t>Belan, Boris/0000-0003-1481-6847; Berchet, Antoine/0000-0001-6709-0125; Paris, Jean-Daniel/0000-0003-2164-4916; Narbaud, Clement/0000-0001-8834-1552; Saunois, Marielle/0000-0003-3983-2931</t>
  </si>
  <si>
    <t>Ministry of Science and Higher Education of the Russian Federation [075-15-2021-934]</t>
  </si>
  <si>
    <t>Ministry of Science and Higher Education of the Russian Federation</t>
  </si>
  <si>
    <t>This research has been supported by the Ministry of Science and Higher Education of the Russian Federation(grant no. 075-15-2021-934). Publisher's note: the article processing charges for this publication were not paid by a Russian or Belarusian institution.</t>
  </si>
  <si>
    <t>10.5194/acp-23-2293-2023</t>
  </si>
  <si>
    <t>9C3VH</t>
  </si>
  <si>
    <t>WOS:000935348600001</t>
  </si>
  <si>
    <t>Ali, HS; Sahoo, M; Alam, MM; Tijjani, II; Al-Amin, A; Ahmed, A</t>
  </si>
  <si>
    <t>Ali, Hamisu Sadi; Sahoo, Malayaranjan; Alam, Md Mahmudul; Tijjani, Idris Isma'il; Al-Amin, Abul Quasem; Ahmed, Adeel</t>
  </si>
  <si>
    <t>Structural transformations and conventional energy-based power utilization on carbon emissions: empirical evidence from Pakistan</t>
  </si>
  <si>
    <t>Carbon emission (CO2); Structural transformation; Energy use; Financial development; Urbanization; Pakistan; ARDL</t>
  </si>
  <si>
    <t>ENVIRONMENTAL KUZNETS CURVE; ECONOMIC-GROWTH; CO2 EMISSIONS; FINANCIAL DEVELOPMENT; DIOXIDE EMISSIONS; INDUSTRIAL-PRODUCTION; RENEWABLE ENERGY; TRADE OPENNESS; CONSUMPTION; URBANIZATION</t>
  </si>
  <si>
    <t>Economic structural changes are a major factor that has a big impact on most of a country or region's economic systems and operations, as well as the environment. This study looks at how conventional energy-based power use affects carbon emissions in Pakistan through a structural change analysis of the country from 1971 to 2018. It uses the autoregressive distributed lags (ARDL) method and covers the period from 1971 to 2018. The long-term findings from the ARDL suggest that economic expansion, growth and development, and agro production lead to declining carbon emissions and in turn, will improve the state of the environment. Precisely, an increase in 1% of economic expansion and agricultural production will reduce carbon emissions by 1.26% and 0.53%, respectively. However, the current use of conventional energy to make electricity is causing carbon dioxide to be released into the air. People who live in cities use more conventional energy, which means that the amount of carbon dioxide they produce will go up by 1.53% for every 1% change in conventional energy use. This means that there are strong links between urbanzation and carbon emissions. Government and industry policymakers should encourage people to use renewable and conventional energy sources, encourage them to invest more in green-related businesses, and provide more social amenities and better infrastructure in Pakistan's rural areas, to name a few things. Doing so will help to reduce the continuing and uncontrolled influx of people to the country's cities, which simply further endangers the natural environment.</t>
  </si>
  <si>
    <t>[Ali, Hamisu Sadi] Ahmadu Bello Univ, ABU Business Sch, Dept Econ, Zaria, Kaduna, Nigeria; [Sahoo, Malayaranjan] Natl Inst Technol NIT, Dept Humanities &amp; Social Sci, Rourkela, Odisha, India; [Alam, Md Mahmudul] Univ Utara Malaysia UUM, Sch Econ Finance &amp; Banking SEFB, Econ &amp; Financial Policy Inst ECoFI, Sintok 06010, Kedah, Malaysia; [Tijjani, Idris Isma'il] Ahmadu Bello Univ, ABU Business Sch, Dept Banking &amp; Finance, Zaria, Kaduna, Nigeria; [Al-Amin, Abul Quasem] Univ Waterloo, Dept Geog &amp; Environm Management, Waterloo, ON, Canada; [Al-Amin, Abul Quasem] Ctr Asian Climate &amp; Environm Policy Studies, 1525 Univ Ave West, Windsor, ON, Canada; [Ahmed, Adeel] Natl Univ Sci &amp; Technol, Business Sch, Dept IB&amp;M, Islamabad, Pakistan; [Al-Amin, Abul Quasem] Daffodil Int Univ, Dept Dev Studies, Dhaka, Bangladesh</t>
  </si>
  <si>
    <t>Ahmadu Bello University; National Institute of Technology (NIT System); National Institute of Technology Rourkela; Universiti Utara Malaysia; Ahmadu Bello University; University of Waterloo; National University of Sciences &amp; Technology - Pakistan; Daffodil International University</t>
  </si>
  <si>
    <t>Alam, MM (corresponding author), Univ Utara Malaysia UUM, Sch Econ Finance &amp; Banking SEFB, Econ &amp; Financial Policy Inst ECoFI, Sintok 06010, Kedah, Malaysia.</t>
  </si>
  <si>
    <t>hamisusadi@gmail.com; sahoomalayaranjan4@gmail.com; rony000@gmail.com; ismaildel@yahoo.com; qalamin@uwaterloo.ca; adeelawan261@gmail.com</t>
  </si>
  <si>
    <t>Idris, Ismail/AFO-4203-2022; Al-Amin, Abul Quasem/JXY-5980-2024; Alam, Md. Mahmudul/B-5889-2014; Al-Amin, Abul Quasem/B-8135-2010; Sahoo, Malayaranjan/AAV-2435-2021; Alam, Mahmudul/B-5889-2014</t>
  </si>
  <si>
    <t>ahmed, adeel/0000-0001-7439-9606; Al-Amin, Abul Quasem/0000-0002-6097-1197; Sahoo, Malayaranjan/0000-0002-6651-6195; Alam, Mahmudul/0000-0002-7360-1259; Iis, Isma'il Tijjani/0000-0003-2185-3531; Ali, Hamisu Sadi/0000-0003-0875-0562</t>
  </si>
  <si>
    <t>10.1007/s10668-022-02133-9</t>
  </si>
  <si>
    <t>9E6JK</t>
  </si>
  <si>
    <t>WOS:000749019200003</t>
  </si>
  <si>
    <t>Miles, NL; Davis, KJ; Richardson, SJ; Lauvaux, T; Martins, DK; Deng, AJ; Balashov, N; Gurney, KR; Liang, JM; Roest, G; Wang, JA; Turnbull, JC</t>
  </si>
  <si>
    <t>Miles, Natasha L.; Davis, Kenneth J.; Richardson, Scott J.; Lauvaux, Thomas; Martins, Douglas K.; Deng, A. J.; Balashov, Nikolay; Gurney, Kevin R.; Liang, Jianming; Roest, Geoff; Wang, Jonathan A.; Turnbull, Jocelyn C.</t>
  </si>
  <si>
    <t>The influence of near-field fluxes on seasonal carbon dioxide enhancements: results from the Indianapolis Flux Experiment (INFLUX)</t>
  </si>
  <si>
    <t>Carbon dioxide; Urban; Greenhouse gas; Fluxes; Background; INFLUX; Anthropogenic; Biogenic</t>
  </si>
  <si>
    <t>Background: Networks of tower-based CO2 mole fraction sensors have been deployed by various groups in and around cities across the world to quantify anthropogenic CO2 emissions from metropolitan areas. A critical aspect in these approaches is the separation of atmospheric signatures from distant sources and sinks (i.e., the background) from local emissions and biogenic fluxes. We examined CO2 enhancements compared to forested and agricultural background towers in Indianapolis, Indiana, USA, as a function of season and compared them to modeled results, as a part of the Indianapolis Flux (INFLUX) project. Results: At the INFLUX urban tower sites, daytime growing season enhancement on a monthly timescale was up to 4.3-6.5 ppm, 2.6 times as large as those in the dormant season, on average. The enhancement differed significantly depending on choice of background and time of year, being 2.8 ppm higher in June and 1.8 ppm lower in August using a forested background tower compared to an agricultural background tower. A prediction based on land cover and observed CO2 fluxes showed that differences in phenology and drawdown intensities drove measured differences in enhancements. Forward modelled CO2 enhancements using fossil fuel and biogenic fluxes indicated growing season model-data mismatch of 1.1 +/- 1.7 ppm for the agricultural background and 2.1 +/- 0.5 ppm for the forested background, corresponding to 25-29% of the modelled CO2 enhancements. The model-data total CO2 mismatch during the dormant season was low, - 0.1 +/- 0.5 ppm. Conclusions: Because growing season biogenic fluxes at the background towers are large, the urban enhancements must be disentangled from the biogenic signal, and growing season increases in CO2 enhancement could be misinterpreted as increased anthropogenic fluxes if the background ecosystem CO2 drawdown is not considered. The magnitude and timing of enhancements depend on the land cover type and net fluxes surrounding each background tower, so a simple box model is not appropriate for interpretation of these data. Quantification of the seasonality and magnitude of the biological fluxes in the study region using high-resolution and detailed biogenic models is necessary for the interpretation of tower-based urban CO2 networks for cities with significant vegetation.</t>
  </si>
  <si>
    <t>[Miles, Natasha L.; Davis, Kenneth J.; Richardson, Scott J.; Lauvaux, Thomas; Martins, Douglas K.; Deng, A. J.; Balashov, Nikolay] Penn State Univ, Dept Meteorol &amp; Atmospher Sci, University Pk, PA 16802 USA; [Davis, Kenneth J.] Penn State Univ, Earth &amp; Environm Syst Inst, University Pk, PA 16802 USA; [Lauvaux, Thomas] Lab Sci Climat &amp; Environm LSCE, F-91190 St Aubin, France; [Martins, Douglas K.] FLIR Syst Inc, W Lafayette, IN 47906 USA; [Deng, A. J.] Utopus Insights Inc, Valhalla, NY 10595 USA; [Balashov, Nikolay] Univ Space Res Assoc, NASA, Goddard Space Flight Ctr, Greenbelt, MD 20771 USA; [Gurney, Kevin R.; Liang, Jianming; Roest, Geoff] No Arizona Univ, Flagstaff, AZ 86011 USA; [Liang, Jianming] Environm Syst Res Inst, Redlands, CA 92373 USA; [Wang, Jonathan A.] Boston Univ, Boston, MA 02215 USA; [Wang, Jonathan A.] Univ Calif Irvine, Irvine, CA 92697 USA; [Turnbull, Jocelyn C.] GNS Sci, Lower Hutt 5040, New Zealand; [Turnbull, Jocelyn C.] Univ Colorado, CIRES, Boulder, CO 80309 USA</t>
  </si>
  <si>
    <t>Pennsylvania Commonwealth System of Higher Education (PCSHE); Pennsylvania State University; Pennsylvania State University - University Park; Pennsylvania Commonwealth System of Higher Education (PCSHE); Pennsylvania State University; Pennsylvania State University - University Park; National Aeronautics &amp; Space Administration (NASA); NASA Goddard Space Flight Center; Universities Space Research Association (USRA); Northern Arizona University; Boston University; University of California System; University of California Irvine; GNS Science - New Zealand; University of Colorado System; University of Colorado Boulder</t>
  </si>
  <si>
    <t>Miles, NL (corresponding author), Penn State Univ, Dept Meteorol &amp; Atmospher Sci, University Pk, PA 16802 USA.</t>
  </si>
  <si>
    <t>nmiles@psu.edu</t>
  </si>
  <si>
    <t>; Wang, Jonathan/J-3390-2019; Miles, Natasha/K-6551-2019; Turnbull, Jocelyn/E-1426-2016; Davis, Kenneth/AAF-2661-2020; Liang, Jianming/X-8241-2019</t>
  </si>
  <si>
    <t>Wang, Jonathan/0000-0003-2839-0699; Miles, Natasha/0000-0003-4266-2726; Davis, Kenneth/0000-0002-1992-8381;</t>
  </si>
  <si>
    <t>National Institute of Standards and Technology [70NANB10H245]; National Oceanic and Atmospheric Administration [NA13OAR4310076]; French research program Make Our Planet Great Again</t>
  </si>
  <si>
    <t>National Institute of Standards and Technology(National Institute of Standards &amp; Technology (NIST) - USA); National Oceanic and Atmospheric Administration(National Oceanic Atmospheric Admin (NOAA) - USA); French research program Make Our Planet Great Again</t>
  </si>
  <si>
    <t>This work is supported by the National Institute of Standards and Technology (Project #70NANB10H245) and the National Oceanic and Atmospheric Administration (Award #NA13OAR4310076). T. Lauvaux was also supported by the French research program Make Our Planet Great Again (project CIUDAD).</t>
  </si>
  <si>
    <t>JAN 30</t>
  </si>
  <si>
    <t>10.1186/s13021-020-00166-z</t>
  </si>
  <si>
    <t>QA5FW</t>
  </si>
  <si>
    <t>WOS:000613470200001</t>
  </si>
  <si>
    <t>Ren, XY; Cai, LQ; Wu, J; Ahmad, MK; Haider, FU</t>
  </si>
  <si>
    <t>Ren, Xiaoyan; Cai, Liqun; Wu, Jun; Ahmad, Muhammad Kashif; Haider, Fasih Ullah</t>
  </si>
  <si>
    <t>Dynamics of Soil Organic Carbon Mineralization Under Straw Addition: Evidence from a Controlled Incubation Experiment</t>
  </si>
  <si>
    <t>SOC mineralization; straw addition levels; labile organic carbon fractions; soil physicochemical properties; enzyme activity</t>
  </si>
  <si>
    <t>ENZYME-ACTIVITIES; AGRICULTURAL SOILS; MICROBIAL BIOMASS; FRESH CARBON; PLANT RESIDUES; CO2 EMISSIONS; MATTER; DECOMPOSITION; MECHANISMS; NITROGEN</t>
  </si>
  <si>
    <t>Returning straw to the soil is increasingly recognized as a sustainable practice that enhances soil fertility and promotes carbon sequestration. However, it can also accelerate the decomposition of soil organic carbon (SOC) and CO2 emissions, raising concerns about carbon loss. This study aimed to clarify the biological and environmental drivers of SOC mineralization across soil depths in a semi-arid system. A 79-day incubation experiment was conducted using wheat straw applied at four rates (0, 3500, 7000, and 14,000 kg ha-1) to soils from 0-10, 10-20, and 20-30 cm. Cumulative CO2 release, SOC, dissolved organic carbon (DOC), and extracellular enzyme activities were quantified, and relationships were analyzed using correlation and structural equation modeling. Compared with the control, straw return increased cumulative CO2 emissions by 48-126%, SOC by 9-21%, and DOC by 17-32%. Enzyme activities of beta-glucosidase and N-acetylglucosaminidase were 25-64% higher under straw treatments. Structural modeling revealed that enzyme activity had a stronger direct effect on SOC mineralization than chemical properties. These results support the co-metabolism theory, stimulating microbial metabolism to enhance both straw- and native-SOC decomposition. Overall, straw return improves nutrient cycling but increases CO2 emissions, underscoring the need for optimized management to balance soil fertility with carbon mitigation.</t>
  </si>
  <si>
    <t>[Ren, Xiaoyan; Cai, Liqun] Gansu Agr Univ, Coll Forestry, Lanzhou 730070, Peoples R China; [Ren, Xiaoyan; Cai, Liqun; Wu, Jun] Gansu Agr Univ, Gansu Prov Key Lab Arid Land Crop Sci, Lanzhou 730070, Peoples R China; [Cai, Liqun; Wu, Jun; Ahmad, Muhammad Kashif; Haider, Fasih Ullah] Gansu Agr Univ, Coll Resources &amp; Environm Sci, Lanzhou 730070, Peoples R China; [Ahmad, Muhammad Kashif] Ayub Agr Res Inst, Agron Res Inst, Govt Seed Farm Dhakkar, Faisalabad 38000, Pakistan</t>
  </si>
  <si>
    <t>Gansu Agricultural University; Gansu Agricultural University; Gansu Agricultural University</t>
  </si>
  <si>
    <t>Cai, LQ (corresponding author), Gansu Agr Univ, Coll Forestry, Lanzhou 730070, Peoples R China.;Cai, LQ (corresponding author), Gansu Agr Univ, Gansu Prov Key Lab Arid Land Crop Sci, Lanzhou 730070, Peoples R China.;Cai, LQ (corresponding author), Gansu Agr Univ, Coll Resources &amp; Environm Sci, Lanzhou 730070, Peoples R China.</t>
  </si>
  <si>
    <t>107332201065@st.gsau.edu.cn; cailq@gsau.edu.cn; wujun@gsau.edu.cn; muhammadkashifahmad880@gmail.com; fasihullahhaider281@gmail.com</t>
  </si>
  <si>
    <t>Haider, Fasih Ullah/HOF-6555-2023</t>
  </si>
  <si>
    <t>Science and Technology Project of Gansu Province [25JRRA807]; National Key R&amp;D Program of China [2022YFD1900300]; State Key Laboratory of Aridland Crop Science, Gansu Agricultural University [GSCS-2022-Z02]; National Natural Science Foundation of China [32260549]</t>
  </si>
  <si>
    <t>Science and Technology Project of Gansu Province; National Key R&amp;D Program of China; State Key Laboratory of Aridland Crop Science, Gansu Agricultural University; National Natural Science Foundation of China(National Natural Science Foundation of China (NSFC))</t>
  </si>
  <si>
    <t>This work was supported by the Science and Technology Project of Gansu Province (25JRRA807), the National Key R&amp;D Program of China (2022YFD1900300), the National Natural Science Foundation of China (32260549), and the State Key Laboratory of Aridland Crop Science, Gansu Agricultural University (GSCS-2022-Z02).</t>
  </si>
  <si>
    <t>10.3390/agronomy15112642</t>
  </si>
  <si>
    <t>F3277</t>
  </si>
  <si>
    <t>WOS:001623431200001</t>
  </si>
  <si>
    <t>Weindl, I; Popp, A; Bodirsky, BL; Rolinski, S; Lotze-Campen, H; Biewald, A; Humpenöder, F; Dietrich, JP; Stevanovic, M</t>
  </si>
  <si>
    <t>Weindl, Isabelle; Popp, Alexander; Bodirsky, Benjamin Leon; Rolinski, Susanne; Lotze-Campen, Hermann; Biewald, Anne; Humpenoeder, Florian; Dietrich, Jan Philipp; Stevanovic, Miodrag</t>
  </si>
  <si>
    <t>Livestock and human use of land: Productivity trends and dietary choices as drivers of future land and carbon dynamics</t>
  </si>
  <si>
    <t>GLOBAL AND PLANETARY CHANGE</t>
  </si>
  <si>
    <t>Livestock productivity; Diets; Land use; Deforestation; Carbon emissions; Greenhouse gas mitigation</t>
  </si>
  <si>
    <t>GREENHOUSE-GAS EMISSIONS; CLIMATE-CHANGE; FOOD-DEMAND; CROP PRODUCTIVITY; AGRICULTURE; SYSTEMS; INTENSIFICATION; ENVIRONMENT; MITIGATION; MANAGEMENT</t>
  </si>
  <si>
    <t>Land use change has been the primary driving force of human alteration of terrestrial ecosystems. With 80% of agricultural land dedicated to livestock production, the sector is an important lever to attenuate land requirements for food production and carbon emissions from land use change. In this study, we quantify impacts of changing human diets and livestock productivity on land dynamics and depletion of carbon stored in vegetation, litter and soils. Across all investigated productivity pathways, lower consumption of livestock products can substantially reduce deforestation (47-55%) and cumulative carbon losses (34-57%). On the supply side, already minor productivity growth in extensive livestock production systems leads to substantial CO2 emission abatement, but the emission saving potential of productivity gains in intensive systems is limited, also involving trade-offs with soil carbon stocks. If accounting for uncertainties related to future trade restrictions, crop yields and pasture productivity, the range of projected carbon savings from changing diets increases to 23-78%. Highest abatement of carbon emissions (63-78%) can be achieved if reduced consumption of animal-based products is combined with sustained investments into productivity increases in plant production. Our analysis emphasizes the importance to integrate demand- and supply-side oriented mitigation strategies and to combine efforts in the crop and livestock sector to enable synergies for climate protection.</t>
  </si>
  <si>
    <t>[Weindl, Isabelle; Popp, Alexander; Bodirsky, Benjamin Leon; Rolinski, Susanne; Lotze-Campen, Hermann; Biewald, Anne; Humpenoeder, Florian; Dietrich, Jan Philipp; Stevanovic, Miodrag] Potsdam Inst Climate Impact Res PIK, POB 60 12 03, D-14412 Potsdam, Germany; [Weindl, Isabelle] Humboldt Univ, Dept Geog, Unter Linden 6, D-10099 Berlin, Germany; [Weindl, Isabelle] Leibniz Inst Agr Engn &amp; Bioecon ATB, Max Eyth Allee 100, D-14469 Potsdam, Germany; [Lotze-Campen, Hermann] Humboldt Univ, Dept Agr Econ, Unter Linden 6, D-10099 Berlin, Germany</t>
  </si>
  <si>
    <t>Potsdam Institut fur Klimafolgenforschung; Humboldt University of Berlin; Leibniz Association; Leibniz Institut fur Agrartechnik und Biookonomie (ATB); Humboldt University of Berlin</t>
  </si>
  <si>
    <t>Weindl, I (corresponding author), Potsdam Inst Climate Impact Res PIK, POB 60 12 03, D-14412 Potsdam, Germany.</t>
  </si>
  <si>
    <t>weindl@pik-potsdam.de</t>
  </si>
  <si>
    <t>; Stevanović, Miodrag/B-8303-2018; Dietrich, Jan Philipp/ABG-3548-2021; Bodirsky, Benjamin/ABH-9170-2020; Stevanović, Mioag/B-8303-2018; Humpenöder, Florian/HHN-1081-2022; Popp, Alexander/N-7064-2014; Lotze-Campen, Hermann/AAA-5093-2020</t>
  </si>
  <si>
    <t>Popp, Alexander/0000-0001-9500-1986; Bodirsky, Benjamin Leon/0000-0002-8242-6712; Weindl, Isabelle/0000-0002-7651-6930; Lotze-Campen, Hermann/0000-0002-0003-5508; Stevanović, Mioag/0000-0003-1799-186X; Humpenöder, Florian/0000-0003-2927-9407;</t>
  </si>
  <si>
    <t>European Union Seventh Framework Programme [603542]; European Union's Horizon research and innovation programme [689150, 652615]; BMBF in the EU-Joint Programming Initiative: Agriculture, Food Security and Climate Change (MACSUR); H2020 Societal Challenges Programme [689150] Funding Source: H2020 Societal Challenges Programme</t>
  </si>
  <si>
    <t>European Union Seventh Framework Programme(European Union (EU)); European Union's Horizon research and innovation programme(Horizon 2020European Union (EU)Horizon Europe Research Infrastructures); BMBF in the EU-Joint Programming Initiative: Agriculture, Food Security and Climate Change (MACSUR)(Federal Ministry of Education &amp; Research (BMBF)); H2020 Societal Challenges Programme(Horizon 2020European Union (EU)H2020 Societal Challenges Programme)</t>
  </si>
  <si>
    <t>The research leading to these results has received funding from the European Union Seventh Framework Programme under grant agreement No 603542 (LUC4C) and from the European Union's Horizon 2020 research and innovation programme under grant agreement No 689150 (SIM4NEXUS) and No 652615 (in the framework of the FACCE SURPLUS research project SUSTAg). Additional funding from the BMBF in the EU-Joint Programming Initiative: Agriculture, Food Security and Climate Change (MACSUR) is gratefully acknowledged. We wish to thank the land-use modelling group at PIK for valuable and insightful discussions.</t>
  </si>
  <si>
    <t>0921-8181</t>
  </si>
  <si>
    <t>1872-6364</t>
  </si>
  <si>
    <t>GLOBAL PLANET CHANGE</t>
  </si>
  <si>
    <t>Glob. Planet. Change</t>
  </si>
  <si>
    <t>10.1016/j.gloplacha.2017.10.002</t>
  </si>
  <si>
    <t>Geography, Physical; Geosciences, Multidisciplinary</t>
  </si>
  <si>
    <t>Physical Geography; Geology</t>
  </si>
  <si>
    <t>FR9RL</t>
  </si>
  <si>
    <t>WOS:000419410700001</t>
  </si>
  <si>
    <t>Bade, MM; Dubale, AA; Bebizuh, DF; Atlabachew, M</t>
  </si>
  <si>
    <t>Bade, Mardikios Maja; Dubale, Amare Aregahegn; Bebizuh, Dawit Firemichael; Atlabachew, Minaleshewa</t>
  </si>
  <si>
    <t>Highly Efficient Multisubstrate Agricultural Waste-Derived Activated Carbon for Enhanced CO2 Capture</t>
  </si>
  <si>
    <t>ACS OMEGA</t>
  </si>
  <si>
    <t>DIOXIDE CAPTURE; CHEMICAL ACTIVATION; ADSORPTION; STORAGE</t>
  </si>
  <si>
    <t>Activated carbon (AC) made of single-substrate agricultural wastes is considered to be a suitable raw material for the production of low-cost adsorbents; however, the large-scale application of these materials is highly limited by their low efficiency, seasonal scarcity, poor stability, low surface area, and limited CO2, adsorption performance. In this study, composite activated carbon (CAC) was prepared via controlled carbonization followed by chemical activation of four wastes (i.e., peanut shell, coffee husk, corn cob, and banana peel) at an appropriate weight ratio. The Na2CO3-activated CAC showed a higher surface area and valuable textural properties for CO2 adsorption as compared with KOH- and NaOH-activated CAC. The CAC production parameters, including impregnation ratio, impregnation time, carbonization temperature, and time, were optimized in detail. The as-prepared CACs were characterized by X-ray diffraction (XRD), scanning electron microscopy (SEM), energy dispersive spectroscopy (EDS), Raman spectroscopy, N-2 adsorption-desorption isotherm, and iodine number analysis. The CAC produced at optimal conditions exhibited the highest CO2 removal efficiency and adsorption capacity of 96.2% and 8.86 wt %, respectively, compared with the single-biomass-derived activated carbon. The enhanced CO2, adsorption performance is due to the large surface area, a considerable extent of mesopores, and suitable pore width. The adsorbent in this study reveals a promising strategy for mitigating the CO2 emission problems instead of more expensive and ineffective materials.</t>
  </si>
  <si>
    <t>[Bade, Mardikios Maja; Dubale, Amare Aregahegn; Bebizuh, Dawit Firemichael] Dilla Univ, Coll Nat &amp; Computat Sci, Energy &amp; Environm Res Ctr, Dept Chem, Dilla, Ethiopia; [Atlabachew, Minaleshewa] Bahir Dar Univ, Coll Sci, Dept Chem, Bahir Dar 6000, Ethiopia</t>
  </si>
  <si>
    <t>Dilla University; Bahir Dar University</t>
  </si>
  <si>
    <t>Dubale, AA (corresponding author), Dilla Univ, Coll Nat &amp; Computat Sci, Energy &amp; Environm Res Ctr, Dept Chem, Dilla, Ethiopia.</t>
  </si>
  <si>
    <t>amare2122@gmail.com</t>
  </si>
  <si>
    <t>Atlabachew, Minaleshewa/W-1097-2019</t>
  </si>
  <si>
    <t>Atlabachew, Minaleshewa/0000-0003-3261-8326; Dubale, Amare Aregahegn/0000-0002-7674-5709; Bebizuh, Dawit Firemichael/0000-0002-7288-1172</t>
  </si>
  <si>
    <t>Department of Chemistry and Energy and Environment Research Center at Dilla University</t>
  </si>
  <si>
    <t>The authors would like to gratefully acknowledge the Department of Chemistry and Energy and Environment Research Center at Dilla University for financial support and provision of laboratory facilities. The authors are also very thankful to Dr. Daneil Manaye and Dr. Alemayehu Dubale for their heartfelt cooperations in data measurements.</t>
  </si>
  <si>
    <t>2470-1343</t>
  </si>
  <si>
    <t>ACS Omega</t>
  </si>
  <si>
    <t>JUN 7</t>
  </si>
  <si>
    <t>10.1021/acsomega.2c01528</t>
  </si>
  <si>
    <t>2V9KZ</t>
  </si>
  <si>
    <t>WOS:000818974900001</t>
  </si>
  <si>
    <t>Kane, S; Bin Thaneya, A; Gursel, AP; Fan, J; Bose, B; Hendrickson, TP; Nordahl, SL; Scown, CD; Miller, SA; Horvath, A</t>
  </si>
  <si>
    <t>Kane, Seth; Bin Thaneya, Ahmad; Gursel, Aysegul Petek; Fan, Jin; Bose, Baishakhi; Hendrickson, Thomas P.; Nordahl, Sarah L.; Scown, Corinne D.; Miller, Sabbie A.; Horvath, Arpad</t>
  </si>
  <si>
    <t>Uncertainty in determining carbon dioxide removal potential of biochar</t>
  </si>
  <si>
    <t>pyrolysis; life-cycle assessment (LCA); Monte Carlo simulation; carbon sequestration; greenhouse gas emissions</t>
  </si>
  <si>
    <t>LIFE-CYCLE ASSESSMENT; BIOMASS GASIFICATION; ELECTRICITY-GENERATION; POWER-GENERATION; PYROLYSIS; PLANT</t>
  </si>
  <si>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</si>
  <si>
    <t>[Kane,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Scown, Corinne D.] Lawrence Berkeley Natl Lab, Energy Anal &amp; Environm Impacts Div, Berkeley, CA 94720 USA; [Scown, Corinne D.] Joint BioEnergy Inst, Emeryville, CA 94608 USA; [Scown, Corinne D.] Univ Calif Berkeley, Energy &amp; Biosci Inst, Berkeley, CA 94720 USA</t>
  </si>
  <si>
    <t>University of California System; University of California Davis; University of California System; University of California Berkeley; United States Department of Energy (DOE); Lawrence Berkeley National Laboratory; United States Department of Energy (DOE); Lawrence Berkeley National Laboratory; United States Department of Energy (DOE); Joint BioEnergy Institute - JBEI; University of California System; University of California Berkeley</t>
  </si>
  <si>
    <t>Kane, S (corresponding author), Univ Calif Davis, Dept Civil &amp; Environm Engn, Davis, CA 95616 USA.</t>
  </si>
  <si>
    <t>skane@ucdavis.edu</t>
  </si>
  <si>
    <t>; Kane, Seth/JNS-3445-2023; Scown, Corinne/D-1253-2013; Fan, Jin/JQV-4431-2023; Miller, Sabbie/AAI-9687-2021</t>
  </si>
  <si>
    <t>Kane, Seth/0000-0002-6940-1369; Fan, Jin/0000-0003-4067-5953; Bin Thaneya, Ahmad/0000-0002-7604-6123; Bose, Baishakhi/0000-0002-6309-0088; Nordahl, Sarah/0000-0002-6870-4755; Miller, Sabbie/0000-0001-6888-7312; Gursel, Aysegul P/0000-0002-2377-4792; Horvath, Arpad/0000-0003-1340-7099</t>
  </si>
  <si>
    <t>Office of Technology Transitionshttp://dx.doi.org/10.13039/100017268 [DE-AR0001625]; US Department of Energy, Advanced Research Projects Agency-Energy (ARPA-E); DOE Office of Technology Transitions; Office of Clean Energy Demonstrations (OCED); Office of Fossil Energy and Carbon Management (FECM) [DE-AC02-05CH11231]; Bioenergy Technologies Office (BETO), US Department of Energy; US Department of Energy</t>
  </si>
  <si>
    <t>Office of Technology Transitionshttp://dx.doi.org/10.13039/100017268; US Department of Energy, Advanced Research Projects Agency-Energy (ARPA-E)(United States Department of Energy (DOE)); DOE Office of Technology Transitions(United States Department of Energy (DOE)); Office of Clean Energy Demonstrations (OCED); Office of Fossil Energy and Carbon Management (FECM)(United States Department of Energy (DOE)); Bioenergy Technologies Office (BETO), US Department of Energy(United States Department of Energy (DOE)); US Department of Energy(United States Department of Energy (DOE))</t>
  </si>
  <si>
    <t>Funding for this work was provided by the US Department of Energy, Advanced Research Projects Agency-Energy (ARPA-E, Grant #DE-AR0001625). For authors affiliated with LBNL, this project was also funded by the DOE Office of Technology Transitions in collaboration with the Office of Clean Energy Demonstrations (OCED), the Office of Fossil Energy and Carbon Management (FECM), and Bioenergy Technologies Office (BETO), US Department of Energy through Contract DE-AC02-05CH11231 between Lawrence Berkeley National Laboratory and the US Department of Energy. The views expressed in the article do not necessarily represent the views of the US government. The US government retains, and the publisher, by accepting the article for publication, acknowledges, that the US government retains a nonexclusive, paid, irrevocable, worldwide license to publish or reproduce the published form of this manuscript, or allow others to do so, for US government purposes.</t>
  </si>
  <si>
    <t>10.1088/1748-9326/ad99e9</t>
  </si>
  <si>
    <t>Q5S7G</t>
  </si>
  <si>
    <t>WOS:001385280200001</t>
  </si>
  <si>
    <t>Tanneberger, F; Birr, F; Couwenberg, J; Kaiser, M; Luthardt, V; Nerger, M; Pfister, S; Oppermann, R; Zeitz, J; Beyer, C; van der Linden, S; Wichtmann, W; Närmann, F</t>
  </si>
  <si>
    <t>Tanneberger, Franziska; Birr, Friedrich; Couwenberg, John; Kaiser, Moritz; Luthardt, Vera; Nerger, Monique; Pfister, Sonja; Oppermann, Rainer; Zeitz, Jutta; Beyer, Colja; van der Linden, Sebastian; Wichtmann, Wendelin; Naermann, Felix</t>
  </si>
  <si>
    <t>Saving soil carbon, greenhouse gas emissions, biodiversity and the economy: paludiculture as sustainable land use option in German fen peatlands</t>
  </si>
  <si>
    <t>Agriculture; Biodiversity; Ecosystem services; Greenhouse gases; Mitigation; Organic soil</t>
  </si>
  <si>
    <t>AGRICULTURAL INTENSIFICATION; RESTORATION; VEGETATION; MANAGEMENT; ABUNDANCE; BEETLES; METHANE; LITTER; FLUXES; PLANTS</t>
  </si>
  <si>
    <t>Peatlands in the European Union are largely drained for agriculture and emit 25% of the total agricultural greenhouse gas emissions. Drainage-based peatland use has also negative impacts on water quality, drinking water provision and biodiversity. Consequently, key EU environmental policy objectives include the rewetting of all drained peatlands as an essential nature-based solution. Rewetting of peatlands can be combined with site-adapted land use, so-called paludiculture. Paludiculture produces biomass from wet and rewetted peatlands under conditions that maintain the peat body, facilitate peat accumulation and can provide many of the ecosystem services associated with natural, undrained peatlands. The biomass can be used for a wide range of traditional and innovative food, feed, fibre and fuel products. Based on examples in Germany, we have analysed emerging paludiculture options for temperate Europe with respect to greenhouse gas fluxes, biodiversity and indicative business economics. Best estimates of site emission factors vary between 0 and 8 t CO(2)eq ha(-1) y(-1). Suitability maps for four peatland-rich federal states (76% of total German peatland area) indicate that most of the drained, agriculturally used peatland area could be used for paludiculture, about one-third of the fen area for any paludiculture type. Fen-specific biodiversity benefits from rewetting and paludiculture, if compared to the drained state. Under favourable conditions, paludiculture can be economically viable, but costs and revenues vary considerably. Key recommendations for large-scale implementation are providing planning security by paludiculture spatial planning, establishing best practice sites and strengthening research into crops, water tables and management options.</t>
  </si>
  <si>
    <t>[Tanneberger, Franziska; Couwenberg, John; Kaiser, Moritz; Wichtmann, Wendelin; Naermann, Felix] Greifswald Univ, Partner Greifswald Mire Ctr, Inst Bot &amp; Landscape Ecol, Soldmannstr 15, D-17487 Greifswald, Germany; [Birr, Friedrich; Luthardt, Vera] Eberswalde Univ Sustainable Dev, Schicklerstr 5, D-16225 Eberswalde, Germany; [Nerger, Monique; Zeitz, Jutta] Humboldt Univ, Albrecht Thaer Weg 2, D-14195 Berlin, Germany; [Pfister, Sonja; Oppermann, Rainer] Inst Agroecol &amp; Biodivers, Bocklinstr 27, D-68163 Mannheim, Germany; [Beyer, Colja] 3N Kompetenzzentrum Niedersachsen Netzwerk Nachwa, Kompetenzstelle Paludikultur, Kompaniestr 1, D-49757 Werlte, Germany; [van der Linden, Sebastian] Greifswald Univ, Inst Geog &amp; Geol, Partner Greifswald Mire Ctr, Friedrich Ludwig Jahn Str 16, D-17489 Greifswald, Germany; [Wichtmann, Wendelin] Michael Succow Fdn, Partner Greifswald Mire Ctr, Ellernholzstr 1-3, D-17489 Greifswald, Germany</t>
  </si>
  <si>
    <t>Eberswalde University for Sustainable Development; Humboldt University of Berlin</t>
  </si>
  <si>
    <t>Tanneberger, F (corresponding author), Greifswald Univ, Partner Greifswald Mire Ctr, Inst Bot &amp; Landscape Ecol, Soldmannstr 15, D-17487 Greifswald, Germany.</t>
  </si>
  <si>
    <t>tanne@uni-greifswald.de</t>
  </si>
  <si>
    <t>van der Linden, Sebastian/B-4516-2008; Birr, Friedrich/HGC-7892-2022</t>
  </si>
  <si>
    <t>van der Linden, Sebastian/0000-0001-6576-8377; Tanneberger, Franziska/0000-0002-4184-9671; Couwenberg, John/0000-0002-3922-7099</t>
  </si>
  <si>
    <t>Projekt DEAL; Federal Agency for Nature Conservation (BfN), Germany; Federal Ministry for the Environment, Nature Conservation and Nuclear Safety, Germany [FKZ: 3518 810500]; Stefanie Heinze (BfN)</t>
  </si>
  <si>
    <t>Projekt DEAL; Federal Agency for Nature Conservation (BfN), Germany; Federal Ministry for the Environment, Nature Conservation and Nuclear Safety, Germany; Stefanie Heinze (BfN)</t>
  </si>
  <si>
    <t>Open Access funding enabled and organized by Projekt DEAL. A large part of this research was funded by the Federal Agency for Nature Conservation (BfN), Germany, with resources from the Federal Ministry for the Environment, Nature Conservation and Nuclear Safety, Germany (FKZ: 3518 810500) as KLIBB project and broadly supported by Stefanie Heinze (BfN).</t>
  </si>
  <si>
    <t>10.1007/s10113-022-01900-8</t>
  </si>
  <si>
    <t>1C5PU</t>
  </si>
  <si>
    <t>WOS:000793171700002</t>
  </si>
  <si>
    <t>Córdova, C; Garrido-Ruiz, C; Machuca, A; Zagal, E; Orrego, R; Finot, V</t>
  </si>
  <si>
    <t>Cordova, Carolin; Garrido-Ruiz, Claudia; Machuca, Angela; Zagal, Erick; Orrego, Raul; Finot, Victor</t>
  </si>
  <si>
    <t>Carbon dioxide emissions at local scale linked to soil heterotrophic activity from an experimentally simulated drained peatland in Western Patagonia (Tierra del Fuego, Chile)</t>
  </si>
  <si>
    <t>bogs; climate change; land-use change; soil microbial respiration; sub-antarctic ecosystems</t>
  </si>
  <si>
    <t>ORGANIC-MATTER DECOMPOSITION; TEMPERATURE SENSITIVITY; MICROBIAL ACTIVITY; MANAGED PEATLANDS; CO2 EFFLUX; RESPIRATION; NITROGEN; ECOSYSTEMS; DEPENDENCE; PATTERNS</t>
  </si>
  <si>
    <t>Greenhouse gas emissions from managed peatlands have not been extensively studied in Western Patagonia. The objective of this study was to assess the annual CO2 emission from microbial carbon (C) mineralization in a peatland site under not saturated conditions at Tierra del Fuego. The annual CO2 emissions were measured from unsaturated soil samples (n = 41) under soil incubation at seasonal local temperatures to simulate CO2 emissions for a year, using a non-dispersive infrared gas analyser. Spatial models for total soil C and CO2 were calculated using discrete and continuous variables. The annual mean of measured cumulative CO2 was 1,358 mu g CO2 g soil(-1), lower than Northern peatlands, and 82% of the C mineralization occurred in the warmer season. The modelled CO2 in the warmer season showed levels of CO2 as high as 4 mg CO2 g soil(-1), but 66% of the area showed between 600-2000 mu g CO2 g soil(-1), which is 28%-92% and 9%-32% of CO2 values reported for crop rotations. Consequently, after a potential habilitation of the study area for agricultural use, the soil CO2 emissions from heterotrophic activity would become a C source to the global CO2 emissions. This ecosystem is highly exposed to the effects of the land-use change, and global temperature increase.</t>
  </si>
  <si>
    <t>[Cordova, Carolin; Garrido-Ruiz, Claudia; Zagal, Erick] Univ Concepcion, Fac Agron, Dept Suelos &amp; Recursos Nat, Chillan, Chile; [Machuca, Angela] Univ Concepcion, Dept Ciencias &amp; Tecnol Vegetal, Los Angeles, Chile; [Orrego, Raul] INIA Quilamapu, Inst Invest Agr, Chillan, Chile; [Finot, Victor] Univ Concepcion, Fac Agron, Dept Prod Anim, Chillan, Chile</t>
  </si>
  <si>
    <t>Universidad de Concepcion; Universidad de Concepcion; Universidad de Concepcion</t>
  </si>
  <si>
    <t>Córdova, C (corresponding author), Univ Aysen, Lab Fisiol Vegetal Aplicada, Obispo Vielmo 62, Coyhaique, Chile.</t>
  </si>
  <si>
    <t>carolin.cordova@gmail.com</t>
  </si>
  <si>
    <t>Cordova, Carolin/AAS-3365-2021; Zagal, Erick/C-1460-2012</t>
  </si>
  <si>
    <t>Zagal, Erick/0000-0003-3900-9769; Córdova, Carolin/0000-0003-3726-2023;</t>
  </si>
  <si>
    <t>Comision Nacional de Investigacion Cientifica y Tecnologica [FONDECYT 1140441]</t>
  </si>
  <si>
    <t>Comision Nacional de Investigacion Cientifica y Tecnologica</t>
  </si>
  <si>
    <t>Comision Nacional de Investigacion Cientifica y Tecnologica, Grant/Award Number: FONDECYT 1140441</t>
  </si>
  <si>
    <t>10.1111/sum.12708</t>
  </si>
  <si>
    <t>YO2HV</t>
  </si>
  <si>
    <t>WOS:000631124000001</t>
  </si>
  <si>
    <t>Brasika, IBM; Friedlingstein, P; Sitch, S; O'Sullivan, M; Duran-Rojas, MC; Rosan, TM; Goldewijk, KK; Pongratz, J; Schwingshackl, C; Chini, LP; Hurtt, GC</t>
  </si>
  <si>
    <t>Brasika, Ida Bagus Mandhara; Friedlingstein, Pierre; Sitch, Stephen; O'Sullivan, Michael; Duran-Rojas, Maria Carolina; Rosan, Thais Michele; Goldewijk, Kees Klein; Pongratz, Julia; Schwingshackl, Clemens; Chini, Louise P.; Hurtt, George C.</t>
  </si>
  <si>
    <t>Uncertainties in carbon emissions from land use and land cover change in Indonesia</t>
  </si>
  <si>
    <t>ENVIRONMENT SIMULATOR JULES; MODEL DESCRIPTION; FOREST LOSS; FIRE; REPRESENTATION; DEFORESTATION; CONFIGURATION; DRIVERS; FLUXES; CO2</t>
  </si>
  <si>
    <t>Indonesia is currently one of the three largest contributors of carbon emissions from land use and land cover change (LULCC) globally, together with Brazil and the Democratic Republic of the Congo. However, until recently, there were only limited reliable data available on LULCC across Indonesia, leading to a lack of agreement on the drivers, magnitudes, and trends of carbon emissions between different estimates. Accurate LULCC should improve robustness and reduce the uncertainties of carbon dioxide (CO2) emissions from land use change (ELUC) estimation. Here, we assess several cropland datasets that are used to estimate ELUC in dynamic global vegetation models (DGVMs) and bookkeeping models (BKMs). Available cropland datasets are generally categorized as either statistics-based, such as the Food and Agricultural Organization (FAO) annual statistical dataset, or satellite-based, such as the Mapbiomas dataset, which is derived from Landsat satellite images. Our results show that national-statistics-based and satellite-based estimates have little agreement on temporal variability and cropland area changes. On some islands, they show spatial similarity, but differences appear on the main islands such as Kalimantan, Sumatra, and Java. These differences lead to spatiotemporal uncertainty in carbon emissions. The different land cover forcings (national-statistics-based and satellite-based) in a single model (JULES-ES) result in ELUC uncertainties of about 0.08 [0.06 to 0.11] PgC yr-1. Furthermore, we found that uncertainties in ELUC estimates are also due to differences in the carbon cycle models in DGVMs, as DGVMs driven by the same land cover dataset show differences in ELUC estimates of 0.12 +/- 0.02 PgC yr-1 with a 95 % confidence level and range [-0.04 to 0.35] PgC yr-1. This is consistent with other products such as BKMs that estimate 0.14 [0.12 to 0.15] PgC yr-1, with both having steady trends. We also compare the emissions with those from the National Greenhouse Gas Inventory (NGHGI) product. The NGHGI estimates (based on BUR3, the periodic official government report on greenhouses gases to UNFCCC) have much lower carbon emissions (0.06 +/- 0.06 PgC yr-1), though with an increasing trend. These numbers double when we include emissions from peat fire and peat drainage: the DGVM ensemble indicates emissions of 0.23 +/- 0.05 PgC yr-1, and BKMs indicate emissions of 0.24 +/- 0.01 PgC yr-1. In contrast, emissions based on the Indonesian NGHGI remain much lower (BUR2: 0.18 +/- 0.07 PgC yr-1; BUR3: 0.13 +/- 0.10 PgC yr-1). Furthermore, emission peaks occur in years of moderate to strong El Ni &amp; ntilde;o events. Several improvements might reduce uncertainties in carbon emissions from LULCC in Indonesia, such as a combination of a satellite-based dataset with a national-statistics-based dataset, inclusion of peat-related emissions in DGVMs, and potentially explicit inclusion of palm oil in models, as this is a major crop in Indonesia. Overall, the analysis shows that carbon emissions have no decreasing trend in Indonesia. Therefore, deforestation and forest fire prevention remain vital for Indonesia.</t>
  </si>
  <si>
    <t>[Brasika, Ida Bagus Mandhara; Friedlingstein, Pierre; O'Sullivan, Michael; Duran-Rojas, Maria Carolina] Univ Exeter, Fac Environm Sci &amp; Econ, Dept Math &amp; Stat, Exeter, England; [Brasika, Ida Bagus Mandhara] Univ Udayana, Fac Marine Sci &amp; Fisheries, Dept Marine Sci, Bali, Indonesia; [Friedlingstein, Pierre] Sorbonne Univ, Univ PSL, CNRS,Ecole Normale Super,Ecole Polytech, Lab Meteorol Dynam,Inst Pierre Simon Laplace, Paris, France; [Sitch, Stephen; Rosan, Thais Michele] Univ Exeter, Dept Geog, Fac Environm Sci &amp; Econ, Exeter, England; [Goldewijk, Kees Klein] Univ Utrecht, Copernicus Inst Sustainable Dev, Fac Geosci, Dept IMEW, Utrecht, Netherlands; [Pongratz, Julia; Schwingshackl, Clemens] Ludwig Maximilians Univ Munchen, Dept Geog, Munich, Germany; [Pongratz, Julia] Max Planck Inst Meteorol, Hamburg, Germany; [Chini, Louise P.; Hurtt, George C.] Univ Maryland, Dept Geog Sci, College Pk, MD USA</t>
  </si>
  <si>
    <t>University of Exeter; Universitas Udayana; Universite Paris Saclay; Centre National de la Recherche Scientifique (CNRS); CNRS - National Institute for Earth Sciences &amp; Astronomy (INSU); Institut Polytechnique de Paris; Ecole Polytechnique; Universite PSL; Ecole Normale Superieure (ENS); Sorbonne Universite; University of Exeter; Utrecht University; University of Munich; Max Planck Society; University System of Maryland; University of Maryland College Park</t>
  </si>
  <si>
    <t>i.brasika@exeter.ac.uk</t>
  </si>
  <si>
    <t>Pongratz, Julia/AAG-3274-2019; Brasika, Mandhara/HHN-7979-2022; Sitch, Stephen/F-8034-2015; Klein Goldewijk, Kees/L-5567-2013; Hurtt, George/A-8450-2012; Rosan, Thais/ABC-5808-2020; Klein Goldewijk, Kees/L-5567-2013; Chini, Louise/LEL-7744-2024; Friedlingstein, Pierre/H-2700-2014</t>
  </si>
  <si>
    <t>Duran Rojas, Maria Carolina/0000-0001-9762-1273; Klein Goldewijk, Kees/0000-0003-2714-7507; Brasika, Ida Bagus Mandhara/0000-0003-2804-7700; Klein Goldewijk, Kees/0000-0003-2714-7507; Schwingshackl, Clemens/0000-0003-4048-3011; Rosan, Thais Michele/0000-0003-0155-1739;</t>
  </si>
  <si>
    <t>Lembaga Pengelola Dana Pendidikan; Indonesian Endowment Fund; LPDP (Lembaga Pengelola Dana Pendidikan) [80NSSC21K1059, 80NSSC25K7221]; NASA Carbon Monitoring System; University of Exeter through central OA funds [EP/Y005597/1]; UK Research and Innovation AI for Net Zero programme: ADD-TREES [BB/v011588/1, ESM2025, 866874]; NetZeroPlus (NZ+) - UKRI-BBSRC grant</t>
  </si>
  <si>
    <t>Lembaga Pengelola Dana Pendidikan; Indonesian Endowment Fund; LPDP (Lembaga Pengelola Dana Pendidikan); NASA Carbon Monitoring System; University of Exeter through central OA funds; UK Research and Innovation AI for Net Zero programme: ADD-TREES; NetZeroPlus (NZ+) - UKRI-BBSRC grant</t>
  </si>
  <si>
    <t>Ida Bagus Mandhara Brasika thanks Indonesian Endowment Fund, also knows as LPDP (Lembaga Pengelola Dana Pendidikan) for the PhD scholarship. George C. Hurtt and Louise P. Chini were supported by the NASA Carbon Monitoring System under grant nos. 80NSSC21K1059 and 80NSSC25K7221. This research was supported by the University of Exeter through central OA funds. Maria Carolina Duran-Rojas is partially supported by the UK Research and Innovation AI for Net Zero programme: ADD-TREES (grant no. EP/Y005597/1), NetZeroPlus (NZ+) funded by UKRI-BBSRC grant no. BB/v011588/1, and ESM2025 project no. 866874.</t>
  </si>
  <si>
    <t>JUL 25</t>
  </si>
  <si>
    <t>10.5194/bg-22-3547-2025</t>
  </si>
  <si>
    <t>5GJ1W</t>
  </si>
  <si>
    <t>WOS:001535040600001</t>
  </si>
  <si>
    <t>Huang, SJ; Gokulkumar, K; Mani, G; Lee, YY; Kogularasu, S; Chang-Chien, GP</t>
  </si>
  <si>
    <t>Huang, Song-Jeng; Gokulkumar, Kumar; Mani, Govindasamy; Lee, Yen-Yi; Kogularasu, Sakthivel; Chang-Chien, Guo-Ping</t>
  </si>
  <si>
    <t>Synthesis and characterization of Bi2S3-embedded carbon nanofibers as a novel electrochemical biosensor for the detection of mycotoxin zearalenone in food crops</t>
  </si>
  <si>
    <t>FLATCHEM</t>
  </si>
  <si>
    <t>Electrochemical sensor; Zearalenone; Bismuth; Carbon Nanofiber; Mycotoxin</t>
  </si>
  <si>
    <t>Zearalenone, a major mycotoxin encountered in numerous agricultural products, is associated with an array of adverse health implications, notably endocrine disturbances and carcinogenic tendencies. Given the global challenge posed by this toxin, an innovative electrochemical biosensor was crafted using hydrothermally synthesized Bi2S3 nanorods. Integrating these nanorods with Carbon Nanofibers (CNF) through a meticulous ultrasonication technique resulted in a high-performance sensing interface optimized for zearalenone detection in intricate agricultural settings. Advanced characterization techniques, encompassing X-ray diffraction (XRD), field emission scanning electron microscopy (FE-SEM), and energy-dispersive X-ray spectroscopy (EDX), corroborated the fine-tuned integration of Bi2S3 within the porous CNF matrix. This Bi2S3@CNF nanocomposite not only showcased superior electrochemical attributes, but its broad linear detection range and low detection threshold underscore its aptitude for real-world applications. In light of these findings, the Bi2S3@CNF nanocomposite stands poised as a pivotal tool in revolutionizing zearalenone detection methodologies, emphasizing the critical role of nanotechnology in addressing contemporary analytical challenges.</t>
  </si>
  <si>
    <t>[Huang, Song-Jeng; Gokulkumar, Kumar] Natl Taiwan Univ Sci &amp; Technol, Dept Mech Engn, Taipei City 10607, Taiwan; [Mani, Govindasamy] Ming Chi Univ Technol, Innovat Technol Biomed Engn &amp; Med Devices, New Taipei City, Taiwan; [Mani, Govindasamy] SIMATS, Saveetha Sch Engn, Dept Res &amp; Innovat, Chennai 602105, India; [Lee, Yen-Yi; Kogularasu, Sakthivel; Chang-Chien, Guo-Ping] Cheng Shiu Univ, Super Micro Mass Res &amp; Technol Ctr, Kaohsiung, Taiwan; [Lee, Yen-Yi; Kogularasu, Sakthivel; Chang-Chien, Guo-Ping] Cheng Shiu Univ, Ctr Environm Toxin &amp; Emerging Contaminant Res, Kaohsiung, Taiwan; [Lee, Yen-Yi; Chang-Chien, Guo-Ping] Cheng Shiu Univ, Inst Environm Toxin &amp; Emerging Contaminant Res, Kaohsiung, Taiwan</t>
  </si>
  <si>
    <t>National Taiwan University of Science &amp; Technology; Ming Chi University of Technology; Saveetha Institute of Medical &amp; Technical Science; Saveetha School of Engineering; Cheng Shiu University; Cheng Shiu University; Cheng Shiu University</t>
  </si>
  <si>
    <t>Kogularasu, S; Chang-Chien, GP (corresponding author), Cheng Shiu Univ, Super Micro Mass Res &amp; Technol Ctr, Kaohsiung, Taiwan.</t>
  </si>
  <si>
    <t>kogularasu@gmail.com; guoping@gcloud.csu.edu.tw</t>
  </si>
  <si>
    <t>; Gokulkumar, Kumar/NKP-5297-2025; Sakthivel, Kogularasu/C-3395-2019; Huang, Song-Jeng/ABH-8364-2020</t>
  </si>
  <si>
    <t>Gokulkumar, Kumar/0009-0008-1944-7116;</t>
  </si>
  <si>
    <t>Higher Education SPROUT Project (2023-2028) , Ministry of Education, Taiwan</t>
  </si>
  <si>
    <t>This research investigation is supported by Higher Education SPROUT Project (2023-2028) , Ministry of Education, Taiwan. Authors thank the Institute of Environmental Toxin and Emerging -Contaminant Research, Cheng Shiu University, National Taiwan University of Science and Technology, and Ming Chi University of Technology, Taiwan.</t>
  </si>
  <si>
    <t>2452-2627</t>
  </si>
  <si>
    <t>FlatChem</t>
  </si>
  <si>
    <t>10.1016/j.flatc.2024.100652</t>
  </si>
  <si>
    <t>Chemistry, Physical; Materials Science, Multidisciplinary</t>
  </si>
  <si>
    <t>Chemistry; Materials Science</t>
  </si>
  <si>
    <t>RB0I8</t>
  </si>
  <si>
    <t>WOS:001225091600001</t>
  </si>
  <si>
    <t>Zhang, F; Li, C; Wang, Z; Li, X</t>
  </si>
  <si>
    <t>Zhang, F.; Li, C.; Wang, Z.; Li, X.</t>
  </si>
  <si>
    <t>Long-term effects of management history on carbon dynamics in agricultural soils in Northwest China</t>
  </si>
  <si>
    <t>Soil organic carbon; Crop management; DNDC</t>
  </si>
  <si>
    <t>GLOBAL CLIMATE-CHANGE; ORGANIC-MATTER; MODELING IMPACTS; NET FLUX; SEQUESTRATION; FERTILITY; PHENOLOGY; FARMLAND; SYSTEMS; 1980S</t>
  </si>
  <si>
    <t>Human activities and climate change have substantial effects on soil ecosystems. The historical variations in soil organic carbon (SOC) in Northwest China were investigated in this paper. Using an agro-ecosystems database, a process-based model, Denitrification-Decomposition (DNDC), was used to support a regional SOC simulation. Over the 1980s and 1990s, the SOC storage (0-50 cm) reduced slightly from 1.25 PgC (pentagrams of carbon, 1 PgC = 10(15) gC) and stabilized at 1.23 PgC. SOC significantly differed in Northwest China farmland both temporally and spatially. Climatic variability magnified the response of the spatially heterogeneous region to climate and greatly influenced the vegetation and soil. The SOC increase appeared in areas with a mild and humid climate in the east, including Shaanxi, Gansu, Ningxia and south Xinjiang. Management practices greatly affect SOC dynamics through straw C input, increased 46.31 % C budget and 20.52 % total SOC (TSOC) through 60 % crop residue incorporation. Reducing human disturbance to the surface soil through conservative tillage and improving soil fertility through reasonable nutrient input and water-use efficiency have important implications for C sequestration, emission reduction and soil productivity improvement in arid or semiarid agricultural farmland regions.</t>
  </si>
  <si>
    <t>[Zhang, F.; Li, X.] Xi An Jiao Tong Univ, Sch Human Settlements &amp; Civil Engn, Dept Environm Sci &amp; Technol, Xian 710049, Peoples R China; [Li, C.] Univ New Hampshire, Inst Study Earth Oceans &amp; Space, Durham, NH 03824 USA; [Wang, Z.] Chinese Acad Sci, IEE, State Key Lab Loess &amp; Quaternary Geol, Xian 710075, Peoples R China</t>
  </si>
  <si>
    <t>Xi'an Jiaotong University; University System Of New Hampshire; University of New Hampshire; Chinese Academy of Sciences</t>
  </si>
  <si>
    <t>Zhang, F (corresponding author), Xi An Jiao Tong Univ, Sch Human Settlements &amp; Civil Engn, Dept Environm Sci &amp; Technol, Xian 710049, Peoples R China.</t>
  </si>
  <si>
    <t>zhangfan@mail.xjtu.edu.cn</t>
  </si>
  <si>
    <t>NSFC [41301213]; Chinese Academy of Sciences [KZZD-EW-04]; Fundamental Research Funds for the Central University</t>
  </si>
  <si>
    <t>NSFC(National Natural Science Foundation of China (NSFC)); Chinese Academy of Sciences(Chinese Academy of Sciences); Fundamental Research Funds for the Central University</t>
  </si>
  <si>
    <t>We thank Stanley Glidden for the MERRA data and Steve Frolking for the helpful comments on the manuscript. This work was supported by NSFC grant 41301213, the key Research Program of the Chinese Academy of Sciences (KZZD-EW-04) and the Fundamental Research Funds for the Central University.</t>
  </si>
  <si>
    <t>233 SPRING ST, NEW YORK, NY 10013 USA</t>
  </si>
  <si>
    <t>10.1007/s12665-015-4801-0</t>
  </si>
  <si>
    <t>DD9IV</t>
  </si>
  <si>
    <t>WOS:000370239800065</t>
  </si>
  <si>
    <t>Wang, GF; Liu, P; Zhao, BH; Zhang, F</t>
  </si>
  <si>
    <t>Wang, Guofeng; Liu, Pu; Zhao, Baohui; Zhang, Fan</t>
  </si>
  <si>
    <t>Spatial analysis of carbon source and sink in China's planting industry from 2000 to 2020</t>
  </si>
  <si>
    <t>COGENT FOOD &amp; AGRICULTURE</t>
  </si>
  <si>
    <t>planting industry; carbon sources; carbon sinks; net carbon sinks; Theil index</t>
  </si>
  <si>
    <t>CLIMATE-CHANGE</t>
  </si>
  <si>
    <t>The planting industry plays a significant role as both a source of global greenhouse gas emissions and a carbon sink system. It is crucial to clarify the carbon sources and sinks of the planting industry for the development of low-carbon agriculture. This study calculates the carbon sources and sinks of the planting industry based on crop data from 2000 to 2020 and utilizes the Theil index for further analysis. The results indicate that the total carbon sources of the planting industry in China initially increased and then decreased, ranging from 75.71 million tons to 98.22 million tons, with an average annual growth rate of 2.06%. On the other hand, the carbon sinks of the planting industry increased from 563.805 million tons to 864.42 million tons, reflecting a 53.32% increase. Notably, the national net carbon sinks demonstrated a steady growth trend, rising from 488.10 million tons in 2000 to 766.21 million tons in 2020. Secondly, the differences of carbon sources and sinks have increased and the distribution differences were basically differences within regions. Thirdly, with regionally unbalanced distribution, there were obvious differences in the variation of regional net carbon sinks. Guangxi had the highest level of net carbon sinks. Consequently, the development of a low-carbon planting industry necessitates reduced reliance on agricultural inputs and the formulation of region-specific agricultural carbon reduction policies. It also involves exploring the potential for agricultural carbon reduction in each region, promoting regional cooperation, and improving the mechanism for dividing regional tasks.</t>
  </si>
  <si>
    <t>[Wang, Guofeng; Liu, Pu; Zhao, Baohui] Shanxi Univ Finance &amp; Econ, Fac Int Trade, Taiyuan, Peoples R China; [Zhang, Fan] Chinese Acad Sci, Inst Geog Sci &amp; Nat Resources Res, Beijing, Peoples R China; [Zhang, Fan] Chinese Acad Sci, Inst Geog Sci &amp; Nat Resources Res, Beijing 100101, Peoples R China</t>
  </si>
  <si>
    <t>Shanxi University Finance &amp; Economics; Chinese Academy of Sciences; Institute of Geographic Sciences &amp; Natural Resources Research, CAS; Chinese Academy of Sciences; Institute of Geographic Sciences &amp; Natural Resources Research, CAS</t>
  </si>
  <si>
    <t>Zhang, F (corresponding author), Chinese Acad Sci, Inst Geog Sci &amp; Nat Resources Res, Beijing 100101, Peoples R China.</t>
  </si>
  <si>
    <t>zhangf.ccap@igsnrr.ac.cn</t>
  </si>
  <si>
    <t>Fan, Zhang/AAZ-3509-2021</t>
  </si>
  <si>
    <t>National Natural Science Foundation of China [72003111]; Sichuan Rural Development Research Center [CR2303]</t>
  </si>
  <si>
    <t>National Natural Science Foundation of China(National Natural Science Foundation of China (NSFC)); Sichuan Rural Development Research Center</t>
  </si>
  <si>
    <t>This paper was supported by the National Natural Science Foundation of China [72003111] and the Sichuan Rural Development Research Center Project: Research on the Demonstration Role of Family Farms from the perspective of Building a Higher Level Tianfu Granaries [CR2303]</t>
  </si>
  <si>
    <t>2331-1932</t>
  </si>
  <si>
    <t>COGENT FOOD AGR</t>
  </si>
  <si>
    <t>Cogent Food Agr.</t>
  </si>
  <si>
    <t>10.1080/23311932.2023.2264592</t>
  </si>
  <si>
    <t>T7ZB2</t>
  </si>
  <si>
    <t>WOS:001080116700001</t>
  </si>
  <si>
    <t>Sun, DX; Xia, JJ</t>
  </si>
  <si>
    <t>Sun, Dexi; Xia, Jianjun</t>
  </si>
  <si>
    <t>Research on road transport planning aiming at near zero carbon emissions: Taking Ruicheng County as an example</t>
  </si>
  <si>
    <t>Road transport planning; Carbon neutrality; County -level; Energy consumption; Scenario analysis; Electric vehicles</t>
  </si>
  <si>
    <t>ENERGY-CONSUMPTION; CO2 EMISSIONS; SCENARIO ANALYSIS; VEHICLE; DEMAND; SECTOR</t>
  </si>
  <si>
    <t>The rapid development of the urban and rural transport sectors has increased focus on energy and the environment. To support the transport sector in its efforts to achieve carbon neutrality targets, low-carbon road transport planning for specific regions has become a necessity. Using Ruicheng County, Shanxi, China as an example, county-level planning of the road transport sector is conducted in terms of quantifying energy consumption and CO2 emissions; the applicable forms and economic costs of technologies including rooftop photovoltaics and smart chargers in different regions are also discussed. A bottom-up model is built and a scenario analysis is adopted to predict the effects of different policy measures by 2035. Under an aggressive scenario, the demand for fossil fuel will be reduced, while the electricity demand will increase. 91% of CO2 emissions can be reduced. The results show that measures including replacing conventional vehicles with electric vehicles and encouraging public transport could effectively facilitate the road transport sector to gradually approach zero carbon emissions. However, the consumption of diesel by agricultural vehicles is the greatest obstacle to achieving carbon neutrality. Electric vehicles and building-related charging infrastructure can potentially have an important role in the future transport sector and electricity systems.</t>
  </si>
  <si>
    <t>[Sun, Dexi; Xia, Jianjun] Tsinghua Univ, Bldg Energy Res Ctr, Sch Architecture, Beijing 100084, Peoples R China</t>
  </si>
  <si>
    <t>Tsinghua University</t>
  </si>
  <si>
    <t>Xia, JJ (corresponding author), Tsinghua Univ, Bldg Energy Res Ctr, Sch Architecture, Beijing 100084, Peoples R China.</t>
  </si>
  <si>
    <t>xiajianjun@tsinghua.edu.cn</t>
  </si>
  <si>
    <t>Xia, Jianjun/KVB-2222-2024</t>
  </si>
  <si>
    <t>China Huaneng Group Headquarters Technology Project ?; Basic Energy Technology Research Project?; [HNKJ20-H50]</t>
  </si>
  <si>
    <t>China Huaneng Group Headquarters Technology Project ?; Basic Energy Technology Research Project?;</t>
  </si>
  <si>
    <t>This work was supported by China Huaneng Group Headquarters Technology Project ?Basic Energy Technology Research Project? (Grant No. HNKJ20-H50) . The authors would like to thank Ruicheng County Bureau of Statistics for providing assistance with the questionnaire data.</t>
  </si>
  <si>
    <t>0360-5442</t>
  </si>
  <si>
    <t>1873-6785</t>
  </si>
  <si>
    <t>Energy</t>
  </si>
  <si>
    <t>10.1016/j.energy.2022.125834</t>
  </si>
  <si>
    <t>OCT 2022</t>
  </si>
  <si>
    <t>Thermodynamics; Energy &amp; Fuels</t>
  </si>
  <si>
    <t>6D1FT</t>
  </si>
  <si>
    <t>WOS:000882446300004</t>
  </si>
  <si>
    <t>Zhao, G; Bryan, BA; King, D; Luo, ZK; Wang, EL; Yu, Q</t>
  </si>
  <si>
    <t>Zhao, Gang; Bryan, Brett A.; King, Darran; Luo, Zhongkui; Wang, Enli; Yu, Qiang</t>
  </si>
  <si>
    <t>Sustainable limits to crop residue harvest for bioenergy: maintaining soil carbon in Australia's agricultural lands</t>
  </si>
  <si>
    <t>bioenergy; crop model; lignocellulosic biofuel; management; residue harvest; soil carbon; sustainability</t>
  </si>
  <si>
    <t>ORGANIC-CARBON; SEQUESTRATION RATES; FARMYARD MANURE; CORN STOVER; LARGE-SCALE; TRADE-OFFS; NITROGEN; IMPACTS; MATTER; MANAGEMENT</t>
  </si>
  <si>
    <t>The use of crop residues for bioenergy production needs to be carefully assessed because of the potential negative impact on the level of soil organic carbon (SOC) stocks. The impact varies with environmental conditions and crop management practices and needs to be considered when harvesting the residue for bioenergy productions. Here, we defined the sustainable harvest limits as the maximum rates that do not diminish SOC and quantified sustainable harvest limits for wheat residue across Australia's agricultural lands. We divided the study area into 9432 climate-soil (CS) units and simulated the dynamics of SOC in a continuous wheat cropping system over 122years (1889 - 2010) using the Agricultural Production Systems sIMulator (APSIM). We simulated management practices including six fertilization rates (0, 25, 50, 75, 100, and 200kg Nha(-1)) and five residue harvest rates (0, 25, 50, 75, and 100%). We mapped the sustainable limits for each fertilization rate and assessed the effects of fertilization and three key environmental variables - initial SOC, temperature, and precipitation - on sustainable residue harvest rates. We found that, with up to 75kg Nha(-1) fertilization, up to 75% and 50% of crop residue could be sustainably harvested in south-western and south-eastern Australia, respectively. Higher fertilization rates achieved little further increase in sustainable residue harvest rates. Sustainable residue harvest rates were principally determined by climate and soil conditions, especially the initial SOC content and temperature. We conclude that environmental conditions and management practices should be considered to guide the harvest of crop residue for bioenergy production and thereby reduce greenhouse gas emissions during the life cycle of bioenergy production.</t>
  </si>
  <si>
    <t>[Zhao, Gang; Bryan, Brett A.; King, Darran] CSIRO Ecosyst Sci &amp; Sustainable Agr Flagship, Urrbrae, SA 5064, Australia; [Zhao, Gang] Univ Bonn, Crop Sci Grp, Inst Crop Sci &amp; Resource Conservat INRES, D-53115 Bonn, Germany; [Luo, Zhongkui; Wang, Enli] CSIRO Land &amp; Water, Black Mt Canberra, ACT 2601, Australia; [Yu, Qiang] Univ Technol Sydney, Sch Environm, Plant Funct Biol &amp; Climate Change Cluster, Sydney, NSW 2007, Australia</t>
  </si>
  <si>
    <t>Commonwealth Scientific &amp; Industrial Research Organisation (CSIRO); University of Bonn; Commonwealth Scientific &amp; Industrial Research Organisation (CSIRO); CSIRO Land &amp; Water; University of Technology Sydney</t>
  </si>
  <si>
    <t>Zhao, G (corresponding author), CSIRO Ecosyst Sci &amp; Sustainable Agr Flagship, Waite Campus, Urrbrae, SA 5064, Australia.</t>
  </si>
  <si>
    <t>gang.zhao@csiro.au</t>
  </si>
  <si>
    <t>Bryan, Brett/F-8949-2010; King, Darran/G-3996-2011; Wang, Enli/K-7478-2012; LUO, ZHONGKUI/B-8125-2008; Connor, Jeffery/G-5466-2010; Zhao, Gang/H-9030-2019; Yu, Qiang/D-3702-2009</t>
  </si>
  <si>
    <t>Bryan, Brett/0000-0003-4834-5641; Yu, Qiang/0009-0009-8474-8510; Connor, Jeffery/0000-0002-2313-8630; Luo, Zhongkui/0000-0002-6744-6491; Zhao, Gang/0009-0003-0619-5849; Yu, Qiang/0000-0001-6950-1821</t>
  </si>
  <si>
    <t>project of CSIRO Integrated Carbon Pathways (ICP); CSIRO's Sustainable Agriculture Flagship; Chinese Scholarship Council</t>
  </si>
  <si>
    <t>project of CSIRO Integrated Carbon Pathways (ICP); CSIRO's Sustainable Agriculture Flagship; Chinese Scholarship Council(China Scholarship Council)</t>
  </si>
  <si>
    <t>This work was supported by the project of CSIRO Integrated Carbon Pathways (ICP), CSIRO's Sustainable Agriculture Flagship, and the Chinese Scholarship Council. The comments from two anonymous reviewers greatly improved this manuscript.</t>
  </si>
  <si>
    <t>10.1111/gcbb.12145</t>
  </si>
  <si>
    <t>CG2JO</t>
  </si>
  <si>
    <t>WOS:000353100900006</t>
  </si>
  <si>
    <t>Evans, MC; Carwardine, J; Fensham, RJ; Butler, DW; Wilson, KA; Possingham, HP; Martin, TG</t>
  </si>
  <si>
    <t>Evans, Megan C.; Carwardine, Josie; Fensham, Rod J.; Butler, Don W.; Wilson, Kerrie A.; Possingham, Hugh P.; Martin, Tara G.</t>
  </si>
  <si>
    <t>Carbon farming via assisted natural regeneration as a cost-effective mechanism for restoring biodiversity in agricultural landscapes</t>
  </si>
  <si>
    <t>ENVIRONMENTAL SCIENCE &amp; POLICY</t>
  </si>
  <si>
    <t>Carbon farming; Assisted natural regeneration; Managed regrowth; Environmental plantings; Agricultural landscapes; Biodiversity conservation; Co-benefits</t>
  </si>
  <si>
    <t>FOREST-CARBON; ECOSYSTEM SERVICES; ECOLOGICAL RESTORATION; CLIMATE-CHANGE; SEQUESTRATION; VEGETATION; CONSERVATION; AUSTRALIA; LAND; BENEFITS</t>
  </si>
  <si>
    <t>Carbon farming in agricultural landscapes may provide a Cost-effective mechanism for offsetting carbon emissions while delivering co-benefits for biodiversity through ecosystem restoration. Reforestation of landscapes using native tree and shrub species, termed environmental plantings, has been recognized as a carbon offset methodology which can contribute to biodiversity conservation as well as climate mitigation. However, far less attention has been paid to the potential for assisted natural regeneration in areas of low to intermediate levels of degradation, where regenerative capacity still remains and little intervention would be required to restore native vegetation. In this study, we considered the economics of carbon farming in the state of Queensland, Australia, where 30.6 million hectares of relatively recently deforested agricultural landscapes may be suitable for carbon farming. Using spatially explicit estimates of the rate of carbon sequestration and the opportunity cost of agricultural production, we used a discounted cash flow analysis to examine the economic viability of assisted natural regeneration relative to environmental plantings. We found that the average minimum carbon price required to make assisted natural regeneration viable was 60% lower than what was required to make environmental plantings viable ($65.8 t CO(2)e(-1) compared to $108.8 t CO(2)e(-1)). Assisted natural regeneration could sequester 1.6 to 2.2 times the amount of carbon possible compared to environmental plantings alone over a range of hypothetical carbon prices and assuming a moderate 5% discount rate. Using a combination of methodologies, carbon farming was a viable land use in over 2.3% of our study extent with a low $5 t CO(2)e(-1) carbon price, and up to 10.5 million hectares (34%) with a carbon price of $50 t CO(2)e(-1). Carbon sequestration supply and economic returns generated by assisted natural regeneration were relatively robust to variation in establishment costs and discount rates due to the utilization of low-cost techniques to reestablish native vegetation. Our study highlights the potential utility of assisted natural regeneration as a reforestation approach which can cost-effectively deliver both carbon and biodiversity benefits. (C) 2015 Elsevier Ltd. All rights reserved.</t>
  </si>
  <si>
    <t>[Evans, Megan C.] Australian Natl Univ, Fenner Sch Environm &amp; Soc, Canberra, ACT 0200, Australia; [Carwardine, Josie; Martin, Tara G.] CSIRO Land &amp; Water, Ecosci Precinct, Dutton Pk, Qld 4102, Australia; [Carwardine, Josie; Fensham, Rod J.; Wilson, Kerrie A.; Possingham, Hugh P.; Martin, Tara G.] Univ Queensland, Sch Biol Sci, Ctr Biodivers &amp; Conservat Sci, Brisbane, Qld 4072, Australia; [Fensham, Rod J.; Butler, Don W.] Queensland Herbarium, Dept Sci Informat Technol Innovat &amp; Arts, Indooroopilly, Qld 4068, Australia; [Possingham, Hugh P.] Univ London Imperial Coll Sci Technol &amp; Med, Dept Life Sci, Ascot SL5 7PY, Berks, England</t>
  </si>
  <si>
    <t>Australian National University; Commonwealth Scientific &amp; Industrial Research Organisation (CSIRO); CSIRO Land &amp; Water; University of Queensland; Imperial College London</t>
  </si>
  <si>
    <t>Evans, MC (corresponding author), Australian Natl Univ, Fenner Sch Environm &amp; Soc, GPO Box 4, Canberra, ACT 0200, Australia.</t>
  </si>
  <si>
    <t>megan.evans@anu.edu.au</t>
  </si>
  <si>
    <t>Wilson, Kerrie/C-8058-2009; Evans, Megan/G-5081-2010; Wilson, Kerrie/W-4181-2019; Carwardine, Josie/A-5801-2011; Martin, Tara/M-1897-2016; Martin, Tara/B-8620-2009; Possingham, Hugh/B-1337-2008</t>
  </si>
  <si>
    <t>Wilson, Kerrie/0000-0002-0092-935X; Fensham, Roderick/0000-0003-3658-5867; Evans, Megan/0000-0001-6763-310X; Martin, Tara/0000-0001-7165-9812; Butler, Donald/0000-0002-6019-1078</t>
  </si>
  <si>
    <t>Australian Government's National Environmental Research Program; Australian Research Council Centre of Excellence for Environmental Decisions; Australian Postgraduate Award; CSIRO Climate Adaptation Flagship scholarship; Australian Research Council Future Fellowship; ARC Federation Fellowship; CSIRO's Climate Adaptation and Sustainable Agriculture and Forestry Flagships</t>
  </si>
  <si>
    <t>Australian Government's National Environmental Research Program(Australian Government); Australian Research Council Centre of Excellence for Environmental Decisions(Australian Research Council); Australian Postgraduate Award(Australian Government); CSIRO Climate Adaptation Flagship scholarship; Australian Research Council Future Fellowship(Australian Research Council); ARC Federation Fellowship(Australian Research Council); CSIRO's Climate Adaptation and Sustainable Agriculture and Forestry Flagships</t>
  </si>
  <si>
    <t>We wish to thank Tim Capon, Rebecca Gowen, Andrew Macintosh, Stuart Whitten and Rochelle Christian for helpful discussions around this work. Sue McIntyre and Karen Hussey gave important feedback on an earlier version of the manuscript. Oswald Marinoni provided an updated agricultural profitability dataset. We also thank Jeff Hanson for advice with the spatial analysis. This research was conducted with the support of funding from the Australian Government's National Environmental Research Program and an Australian Research Council Centre of Excellence for Environmental Decisions. M.C.E was supported by an Australian Postgraduate Award and a CSIRO Climate Adaptation Flagship scholarship. K.A.W was supported by an Australian Research Council Future Fellowship. H.P.P. was supported by an ARC Federation Fellowship. J.C was supported by CSIRO's Climate Adaptation and Sustainable Agriculture and Forestry Flagships.</t>
  </si>
  <si>
    <t>1462-9011</t>
  </si>
  <si>
    <t>1873-6416</t>
  </si>
  <si>
    <t>ENVIRON SCI POLICY</t>
  </si>
  <si>
    <t>Environ. Sci. Policy</t>
  </si>
  <si>
    <t>10.1016/j.envsci.2015.02.003</t>
  </si>
  <si>
    <t>CI8QA</t>
  </si>
  <si>
    <t>WOS:000355035600010</t>
  </si>
  <si>
    <t>Carpio, A; Ponce-Lopez, R; Lozano-García, DF</t>
  </si>
  <si>
    <t>Carpio, Alejandro; Ponce-Lopez, Roberto; Lozano-Garcia, Diego Fabian</t>
  </si>
  <si>
    <t>Urban form, land use, and cover change and their impact on carbon emissions in the Monterrey Metropolitan area, Mexico</t>
  </si>
  <si>
    <t>Urban carbon footprint; CO2 urban emissions; Land use and land cover change; Urban sprawl; Urban energy consumption; Urban metabolism</t>
  </si>
  <si>
    <t>CO2 EMISSIONS; DIOXIDE EMISSIONS; FOOTPRINT; CHINA</t>
  </si>
  <si>
    <t>The process of rapid and uncontrolled urbanization has a strong relation with growing carbon emissions. This study analyses the urban expansion of the Monterrey Metropolitan Area (MMA) Mexico from 1990 to 2019 using satellite imagery and Geographic Information Systems (GIS) to determine its relation to carbon emission. The analysis considers as variables: population data, urban expansion, gross domestic product, motor vehicle inventory, vegetation displacement, and energy usage from residential and commercial sectors as key variables to relate CO2 sink loss and CO2 emissions per period. Results show that MMA increased 2.6 times its size from 30,761 to 80,962 ha. It is estimated that 28,393 ha of vegetation was removed including scrubs, grassland, forest, and agricultural land with a potential of absorption of 373,900 T CO2 per year. In terms of CO2 emissions, the average per urban block in 2015 was 258 TCO2. This investigation intents to establish an historical baseline of carbon emissions for the Mexican context due to urban land change and rapid urbanization by having a consistent comparison in intervals of five years considering the variables mentioned above and identify the magnitude of association with the Pearson's statistical test. It also gives the different research lines that will serve to complement the study to achieve a complete urban carbon budget for Mexican cities by using information that is yearly available that can guide future environmental policy and complement Local Urban Development Plans.</t>
  </si>
  <si>
    <t>[Carpio, Alejandro; Ponce-Lopez, Roberto; Lozano-Garcia, Diego Fabian] Tecnol Monterrey, Monterrey, Mexico</t>
  </si>
  <si>
    <t>Tecnologico de Monterrey</t>
  </si>
  <si>
    <t>Carpio, A (corresponding author), Tecnol Monterrey, Monterrey, Mexico.</t>
  </si>
  <si>
    <t>alecarpion@gmail.com; rpl@tec.mx; dflozano@tec.mx</t>
  </si>
  <si>
    <t>Carpio, Alejano/0000-0002-5811-6976</t>
  </si>
  <si>
    <t>10.1016/j.uclim.2021.100947</t>
  </si>
  <si>
    <t>UZ0PI</t>
  </si>
  <si>
    <t>WOS:000701914800002</t>
  </si>
  <si>
    <t>Hao, DQ; Xu, RF; Du, BP; Yang, J; Liu, WX</t>
  </si>
  <si>
    <t>Hao, Dequan; Xu, Ruifan; Du, Bopei; Yang, Juan; Liu, Wenxin</t>
  </si>
  <si>
    <t>Does carbon reduction and sequestration conflict with food security in rural China? - What, why and how?</t>
  </si>
  <si>
    <t>Carbon reduction and sequestration; Food security; Fiscal decentralization; Spatial Durbin model; Rural China</t>
  </si>
  <si>
    <t>AGRICULTURE</t>
  </si>
  <si>
    <t>Based on panel data of 31 provinces in rural China from 1997 to 2020, this manuscript first applies a carbon reduction and sequestration (CRS) model from the perspective of agricultural carbon emissions and agricultural carbon sinks. We then construct a food security evaluation system to examine the four dimensions of quantity, quality, ecological and economic security. Finally, the study uses a spatial Durbin model to empirically analyze the impact of CRS on food security and the moderating effect of fiscal decentralization. The relevant results: First, from 1997 to 2020, carbon emissions rose from 221.9794 million tons (1997) to 251.1368 million tons (2020), representing an increase of 13.14 %. The total amount of carbon sinks increased from 518.259 million tons (1997) to 758.887 million tons (2020); an increase of 46.43 %. CRS exhibited a fluctuating downward trend, falling from 0.98 (1997) to 0.90 (2020). However, food security showed an increasing trend, rising 0.12 (1997) to 0.32 (2020), with an average annual growth rate of 6.94 %. Second, in the short term, national CRS has had a significantly negative impact on food security, whereas the long term the result is exactly the opposite. In terms of control variables, planting structure, openness to the world, and economic development have significantly positive impact on food security, and urbanization, technological progress, and environmental regulation have significantly negative impact on food security. Regional heterogeneity is evident in the three functional attribute areas. Third, fiscal decentralization can enhance the negative impact of CRS on food security in the short term and weaken the positive impact of CRS on food security in the long term. Similarly, some regional heterogeneity is found among different regions.</t>
  </si>
  <si>
    <t>[Hao, Dequan; Xu, Ruifan; Yang, Juan; Liu, Wenxin] Northwest A&amp;F Univ, Coll Econ &amp; Management, Yangling 712100, Peoples R China; [Du, Bopei] Chongqing Univ, Coll Math &amp; Stat, Chongqing 400044, Peoples R China</t>
  </si>
  <si>
    <t>Northwest A&amp;F University - China; Chongqing University</t>
  </si>
  <si>
    <t>Liu, WX (corresponding author), Northwest A&amp;F Univ, Coll Econ &amp; Management, Yangling 712100, Peoples R China.</t>
  </si>
  <si>
    <t>hdq@nwafu.edu.cn; liuwenxin@nwafu.edu.cn</t>
  </si>
  <si>
    <t>DU, BOPEI/KYR-2233-2024</t>
  </si>
  <si>
    <t>National Social Science Foundation of China [22ZD083]; National Natural Science Foundation of China [72141006]; China Postdoctoral Science Foundation [2021M692655]; Social Science Foundation of Ministry of Education [21YJC630086]; Social Science Foundation of Shaanxi Province [2022R036]; Natural Science Foundation of Shaanxi Province [2024JC-YBMS-582]</t>
  </si>
  <si>
    <t>National Social Science Foundation of China(National Office of Philosophy and Social Sciences); National Natural Science Foundation of China(National Natural Science Foundation of China (NSFC)); China Postdoctoral Science Foundation(China Postdoctoral Science Foundation); Social Science Foundation of Ministry of Education; Social Science Foundation of Shaanxi Province; Natural Science Foundation of Shaanxi Province(Natural Science Foundation of Shaanxi Province)</t>
  </si>
  <si>
    <t>We appreciate the constructive suggestions and comments on the manuscript from reviewers. This research was funded by National Social Science Foundation of China (22&amp;ZD083), National Natural Science Foundation of China (72141006), China Postdoctoral Science Foundation (2021M692655), Social Science Foundation of Ministry of Education (21YJC630086), Social Science Foundation of Shaanxi Province (2022R036), Natural Science Foundation of Shaanxi Province (2024JC-YBMS-582) .</t>
  </si>
  <si>
    <t>10.1016/j.scitotenv.2024.173871</t>
  </si>
  <si>
    <t>YN8H2</t>
  </si>
  <si>
    <t>WOS:001269253200001</t>
  </si>
  <si>
    <t>Fan, B; Li, MY</t>
  </si>
  <si>
    <t>Fan, Bin; Li, Mingyang</t>
  </si>
  <si>
    <t>The Effect of Heterogeneous Environmental Regulations on Carbon Emission Efficiency of the Grain Production Industry: Evidence from China's Inter-Provincial Panel Data</t>
  </si>
  <si>
    <t>formal environmental regulations; informal environmental regulations; carbon emission efficiency; grain production industry; production agglomeration</t>
  </si>
  <si>
    <t>GREENHOUSE-GAS EMISSIONS; INFORMAL REGULATION; ECO-EFFICIENCY; LAND-USE; POLLUTION; ENERGY; INVESTMENT; IMPACT; PATH</t>
  </si>
  <si>
    <t>Examining the impact of heterogeneous environmental regulations on the carbon emission efficiency of the grain production industry will help to provide a theoretical basis and decision-making reference for achieving the goal of carbon peaking and sustainable agricultural development. Based on the panel data of 30 provinces in China, the DEA-SBM method was used to measure the grain production industry's carbon emission efficiency from 2011 to 2019. Separating environmental regulations into formal environmental regulations and informal environmental regulations in two parts, then the two-way fixed effect model, threshold effect model, and intermediary effect model are used to test the influence of heterogeneous environmental regulations on the grain production industry's carbon emission efficiency. The results show that: (1) the grain production industry's carbon emission efficiency continues to improve but still has space for improvement. (2) the relationship between formal environmental regulations and the grain production industry's carbon emission efficiency exhibits a U-shaped curve; informal environmental regulations have a significantly positive effect on improving the grain production industry's carbon emission efficiency. The conclusion is still valid after the robustness test. (3) A threshold mechanism test found that there is a single threshold effect between the formal environmental regulations and the grain production industry's carbon emission efficiency, but it does not cross the U inflection point. (4) there is a U shaped non-linear mediating effect in the influence of formal environmental regulations on the grain production industry's carbon emission efficiency; informal environmental regulations also have an intermediary transmission path of production agglomeration of the grain production industry. This study supplies a new perspective for promoting the grain production industry's carbon emission efficiency.</t>
  </si>
  <si>
    <t>[Fan, Bin; Li, Mingyang] Northeast Agr Univ, Sch Econ &amp; Management, Harbin 150030, Peoples R China</t>
  </si>
  <si>
    <t>Fan, B (corresponding author), Northeast Agr Univ, Sch Econ &amp; Management, Harbin 150030, Peoples R China.</t>
  </si>
  <si>
    <t>fanbin@neau.edu.cn</t>
  </si>
  <si>
    <t>Fan, Bin/HKN-3438-2023</t>
  </si>
  <si>
    <t>Research Program of Humanities and Social Sciences of the Ministry of Education [19YJA790008]; Academic Backbone Project of Northeast Agricultural University [20XG16]</t>
  </si>
  <si>
    <t>Research Program of Humanities and Social Sciences of the Ministry of Education; Academic Backbone Project of Northeast Agricultural University</t>
  </si>
  <si>
    <t>This research was funded by the Research Program of Humanities and Social Sciences of the Ministry of Education, grant number 19YJA790008, Academic Backbone Project of Northeast Agricultural University, grant number 20XG16.</t>
  </si>
  <si>
    <t>10.3390/su142114492</t>
  </si>
  <si>
    <t>6F4DL</t>
  </si>
  <si>
    <t>WOS:000884013600001</t>
  </si>
  <si>
    <t>Que, YX; Wu, QB; Zhang, H; Luo, J; Zhang, YB</t>
  </si>
  <si>
    <t>Que, Youxiong; Wu, Qibin; Zhang, Hua; Luo, Jun; Zhang, Yuebin</t>
  </si>
  <si>
    <t>Developing new sugarcane varieties suitable for mechanized production in China: principles, strategies and prospects</t>
  </si>
  <si>
    <t>sugarcane; sugar industry; mechanized production; varieties; prospect</t>
  </si>
  <si>
    <t>SACCHARUM; GENE; IDENTIFICATION</t>
  </si>
  <si>
    <t>The sugar industry, which relates to people's livelihood, is strategic and fundamental in the development of agricultural economy. In China, sugar derived from sugarcane accounts for approximately 85% of total sugar production. Mechanization is the flower of sugarcane industry. As the saying goes when there are blooming flowers, there will be sweet honey. However, due to limitations in land resources, technology, equipment, organization, and management, mechanization throughout the sugarcane production process has not yet brought about the economic benefits that a mechanized system should provide and has not reached an ideal yield through the integration of agricultural machinery and agronomic practice. This paper briefly describes how to initiate the mechanization of Chinese sugarcane production to promote the sound, healthy, and rapid development of the sugarcane industry, and how to ultimately achieve the transformation of sugarcane breeding in China and the modernization of the sugarcane industry from three perspectives, namely, requirements of mechanized production for sugarcane varieties, breeding strategies for selecting new sugarcane varieties suitable for mechanized production, and screening for sugarcane varieties that are suitable for mechanization and diversification in variety distribution or arrangement in China. We also highlight the current challenges surrounding this topic and look forward to its bright prospects.</t>
  </si>
  <si>
    <t>[Que, Youxiong; Wu, Qibin; Zhang, Yuebin] Chinese Acad Trop Agr Sci, Inst Trop Biosci &amp; Biotechnol, Natl Key Lab Trop Crop Breeding, Sanya, Peoples R China; [Que, Youxiong; Wu, Qibin] Yunnan Acad Agr Sci, Sugarcane Res Inst, Natl Key Lab Trop Crop Breeding, Kuaiyuan, Peoples R China; [Que, Youxiong; Wu, Qibin; Zhang, Hua; Luo, Jun] Fujian Agr &amp; Forestry Univ, Natl Engn Res Ctr Sugarcane, Key Lab Sugarcane Biol &amp; Genet Breeding, Coll Agr,Minist Agr &amp; Rural Affairs, Fuzhou, Peoples R China</t>
  </si>
  <si>
    <t>Chinese Academy of Tropical Agricultural Sciences; Yunnan Academy of Agricultural Sciences; Fujian Agriculture &amp; Forestry University</t>
  </si>
  <si>
    <t>Que, YX; Zhang, YB (corresponding author), Chinese Acad Trop Agr Sci, Inst Trop Biosci &amp; Biotechnol, Natl Key Lab Trop Crop Breeding, Sanya, Peoples R China.;Que, YX (corresponding author), Yunnan Acad Agr Sci, Sugarcane Res Inst, Natl Key Lab Trop Crop Breeding, Kuaiyuan, Peoples R China.;Que, YX (corresponding author), Fujian Agr &amp; Forestry Univ, Natl Engn Res Ctr Sugarcane, Key Lab Sugarcane Biol &amp; Genet Breeding, Coll Agr,Minist Agr &amp; Rural Affairs, Fuzhou, Peoples R China.</t>
  </si>
  <si>
    <t>queyouxiong@126.com; ynzyb@sohu.com</t>
  </si>
  <si>
    <t>Que, Youxiong/ABT-9892-2022; Zhang, Yuebin/OGN-6075-2025</t>
  </si>
  <si>
    <t>Wu, Qibin/0000-0002-3600-7613</t>
  </si>
  <si>
    <t>National Key Research and Development Program of China [2022YFD2301100, 2019YFD1000503, 2022L3086]; Yunnan Key Laboratory of Sugarcane Genetic Improvement [2023KFKT001]; China Agriculture Research System of MOF [CARS-17]</t>
  </si>
  <si>
    <t>National Key Research and Development Program of China(National Key Research &amp; Development Program of China); Yunnan Key Laboratory of Sugarcane Genetic Improvement; China Agriculture Research System of MOF</t>
  </si>
  <si>
    <t>The author(s) declare financial support was received for the research, authorship, and/or publication of this article. This work was supported by the National Key Research and Development Program of China (2022YFD2301100 and 2019YFD1000503), Special Projects for the Central-guided Local Science and Technology Development (2022L3086), Yunnan Key Laboratory of Sugarcane Genetic Improvement (2023KFKT001) and China Agriculture Research System of MOF and MARA (CARS-17).</t>
  </si>
  <si>
    <t>JAN 8</t>
  </si>
  <si>
    <t>10.3389/fpls.2023.1337144</t>
  </si>
  <si>
    <t>GL7L6</t>
  </si>
  <si>
    <t>WOS:001152888000001</t>
  </si>
  <si>
    <t>Wu, J; Wang, WB; Wang, XH; Zhu, LQ; Yang, HS; Han, XZ; Gao, J; Guo, W; Bian, XM</t>
  </si>
  <si>
    <t>Wu, Jie; Wang, Wenbo; Wang, Xiaohua; Zhu, Liqun; Yang, Haishui; Han, Xinzhong; Gao, Jie; Guo, Wei; Bian, Xinmin</t>
  </si>
  <si>
    <t>RESIDUE MANAGEMENT AFFECTS GREENHOUSE GAS EMISSIONS AND SOIL ORGANIC CARBON IN WHEAT-RICE ROTATION SYSTEM</t>
  </si>
  <si>
    <t>Straw; Ditch burying; Carbon pool management index</t>
  </si>
  <si>
    <t>MITIGATE CLIMATE-CHANGE; NITROUS-OXIDE; STRAW; SEQUESTRATION; MATTER; PADDY; FERTILIZATION; FRACTIONS; FLUXES</t>
  </si>
  <si>
    <t>Straw returning is an important factor in taking full advantage of the resources in the agricultural ecosystem. In this study, a field study was conducted to compare the greenhouse gas (GHG) emissions and soil organic carbon (SOC) under different rice (R) and wheat (W) straw returning modes (RDI, rice straw returned in wheat season and WDI, wheat straw returned in rice season) and ditch burying with different depths, viz., 20 cm (RD20 and WD20), 40 cm (RD40 and WD40) and 60 cm (RD60 and WD60) in a wheat-rice rotation system. Ditch burying treatments significantly decreased GHG emissions compared with RDI, while RD40 and RD60 had no significant difference in the total global warming potential (GWP) compared to RCK (no rice straw returning). The SOC and the carbon pool management index (CPMI) with RDI (WDI) were significantly higher than those with the other four treatments in the initial stage after straw returning. However, the difference in SOC and CPMI between R-DI, (WDI) and the other four treatments exhibited a decreasing trend. In addition, ditch burying treatments exhibited no significant difference in the crop yield in relation to CK. This result suggests that in eastern China, straw ditch burying should be a better approach to reducing GHG emissions and improving soil carbon quality without affecting the crop yield.</t>
  </si>
  <si>
    <t>[Wu, Jie; Wang, Wenbo; Wang, Xiaohua; Zhu, Liqun; Yang, Haishui; Han, Xinzhong; Gao, Jie; Guo, Wei; Bian, Xinmin] Nanjing Agr Univ, Coll Agr, Nanjing 210095, Jiangsu, Peoples R China</t>
  </si>
  <si>
    <t>Bian, XM (corresponding author), Nanjing Agr Univ, Coll Agr, Nanjing 210095, Jiangsu, Peoples R China.</t>
  </si>
  <si>
    <t>bxmnau@163.com</t>
  </si>
  <si>
    <t>wang, wenbo/HCI-6603-2022</t>
  </si>
  <si>
    <t>Ministry of Science and Technology of China [2010BAK69B17-3]</t>
  </si>
  <si>
    <t>This work was financially supported by the National Science &amp; Technology Pillar Program of the Ministry of Science and Technology of China during the Eleventh Five-Year Plan Period (No. 2010BAK69B17-3).</t>
  </si>
  <si>
    <t>CT8NB</t>
  </si>
  <si>
    <t>WOS:000363072200009</t>
  </si>
  <si>
    <t>Ahmad, N; Virk, AL; Nizami, AS; Lal, R; Chang, SX; Hafeez, MB; Guo, XY; Wang, R; Wang, XL; Iqbal, HMW; Albasher, G; Li, J</t>
  </si>
  <si>
    <t>Ahmad, Naeem; Virk, Ahmad Latif; Nizami, Abdul-Sattar; Lal, Rattan; Chang, Scott X.; Hafeez, Muhammad Bilal; Guo, Xingyu; Wang, Rui; Wang, Xiaoli; Iqbal, Hafiz Muhammad Waleed; Albasher, Gadah; Li, Jun</t>
  </si>
  <si>
    <t>Carbon trade-off and energy budgeting under conventional and conservation tillage in a rice-wheat double cropping system</t>
  </si>
  <si>
    <t>GREENHOUSE-GAS EMISSIONS; AGRICULTURAL SOILS; USE EFFICIENCY; CLIMATE-CHANGE; MANAGEMENT; FOOTPRINT; MITIGATION; NITROGEN; MAIZE; OPTIMIZATION</t>
  </si>
  <si>
    <t>Amid rising energy crises and greenhouse gas (GHG) emissions, designing energy efficient, GHG mitigation and profitable conservation farming strategies are pertinent for global food security. Therefore, we tested a hypothesis that no-till with residue retaining could improve energy productivity (EP) and energy use efficiency (EUE) while mitigating the carbon footprint (CF), water footprint (WF) and GHG emissions in rice-wheat double cropping system. We studied two tillage viz., conventional and conservation, with/without residue retaining, resulting as CT0 (puddled-transplanted rice, conventional wheat -residue), CTR (puddled-transplanted rice, conventional wheat + residue), NT0 (direct seeded rice, zero-till wheat -residue), and NTR (direct seeded rice, zero-till wheat + residue). The overall results showed that the NTR/NT0 had 34% less energy consumption and 1.2-time higher EP as compared to CTR/CT0. In addition, NTR increased 19.8% EUE than that of CT0. The grain yield ranged from 8.7 to 9.3 and 7.8-8.5 Mg ha(-1) under CT and NT system, respectively. In NTR, CF and WF were 56.6% and 17.9% lower than that of CT0, respectively. The net GHG emissions were the highest (7261.4 kg CO2 ha(-1) yr(-1)) under CT0 and lowest (4580.9 kg CO2 ha(-1) yr(-1)) under NTR. Notably, the carbon sequestration under NTR could mitigate half of the system's CO2-eq emissions. The study results suggest that NTR could be a viable option to offset carbon emissions and water footprint by promoting soil organic carbon sequestration, and enhancing energy productivity and energy use efficiency in the South Asian Indo-Gangetic Plains.</t>
  </si>
  <si>
    <t>[Ahmad, Naeem; Hafeez, Muhammad Bilal; Guo, Xingyu; Wang, Rui; Wang, Xiaoli; Li, Jun] Northwest A&amp;F Univ, Coll Agron, Yangling 712100, Shaanxi, Peoples R China; [Ahmad, Naeem; Hafeez, Muhammad Bilal; Guo, Xingyu; Wang, Rui; Wang, Xiaoli; Li, Jun] Minist Agr, Key Lab Crop Physiecol &amp; Tillage Sci Northwestern, Yangling 712100, Shaanxi, Peoples R China; [Virk, Ahmad Latif] Zhejiang A&amp;F Univ, State Key Lab Subtrop Silviculture, Hangzhou 311300, Peoples R China; [Nizami, Abdul-Sattar] Govt Coll Univ, Sustainable Dev Study Ctr, Lahore 54000, Pakistan; [Lal, Rattan] Ohio State Univ, CFAES Rattan Lal Ctr Carbon Management &amp; Sequestra, 210 Kottman Hall,2021 Coffey Rd, Columbus, OH 43210 USA; [Chang, Scott X.] Univ Alberta, Dept Renewable Resources, Edmonton, AB T6G 2E3, Canada; [Iqbal, Hafiz Muhammad Waleed] Muhammad Nawaz Shareef Univ Agr, Dept Agron, Multan 66000, Pakistan; [Albasher, Gadah] King Saud Univ, Coll Sci, Dept Zool, Riyadh 11451, Saudi Arabia; [Li, Jun] Northwest A&amp;F Univ, Coll Agron, Key Lab Crop Physiecol &amp; Tillage Sci Northwestern, Minist Agr, Yangling 712100, Shaanxi, Peoples R China</t>
  </si>
  <si>
    <t>Northwest A&amp;F University - China; Zhejiang A&amp;F University; Government College University Lahore; University System of Ohio; Ohio State University; University of Alberta; King Saud University; Northwest A&amp;F University - China</t>
  </si>
  <si>
    <t>Li, J (corresponding author), Northwest A&amp;F Univ, Coll Agron, Key Lab Crop Physiecol &amp; Tillage Sci Northwestern, Minist Agr, Yangling 712100, Shaanxi, Peoples R China.</t>
  </si>
  <si>
    <t>junli@nwsuaf.edu.cn</t>
  </si>
  <si>
    <t>Virk, Ahmad Latif/GLR-2415-2022; Ahmad, Naeem/KAL-7695-2024; Hafeez, Muhammad Bilal/IAO-6810-2023; Lal, Rattan/D-2505-2013; Chang, Scott/G-2029-2011; Nizami, Abdul-Sattar/G-5226-2014</t>
  </si>
  <si>
    <t>Hafeez, Muhammad Bilal/0000-0001-6719-6667; Ahmad, Naeem/0000-0002-5023-8362</t>
  </si>
  <si>
    <t>10.1016/j.jenvman.2023.119888</t>
  </si>
  <si>
    <t>HG7T5</t>
  </si>
  <si>
    <t>WOS:001158411500001</t>
  </si>
  <si>
    <t>Salvador, S; Corazzin, M; Romanzin, A; Bovolenta, S</t>
  </si>
  <si>
    <t>Salvador, Sara; Corazzin, Mirco; Romanzin, Alberto; Bovolenta, Stefano</t>
  </si>
  <si>
    <t>Greenhouse gas balance of mountain dairy farms as affected by grassland carbon sequestration</t>
  </si>
  <si>
    <t>Small-scale dairy farm; Mountain; LCA; Grassland; Carbon sequestration; Forage self-sufficiency</t>
  </si>
  <si>
    <t>MILK-PRODUCTION; ENVIRONMENTAL-IMPACT; PRODUCTION SYSTEMS; ITALIAN ALPS; FOOTPRINT; SENSITIVITY</t>
  </si>
  <si>
    <t>Cycle Assessment (LCA) approach. In grassland-based livestock systems, soil carbon sequestration might be a potential sink to mitigate greenhouse gas (GHG) balance. Nevertheless, there is no commonly shared methodology. In this work, the GHG emissions of small-scale mountain dairy farms were assessed using the LCA approach. Two functional units, kg of Fat and Protein Corrected Milk (FPCM) and Utilizable Agricultural Land (UAL), and two different emissions allocations methods, no allocation and physical allocation, which accounts for the co-product beef, were considered. Two groups of small-scale dairy farms were identified based on the Livestock Units (LU) reared: &lt;30 LU (LLU) and &gt;30 LU (HLU). Before considering soil carbon sequestration in LCA, performing no allocation methods, LLU farms tended to have higher GHG emission than HLU farms per kg of FPCM (1.94 vs. 1.59 kg CO2-eq/kg FPCM, P &lt;= 0.10), whereas the situation was reversed upon considering the m(2) of UAL as a functional unit (0.29 vs. 0.89 kg CO2-eq/m(2), P &lt;= 0.05). Conversely, considering physical allocation, the difference between the two groups became less noticeable. When the contribution from soil carbon sequestration was included in the LCA and no allocation method was performed, LLU farms registered higher values of GHG emission per kg of FPCM than HLU farms (1.38 vs. 1.10 kg CO2-eq/kg FPCM, P &lt;= 0.05), and the situation was likewise reversed in this case upon considering the m2 of UAL as a functional unit (0.22 vs. 0.73 kg CO2-eq/m(2), P &lt;= 0.05). To highlight how the presence of grasslands is crucial for the carbon footprint of small-scale farms, this study also applied a simulation for increasing the forage self-sufficiency of farms to 100%. In this case, an average reduction of GHG emission per kg of FPCM of farms was estimated both with no allocation and with physical allocation, reaching 27.0% and 28.8%, respectively. (C) 2017 Elsevier Ltd. All rights reserved.</t>
  </si>
  <si>
    <t>[Salvador, Sara; Corazzin, Mirco; Romanzin, Alberto; Bovolenta, Stefano] Univ Udine, Dept Agr Food Environm &amp; Anim Sci, Via Sci 206, I-33100 Udine, Italy</t>
  </si>
  <si>
    <t>University of Udine</t>
  </si>
  <si>
    <t>Corazzin, M (corresponding author), Univ Udine, Dept Agr Food Environm &amp; Anim Sci, Via Sci 206, I-33100 Udine, Italy.</t>
  </si>
  <si>
    <t>mirco.corazzin@uniud.it</t>
  </si>
  <si>
    <t>; Romanzin, Alberto/AAH-1996-2020</t>
  </si>
  <si>
    <t>Romanzin, Alberto/0000-0001-9750-0607; Bovolenta, Stefano/0000-0002-6307-6809;</t>
  </si>
  <si>
    <t>Autonomous Province of Trento, Italy [4/2003, 47]; ''Centro di Ricerca e Innovazione Tecnologica in Agricoltura'' (CRITA FVG) [26/2005, 18]</t>
  </si>
  <si>
    <t>Autonomous Province of Trento, Italy(Autonomous Province of Trento); ''Centro di Ricerca e Innovazione Tecnologica in Agricoltura'' (CRITA FVG)</t>
  </si>
  <si>
    <t>The authors would like to thank Autonomous Province of Trento, Italy (LP. n. 4/2003, art. 47) and Centro di Ricerca e Innovazione Tecnologica in Agricoltura (CRITA FVG; L.R. n. 26/2005, art. 18) for financial support.</t>
  </si>
  <si>
    <t>10.1016/j.jenvman.2017.03.052</t>
  </si>
  <si>
    <t>EV6OI</t>
  </si>
  <si>
    <t>WOS:000401888300060</t>
  </si>
  <si>
    <t>Wang, PH; Liu, HB; Guo, HJ; Yu, Y; Guo, YX; Yue, GB; Li, QY; Wang, L</t>
  </si>
  <si>
    <t>Wang, Peihan; Liu, Haibao; Guo, Huijuan; Yu, Yang; Guo, Yuanxin; Yue, Gongbing; Li, Qiuyi; Wang, Liang</t>
  </si>
  <si>
    <t>Study on preparation and performance of alkali-activated low carbon recycled concrete: Corn cob biomass aggregate</t>
  </si>
  <si>
    <t>Alkali-activated; Corn cob aggregate; Low carbon concrete; Solid waste; Thermal insulation performance</t>
  </si>
  <si>
    <t>DURABILITY; CEMENT; EARTH</t>
  </si>
  <si>
    <t>The burning or accumulation of a large number of corn cobs in the countryside not only pollutes the environment but also takes up land, and it is of great significance to use agricultural solid waste to prepare green ecological construction materials for liveable villages. Therefore, in this study, the agricultural solid waste-corn cob is used as coarse aggregate, the recycled sand as fine aggregate, and industrial solid waste-mineral powder is used as cementitious material to prepare a green low carbon recycled concrete (LCRC). Regarding the alkali exciter concentrations, fine aggregate type and pre-wetting degree of aggregate as key variables, the time-varying laws of mechanical property, thermal insulation property, drying shrinkage property and CO2 emission of LCRC were studied. The results show that LCRC with a higher concentration of alkali exciter has better mechanical and thermal insulation properties, but poorer shrinkage properties. The mechanical property and shrinkage property of LCRC by manufactured sand are more excellent but poor insulation property. 80% pre-wetted LCRC has better mechanical and shrinkage properties, but lower thermal insulation property. The 28 days compressive strength and flexural strength of LCRC can reach up to 11.6 and 1.6 MPa. The bending compression ratio and 90 days shrinkage of LCRC are between 0.07 and 0.18 and 625.9 similar to 977.7 x 10(-6), which are comparable to or even better than normal concrete. The thermal conductivity of LCRC ranges from 0.108 to 0.300 W/(m.K) and can be used as a preparation insulation material. Meanwhile, LCRC can reduce carbon emissions by up to 31% than ordinary cement. (c) 2022 The Author(s). Published by Elsevier B.V. This is an open access article under the CC BY-NC-ND license (http://creativecommons.org/licenses/by-nc-nd/4.0/).</t>
  </si>
  <si>
    <t>[Wang, Peihan; Guo, Huijuan; Yu, Yang; Guo, Yuanxin; Yue, Gongbing; Li, Qiuyi; Wang, Liang] Qingdao Agr Univ, Coll Civil Engn &amp; Architecture, Qingdao 266109, Shandong, Peoples R China; [Liu, Haibao] Qingdao Univ Technol, Coll Civil Engn, Qingdao 266033, Shandong, Peoples R China</t>
  </si>
  <si>
    <t>Qingdao Agricultural University; Qingdao University of Technology</t>
  </si>
  <si>
    <t>Li, QY; Wang, L (corresponding author), Qingdao Agr Univ, Coll Civil Engn &amp; Architecture, Qingdao 266109, Shandong, Peoples R China.</t>
  </si>
  <si>
    <t>201801001@qau.edu.cn; Liangwang2019@qau.edu.cn</t>
  </si>
  <si>
    <t>海宝, 刘/GQQ-9337-2022; Wang, Liang/S-3332-2019</t>
  </si>
  <si>
    <t>Liu, Haibao/0000-0003-1145-3470;</t>
  </si>
  <si>
    <t>National Natural Science Foundation of China [51878366, 51978353, 52078261]; Natural Science Foundation of Shandong Prov-ince, China [ZR2019PEE007, ZR2020ME036]; Qingdao Municipal Government Procurement Project [ZFCG2019000063]; Qingdao Science and Tech-nology Demonstration and Guidance Project [20-3-4-10-nsh]</t>
  </si>
  <si>
    <t>National Natural Science Foundation of China(National Natural Science Foundation of China (NSFC)); Natural Science Foundation of Shandong Prov-ince, China(Natural Science Foundation of Shandong Province); Qingdao Municipal Government Procurement Project; Qingdao Science and Tech-nology Demonstration and Guidance Project</t>
  </si>
  <si>
    <t>Acknowledgments This research was funded by the National Natural Science Foundation of China, grant number 51878366, 51978353, and 52078261, the Natural Science Foundation of Shandong Prov-ince, China, grant number ZR2019PEE007 and ZR2020ME036, the Qingdao Municipal Government Procurement Project, grant number ZFCG2019000063 and the Qingdao Science and Tech-nology Demonstration and Guidance Project (20-3-4-10-nsh) .</t>
  </si>
  <si>
    <t>MAR-APR</t>
  </si>
  <si>
    <t>10.1016/j.jmrt.2022.12.164</t>
  </si>
  <si>
    <t>C7GC9</t>
  </si>
  <si>
    <t>WOS:000963549200001</t>
  </si>
  <si>
    <t>Roba, ZR; Moisa, MB; Purohit, S; Deribew, KT; Gemeda, DO</t>
  </si>
  <si>
    <t>Roba, Zenebe Reta; Moisa, Mitiku Badasa; Purohit, Sanju; Deribew, Kiros Tsegay; Gemeda, Dessalegn Obsi</t>
  </si>
  <si>
    <t>Assessing the impacts of forest cover change on carbon stock and soil moisture dynamics using geospatial techniques: a case study of Nensebo forest, Southern Ethiopia</t>
  </si>
  <si>
    <t>Agricultural expansion; Carbon emissions; Forest degradation; Total forest cover; Wood volume</t>
  </si>
  <si>
    <t>DEFORESTATION; DRIVERS; DEGRADATION; EMISSIONS</t>
  </si>
  <si>
    <t>Assessing the impacts of forest cover change on carbon stock and soil moisture dynamics is critical for understanding environmental degradation and guiding sustainable land management. This study evaluates the effects of forest cover change on carbon stock and soil moisture dynamics in Nensebo Forest from 1993 to 2023 using geospatial techniques. Landsat imagery including TM (1993), ETM + (2009), and OLI/TIRS (2023) were used. Land use land cover (LULC) classification was performed using supervised classification approach with maximum likelihood algorithm. The study reveals that agricultural land expanded significantly from 143.2 km2 (21.8%) to 230.0 km2 (35.1%), along with increases in bare land and grassland. Moreover, result reveals a substantial decline in vegetation health (forest), with the Normalized Difference Vegetation Index (NDVI) decreasing from 0.78 in 1993 to 0.55 in 2023, indicating an increase of deforestation and land degradation. The soil moisture index (SMI) shows a reduction in soil moisture retention from 0.51 to 0.39, reflecting the adverse impact of forest loss on soil moisture dynamics. Carbon stock analysis reveals a dramatic decrease in forest area from 489.5 to 220.5 km2, leading to increased carbon dioxide emissions from forest loss, which rose from 293.03 tons to 1550.34 tons. The study underscores the urgent need for integrated land management strategies that balance agricultural development with ecological conservation. Therefore, to mitigate climate change and maintain ecological stability, the study recommends implementing sustainable land use practices, promoting reforestation, and developing environmental related policies to preserve the remaining forest cover while supporting agricultural productivity.</t>
  </si>
  <si>
    <t>[Roba, Zenebe Reta] Mattu Univ, Coll Nat Resource &amp; Agr Econ, Dept Forestry, Bedele Campus, Bedele, Ethiopia; [Moisa, Mitiku Badasa] Wollega Univ Nekemte Campus, Coll Nat &amp; Computat Sci, Dept Earth Sci, Nekemte, Ethiopia; [Purohit, Sanju] Akamai Univ, Dept Environm Ecol Studies &amp; Sustainabil, Waimea, HI USA; [Purohit, Sanju] Azerbaijan State Univ Econ UNEC, Women Researchers Council WRC, Baku AZ1001, Azerbaijan; [Deribew, Kiros Tsegay] Raya Univ, Dept Geog &amp; Environm Studies, Maichew, Ethiopia; [Gemeda, Dessalegn Obsi] Jimma Univ, Coll Agr &amp; Vet Med, Dept Nat Resource Management, Jimma, Ethiopia</t>
  </si>
  <si>
    <t>Mattu University; Ministry of Education of Azerbaijan Republic; Azerbaijan State University of Economics (UNEC); Jimma University</t>
  </si>
  <si>
    <t>Moisa, MB (corresponding author), Wollega Univ Nekemte Campus, Coll Nat &amp; Computat Sci, Dept Earth Sci, Nekemte, Ethiopia.</t>
  </si>
  <si>
    <t>zenebereta98@gmail.com; mitikubadasa10@gmail.com; sanjanapurohit@yahoo.in; crosstsegaye@gmail.com; dasoobsi@gmail.com</t>
  </si>
  <si>
    <t>Moisa, Mitiku/ABE-4882-2021; Deribew, kiros/AAP-9465-2021; Purohit, Dr. Sanju/JUF-2631-2023; Gemeda, Dessalegn Obsi/AAE-9441-2019; Roba, Zenebe/AED-0787-2022; Gemeda, Dessalegn Oi/AAE-9441-2019</t>
  </si>
  <si>
    <t>Reta Roba, Zenebe/0000-0001-9267-8588; Deribew, Kiros Tsegay/0000-0003-2433-8391; Gemeda, Dessalegn Oi/0000-0002-8635-260X; Badasa, Mitiku/0000-0003-1788-0035; Purohit, Sanju/0009-0004-8951-7520</t>
  </si>
  <si>
    <t>Mattu University Bedele Campus, College of Natural Resource and Agricultural Economics, Department of Forestry; Wollega University Nekemte Campus College Natural and Computational Science, Department of Earth Science; Akamai University; Raya University Department of Geography and Environmental Studies; Jimma University College of Agriculture and Veterinary Medicine (JUCAVM) Department of Natural Resource Management</t>
  </si>
  <si>
    <t>The authors acknowledge Mattu University Bedele Campus, College of Natural Resource and Agricultural Economics, Department of Forestry; Wollega University Nekemte Campus College Natural and Computational Science, Department of Earth Science; Akamai University and Azerbaijan State University of Economics; Raya University Department of Geography and Environmental Studies, and Jimma University College of Agriculture and Veterinary Medicine (JUCAVM) Department of Natural Resource Management for the existing facilities to conduct this study.</t>
  </si>
  <si>
    <t>JAN 14</t>
  </si>
  <si>
    <t>10.1007/s10661-024-13611-0</t>
  </si>
  <si>
    <t>S4J0G</t>
  </si>
  <si>
    <t>WOS:001397893000003</t>
  </si>
  <si>
    <t>Gao, SD; Hendratna, A; Thao, T; Culumber, CM; Poret-Peterson, AT; Zuber, CAT; Holtz, BA</t>
  </si>
  <si>
    <t>Gao, Suduan; Hendratna, Aileen; Thao, Touyee; Culumber, Catherine Mae; Poret-Peterson, Amisha T.; Zuber, Cameron A. T.; Holtz, Brent A.</t>
  </si>
  <si>
    <t>Influence of woodchip size and nitrogen fertilization on carbon dioxide and nitrous oxide emissions from soils amended with orchard biomass</t>
  </si>
  <si>
    <t>RESIDUE DECOMPOSITION; CROP RESIDUES; MINERALIZATION; WHEAT; AMENDMENTS; QUALITY; STRAW</t>
  </si>
  <si>
    <t>Incorporating large amounts of woody biomass into soil, such as in whole orchard recycling (WOR), can promote carbon sequestration, nutrient recycling, and ecosystem health in agricultural fields. Yet uncertainty regarding the effects of WOR on soil carbon (C) and nitrogen (N) dynamics influences management decisions. The objective of this research was to evaluate the effects of woodchip (WC) size and interaction with N fertilization on carbon dioxide (CO2) and nitrous oxide (N2O) emissions. An 8-month incubation experiment incorporating WC (4% w/w, equivalent to similar to 40 tons per acre) in four sieved sizes (0.2-1.6, 1.6-3.2, 3.2-6.4, and 6.4-12.7 mm) with and without N applications was conducted. All treatments with WC showed that CO2 emission peaked within the first week, then decreased drastically afterward. The CO2 peak delayed as the peak value decreased (WC size increased). The finest WC (&lt;1.6 mm) yielded the lowest total CO2 emissions and resulted in the greatest increase in soil C at the end of incubation. Nitrogen application reduced total CO2 emissions by 1% in the smallest WC size and by 8%-9% for those larger than 1.6 mm. The N2O emissions spiked following each fertilizer application with lowest total emissions from the smallest WC size, suggesting substantial N immobilization. The results imply that larger WC sizes can delay C mineralization and reduce initial N immobilization risks, but the smallest WC size may have stabilized and increased soil organic carbon. This research increased our understanding on WC mineralization that can be used in WOR management.</t>
  </si>
  <si>
    <t>[Gao, Suduan; Hendratna, Aileen; Thao, Touyee] USDA ARS, San Joaquin Valley Agr Sci Ctr, Parlier, CA USA; [Culumber, Catherine Mae] Univ Calif Cooperat Extens, Fresno, CA USA; [Poret-Peterson, Amisha T.] USDA ARS, Crops Pathol &amp; Genet Res, Davis, CA USA; [Zuber, Cameron A. T.] Univ Calif Cooperat Extens, Merced, CA USA; [Holtz, Brent A.] Univ Calif Cooperat Extens, Stockton, CA USA; [Gao, Suduan] Agr Res Serv, USDA, San Joaquin Valley Agr Sci Ctr, 9611 South Riverbend Ave, Parlier, CA 93648 USA</t>
  </si>
  <si>
    <t>United States Department of Agriculture (USDA); University of California System; United States Department of Agriculture (USDA); University of California System; University of California System; United States Department of Agriculture (USDA); USDA Agricultural Research Service</t>
  </si>
  <si>
    <t>Gao, SD (corresponding author), Agr Res Serv, USDA, San Joaquin Valley Agr Sci Ctr, 9611 South Riverbend Ave, Parlier, CA 93648 USA.</t>
  </si>
  <si>
    <t>suduan.gao@usda.gov</t>
  </si>
  <si>
    <t>Thao, Touyee/0000-0002-3280-7728; Gao, Suduan/0000-0002-7945-1925</t>
  </si>
  <si>
    <t>USDA ARS [301-2034-13000-013]; California Department of Food and Agriculture, Specialty Crops Grants Program [58-2034-1-008]</t>
  </si>
  <si>
    <t>USDA ARS(United States Department of Agriculture (USDA)USDA Agricultural Research Service); California Department of Food and Agriculture, Specialty Crops Grants Program</t>
  </si>
  <si>
    <t>Financial support for this research was provided by USDA ARS appropriate project # 301-2034-13000-013 and California Department of Food and Agriculture, Specialty Crops Grants Program (Agreement # 58-2034-1-008). Mr. Julio Perez and Mr. Omar Abulghanam provided technical support to this research in sample processing and data collections. Mention of trade names or commercial products in this publication is solely for the purpose of providing specific information and does not imply recommendation or endorsement by the US Department of Agriculture. USDA is an equal opportunity provider and employer.</t>
  </si>
  <si>
    <t>10.1002/saj2.20650</t>
  </si>
  <si>
    <t>WOS:001173198000001</t>
  </si>
  <si>
    <t>Zhang, SL; Chen, XN; Shi, AX; Xu, MG; Zhang, FG; Zhang, L; Zang, JJ; Xu, XF; Gao, JK</t>
  </si>
  <si>
    <t>Zhang, Shanglong; Chen, Xianni; Shi, Aoxue; Xu, Minggang; Zhang, Fenggang; Zhang, Lu; Zang, Jiaojiao; Xu, Xiaofeng; Gao, Jiakai</t>
  </si>
  <si>
    <t>Effect of Compost Addition on Carbon Mineralization and Kinetic Characteristics in Three Typical Agricultural Soils</t>
  </si>
  <si>
    <t>composting; soil carbon mineralization; soil organic carbon; paddy soil; black soil; cinnamon soil</t>
  </si>
  <si>
    <t>LONG-TERM FERTILIZATION; ORGANIC-MATTER MINERALIZATION; PADDY SOIL; SYSTEM; SANDY; SEQUESTRATION; AVAILABILITY; DYNAMICS; MANURE; WASTE</t>
  </si>
  <si>
    <t>Soil carbon is a crucial component of the global carbon cycle, and carbon mineralization is influenced by various factors. However, there is a lack of systematic analyses on the responses of carbon mineralization in different soil types to the addition of exogenous organic matter. This study investigates the effects of compost addition on the mineralization and kinetic characteristics of soil carbon across three typical agricultural soils: paddy soil, black soil, and cinnamon soil. A 210-day incubation study was conducted with four treatments: Control (un-amended soil), R (soil + straw), R1M (soil + straw + low compost application rate), R2M (soil + straw + high compost application rate). The results showed that the CO2 emission rates of the three soils were higher during the early stage (1-37 days) and decreased afterward. The CO2 emission rates of the paddy soil and the black soil were significantly higher than those of the cinnamon soil. The addition of compost significantly increased both the CO2 emission rate and the cumulative release of CO2, especially in the R2M treatment. At the end of the incubation, the SOC contents were higher in the R2M treatment than in the Control for all three soils (p &lt; 0.05), with the most notable increase in the cinnamon soil (60.93%). Compost addition significantly enhanced the active carbon pool (C-a), slow carbon pool (C-s), and potentially mineralizable carbon pool (C-p), while decreasing the mineralization rate (k(a)) of the C-a, but the effect on the mineralization rate (k(s)) of the C-s and mineralization entropy (C-m) varied by soil types. The k(s) of the paddy soil was significantly reduced by 23.08% under the R1M and R2M treatments compared with the Control and R treatment. The k(s) of the black soil was significantly increased by 59.52% under the R2M treatment compared with the Control. The k(s) of the cinnamon soil was elevated considerably by 79.31% under the R2M treatment compared with the Control, R, and R1M treatments (averaging 0.29 x 10(-2) d), and the k(s) of the paddy soil and black soil were significantly higher than those of the cinnamon soil under the R2M treatment. The C-m was significantly higher in the organic material added treatments than in the Control for the black soil and the paddy soil, but showed a higher value in the R treatment than in the R2M and Control for the cinnamon soil. In conclusion, compost addition stimulated soil carbon mineralization and improved the SOC content, especially in the cinnamon soil, while reducing the mineralization rate of the active carbon pool across the three soils. The mineralization rate of the slow carbon pool and the changes in mineralization entropy were dependent on soil types, primarily related to the initial soil nutrient contents, pH, and particle compositions. These findings offer valuable insights for managing the soil carbon pool in agricultural ecosystems.</t>
  </si>
  <si>
    <t>[Zhang, Shanglong; Chen, Xianni; Shi, Aoxue; Zhang, Lu; Zang, Jiaojiao; Xu, Xiaofeng; Gao, Jiakai] Henan Univ Sci &amp; Technol, Coll Agr, Luoyang 471000, Peoples R China; [Xu, Minggang] Shanxi Agr Univ, Coll Resources &amp; Environm, Taiyuan 030031, Peoples R China; [Zhang, Fenggang] Jiangsu Rotam Chem Co Ltd, Suzhou 215300, Peoples R China</t>
  </si>
  <si>
    <t>Henan University of Science &amp; Technology; Shanxi Agricultural University</t>
  </si>
  <si>
    <t>Chen, XN (corresponding author), Henan Univ Sci &amp; Technol, Coll Agr, Luoyang 471000, Peoples R China.;Xu, MG (corresponding author), Shanxi Agr Univ, Coll Resources &amp; Environm, Taiyuan 030031, Peoples R China.</t>
  </si>
  <si>
    <t>zhangsl0129@stu.haust.edu.cn; xnchen0701@haust.edu.cn; axshi1031@stu.haust.edu.cn; xuminggang@caas.cn; zhangfenggang@albaugllc.com; zhanglu@haust.edu.cn; z0605@stu.haust.edu.cn; xiaofnong07@haust.edu.cn; jiakaigao19@haust.edu.cn</t>
  </si>
  <si>
    <t>National Natural Science Foundation of China; Henan Provincial Joint Fund for Science and Technology Research Program [242103810032]; Scientific and Technological Research Project in Henan Province [252102320074]; Graduate Innovation Fund Project of Henan University of Science and Technology [CXJJ-2025-CY05]; [41601309]</t>
  </si>
  <si>
    <t>National Natural Science Foundation of China(National Natural Science Foundation of China (NSFC)); Henan Provincial Joint Fund for Science and Technology Research Program; Scientific and Technological Research Project in Henan Province; Graduate Innovation Fund Project of Henan University of Science and Technology;</t>
  </si>
  <si>
    <t>This research was supported by the National Natural Science Foundation of China (41601309), Henan Provincial Joint Fund for Science and Technology Research Program (242103810032), the Scientific and Technological Research Project in Henan Province (252102320074), and the Graduate Innovation Fund Project of Henan University of Science and Technology (CXJJ-2025-CY05).</t>
  </si>
  <si>
    <t>JUN 26</t>
  </si>
  <si>
    <t>10.3390/agronomy15071559</t>
  </si>
  <si>
    <t>5PA9K</t>
  </si>
  <si>
    <t>WOS:001540930800001</t>
  </si>
  <si>
    <t>Jiang, QJ; Madramootoo, CA; Qi, ZM</t>
  </si>
  <si>
    <t>Jiang, Qianjing; Madramootoo, Chandra A.; Qi, Zhiming</t>
  </si>
  <si>
    <t>Soil carbon and nitrous oxide dynamics in corn (Zea mays L.) production under different nitrogen, tillage and residue management practices</t>
  </si>
  <si>
    <t>Carbon sequestration; Process-based modeling; Tillage; Corn residue; Nitrate leaching; Nitrous oxide emissions</t>
  </si>
  <si>
    <t>LONG-TERM TILLAGE; GREENHOUSE-GAS EMISSIONS; MITIGATE CLIMATE-CHANGE; ORGANIC-CARBON; N2O EMISSIONS; CROPPING SYSTEMS; REDUCED TILLAGE; NO-TILLAGE; LOAM SOIL; SEQUESTRATION</t>
  </si>
  <si>
    <t>Reducing tillage frequency and intensity and returning crop residues to the soil are two agricultural management practices to increase soil organic carbon (SOC). Timing and rates of nitrogen fertilizer, coupled with tillage methods and residue incorporation, can also influence nitrous oxide emissions. In this study, we used measured data from a long term (23 years) tillage and residue management experiment, under intensive grain corn production, together with the DNDC (DeNitrification-DeComposition) process-based model, to ascertain the most effective fertilizer and tillage management practices to reduce nitrous oxide emissions and nitrate leaching, and increase soil carbon stocks. The field experiment consisted of no-till [NT], reduced [RT], and conventional tillage [CT], with and without corn residue return. After calibration and validation, using field observed data, the DNDC model was run with 108 management scenarios (six N application rates, spring single N fertilization, spring split N fertilization and fall fertilization, three tillage practices and two residue-return options). N application rate was predicted to be a significant driver for corn yield, SOC sequestration, N2O emissions and nitrate leaching, indicating the need to identify a critical N rate to both optimize production and achieve sustainability goals. Split (vs. single) N application did not significantly affect corn yield, nitrate leaching, N2O emissions or SOC, while fall fertilization should be avoided due to greater nitrate leaching and higher N2O emissions as well as lower crop yield. Although stimulating N2O emissions, both NT and residue return are recommended for their ability to enhance SOC stocks. Results of this study can be used for policy development regarding carbon sequestration and GHG emissions for intensive grain cropping systems in the humid regions of North America.</t>
  </si>
  <si>
    <t>[Jiang, Qianjing; Madramootoo, Chandra A.; Qi, Zhiming] McGill Univ, Dept Bioresource Engn, Ste Anne De Bellevue, PQ H9X 3V9, Canada</t>
  </si>
  <si>
    <t>Qi, ZM (corresponding author), McGill Univ, Dept Bioresource Engn, Ste Anne De Bellevue, PQ H9X 3V9, Canada.</t>
  </si>
  <si>
    <t>zhiming.qi@mcgill.ca</t>
  </si>
  <si>
    <t>FQRNT; CFI; Agriculture and Agri-Food Canada [AGGP2-020]; McGill University</t>
  </si>
  <si>
    <t>FQRNT(Fonds de recherche du Quebec (FRQ)Fonds de recherche du Quebec - Nature et technologies (FRQNT)); CFI(Canada Foundation for Innovation); Agriculture and Agri-Food Canada(Agriculture &amp; Agri Food Canada); McGill University(McGill University)</t>
  </si>
  <si>
    <t>We wish to thank the following agencies for funding this study: FQRNT, CFI, Agriculture and Agri-Food Canada (AGGP2-020), and McGill University for support to the James McGill Chair of Professor Chandra Madramootoo. We also wish to thank Drs. Magdalena Burgess, and Ajay Singh, and Messrs. Peter Enright, Peter Kirby, and Kenton Olliviere for helping with the field measurements and data analysis. We also thank the many undergraduate and graduate students who worked at the field site for over 20 years collecting data for their projects and theses.</t>
  </si>
  <si>
    <t>10.1016/j.fcr.2021.108421</t>
  </si>
  <si>
    <t>YG8MB</t>
  </si>
  <si>
    <t>WOS:000742734300002</t>
  </si>
  <si>
    <t>Andrés, P; Delgado, A; Doblas-Miranda, E; Berk, B</t>
  </si>
  <si>
    <t>Andres, Pilar; Delgado, Antonio; Doblas-Miranda, Enrique; Berk, Burcu</t>
  </si>
  <si>
    <t>Carbon farming, crop yield and biodiversity in mediterranean europe: the dose makes the poison?</t>
  </si>
  <si>
    <t>Soil carbon; Food production; Agrobiodiversity; Sustainable agriculture; Organic fertilization</t>
  </si>
  <si>
    <t>SOIL FUNCTIONS; CONSERVATION AGRICULTURE; ENVIRONMENTAL IMPACTS; COVER CROPS; SEQUESTRATION; INPUT; PRODUCTIVITY; METAANALYSIS; CHALLENGES; MANAGEMENT</t>
  </si>
  <si>
    <t>BackgroundEuropean agriculture causes 13% of the EU's GHG emissions, and attaining EU climate neutrality by 2050 requires both minimizing discharges and removing CO2 from the atmosphere. Carbon farming, a promising removal strategy, is often accused of reducing crop yield and of conflicting with biodiversity. Concerns about potentially negative impacts are greatest in the Mediterranean region, where climate limits net primary production.Scope.A group of experts has been discussing for two years antagonisms and synergies between carbon farming, agricultural productivity and biodiversity to advise the European Commission on the best way to implement the Union certification framework for permanent carbon removals, carbon farming and carbon storage in products. We summarize here our conclusions about opportunities and barriers for carbon farming under Mediterranean conditions. Inspired by the points raised by the expert team, we discuss the scientific bases for trade-offs between carbon farming and crop yield, we review the main obstacles for carbon farming when water is scarce, and the availability of organic amendments is restricted. We also point to the effects of spatial scale on the relationship between biodiversity and food production.BackgroundEuropean agriculture causes 13% of the EU's GHG emissions, and attaining EU climate neutrality by 2050 requires both minimizing discharges and removing CO2 from the atmosphere. Carbon farming, a promising removal strategy, is often accused of reducing crop yield and of conflicting with biodiversity. Concerns about potentially negative impacts are greatest in the Mediterranean region, where climate limits net primary production.Scope.A group of experts has been discussing for two years antagonisms and synergies between carbon farming, agricultural productivity and biodiversity to advise the European Commission on the best way to implement the Union certification framework for permanent carbon removals, carbon farming and carbon storage in products. We summarize here our conclusions about opportunities and barriers for carbon farming under Mediterranean conditions. Inspired by the points raised by the expert team, we discuss the scientific bases for trade-offs between carbon farming and crop yield, we review the main obstacles for carbon farming when water is scarce, and the availability of organic amendments is restricted. We also point to the effects of spatial scale on the relationship between biodiversity and food production.BackgroundEuropean agriculture causes 13% of the EU's GHG emissions, and attaining EU climate neutrality by 2050 requires both minimizing discharges and removing CO2 from the atmosphere. Carbon farming, a promising removal strategy, is often accused of reducing crop yield and of conflicting with biodiversity. Concerns about potentially negative impacts are greatest in the Mediterranean region, where climate limits net primary production.Scope.A group of experts has been discussing for two years antagonisms and synergies between carbon farming, agricultural productivity and biodiversity to advise the European Commission on the best way to implement the Union certification framework for permanent carbon removals, carbon farming and carbon storage in products. We summarize here our conclusions about opportunities and barriers for carbon farming under Mediterranean conditions. Inspired by the points raised by the expert team, we discuss the scientific bases for trade-offs between carbon farming and crop yield, we review the main obstacles for carbon farming when water is scarce, and the availability of organic amendments is restricted. We also point to the effects of spatial scale on the relationship between biodiversity and food production.ConclusionDespite the scarcity of concluding data, everything indicates that the sign and size of the effects of carbon farming on crop yield are highly dependent on soil and crop type and on the correct and site-tailored application of agricultural techniques. Carbon farming is knowledge-demanding, and its successful application will require fluent knowledge exchange between farmers, scientists and technicians and the development of effective decision support systems.</t>
  </si>
  <si>
    <t>[Andres, Pilar; Doblas-Miranda, Enrique; Berk, Burcu] CREAF, Campus Bellaterra UAB Edificio C, Barcelona 08193, Spain; [Delgado, Antonio] Univ Seville, Dept Agron ETSIA, Ctra Utrera Km 1, Seville 41013, Spain</t>
  </si>
  <si>
    <t>Centro de Investigacion Ecologica y Aplicaciones Forestales (CREAF-CERCA); University of Barcelona; University of Sevilla</t>
  </si>
  <si>
    <t>Andrés, P (corresponding author), CREAF, Campus Bellaterra UAB Edificio C, Barcelona 08193, Spain.</t>
  </si>
  <si>
    <t>p.andres@creaf.cat</t>
  </si>
  <si>
    <t>Doblas-Miranda, Enrique/L-5063-2014; Andrés, Pilar/AAU-1794-2021; Delgado, Antonio/A-8936-2011</t>
  </si>
  <si>
    <t>Andrés, Pilar/0000-0002-1290-1864;</t>
  </si>
  <si>
    <t>CREDIBLE project of the European Union [101112951]; Climate Fund of the Catalan Government; CRUE-CSIC agreement; Springer Nature; HORIZON EUROPE Framework Programme, CREDIBLE Project [101112951]; Generalitat de Catalunya, AgriRegenCat project</t>
  </si>
  <si>
    <t>CREDIBLE project of the European Union; Climate Fund of the Catalan Government; CRUE-CSIC agreement; Springer Nature; HORIZON EUROPE Framework Programme, CREDIBLE Project; Generalitat de Catalunya, AgriRegenCat project(Generalitat de Catalunya)</t>
  </si>
  <si>
    <t>This work was financially supported by the CREDIBLE project of the European Union (Grant agreement No 101112951) and has been informed by the deliberations of CREDIBLE focus group on How to avoid threat to food production and biodiversity and support positive synergies? to whom we owe our gratitude: Ana Marquez (SEO BirdLife), Rosa Mosquera-Losada (EU Agroforestry Federation), Andrea Casadesus (BETA, Vic Univ), Raul Zorzona (Univ Politecnica Cartagena), Ralph Rosenbaum and Robert Save (IRTA), Julia Pazmino (EcoLogic Institute), Mathieu Mal (EEB), Stefan Schrader (Thuenen-Institut), Katrina Kostic (EIT-Food), Antonio Jose Manzaneda (Univ. Jaen), Gabriel Moinet (Univ. Wageningen), Gerald Jurasinski and Iryna Raiskaya (Univ. Greifswald), Katri Salovaara (Baltic Sea Action Group), Miguel Wood (Data Dragon), Ivo Degn (Climate Farmers), Paola Alpresa, Jaime Garcia, Juan Manuel Antolin, Elena Burillo Alba and Laurent Moinet (farmers). The meta-analysis was carried out as part of the AgriRegenCat project, which is supported by the Climate Fund of the Catalan Government.Open Access funding provided thanks to the CRUE-CSIC agreement with Springer Nature. HORIZON EUROPE Framework Programme, CREDIBLE Project. Grant agreement No 101112951, and the Generalitat de Catalunya, AgriRegenCat project.</t>
  </si>
  <si>
    <t>2025 JUN 24</t>
  </si>
  <si>
    <t>10.1007/s11104-025-07636-8</t>
  </si>
  <si>
    <t>4BT5V</t>
  </si>
  <si>
    <t>WOS:001514249500001</t>
  </si>
  <si>
    <t>Radicetti, E; Campiglia, E; Langeroodi, AS; Zsembeli, J; Mendler-Drienyovszki, N; Mancinelli, R</t>
  </si>
  <si>
    <t>Radicetti, Emanuele; Campiglia, Enio; Langeroodi, Alireza Safahani; Zsembeli, Jozsef; Mendler-Drienyovszki, Nora; Mancinelli, Roberto</t>
  </si>
  <si>
    <t>Soil carbon dioxide emissions in eggplants based on cover crop residue management</t>
  </si>
  <si>
    <t>Sustainable agriculture; Hairy vetch; Oat; Oilseed rape; Soil carbon balance; Soil management; Mulching; Green manure</t>
  </si>
  <si>
    <t>GREENHOUSE-GAS EMISSIONS; LONG-TERM TILLAGE; CO2 EMISSION; NITROGEN AVAILABILITY; MINERALIZATION; STORAGE; SEQUESTRATION; FERTILIZATION; IRRIGATION; FORAGES</t>
  </si>
  <si>
    <t>In this study, cover crop residue management as a strategy to identify agricultural practices suitable for increasing soil carbon (C) storage and contributing to the mitigation of CO(2)in a cover crop-eggplant sequence was evaluated. The treatments applied were: (a) four winter managements [three cover crops (hairy vetch, oat and oilseed rape) and a bare soil]; and (b) three residue managements [residues incorporated into the soil at a depth of 0.3 m as deep tillage (DT), residues incorporated into the soil at a depth of 0.1 m as shallow tillage (ST), and residues left on soil surface (RS)]. Eggplant biomass and C content, soil CO(2)flux, soil temperature and moisture were measured. Hairy vetch under DT showed the highest emission rate during the eggplant cultivation. At eggplant harvest time, CO2-C emissions were high in hairy vetch, intermediate in oat and oilseed rape, and low in bare soil (5.4, 4.2 and 3.3 Mg ha(-1), respectively). Among residue managements, CO2-C emissions were higher in ST and DT than in RS (4.5 vs. 3.7 Mg ha(-1), respectively). Despite contributing to the highest soil CO(2)flux, the decomposition of hairy vetch residues supports the production of eggplant crop, as it is shown by the carbon input/output ratio, especially under RS conditions representing a temporary sink of CO2-C. As a system, hairy vetch RS is the most productively sustainable because it is simultaneously yielding the high eggplant crop biomass and retaining C residues in the soil.</t>
  </si>
  <si>
    <t>[Radicetti, Emanuele; Campiglia, Enio; Mancinelli, Roberto] Univ Tuscia, Dept Agr &amp; Forestry Sci, Via S Camillo de Lellis Snc, I-01100 Viterbo, Italy; [Langeroodi, Alireza Safahani] Payane Noor Univ, Dept Agron, Tehran, Iran; [Zsembeli, Jozsef] Univ Debrecen, Inst Agr Res, Res Inst Karcag, Kisujszallasi Ut 166, H-5300 Karcag, Hungary; [Zsembeli, Jozsef] Univ Debrecen, Inst Educ Farm, Res Inst Karcag, Kisujszallasi Ut 166, H-5300 Karcag, Hungary; [Mendler-Drienyovszki, Nora] Univ Debrecen, Inst Agr Res, Res Inst Nyiregyhaza, Westsik V U 4-6, H-4400 Nyiregyhaza, Hungary; [Mendler-Drienyovszki, Nora] Univ Debrecen, Inst Educ Farm, Res Inst Nyiregyhaza, Westsik V U 4-6, H-4400 Nyiregyhaza, Hungary</t>
  </si>
  <si>
    <t>Tuscia University; University of Debrecen; University of Debrecen; University of Debrecen; University of Debrecen</t>
  </si>
  <si>
    <t>Radicetti, E (corresponding author), Univ Tuscia, Dept Agr &amp; Forestry Sci, Via S Camillo de Lellis Snc, I-01100 Viterbo, Italy.</t>
  </si>
  <si>
    <t>radicetti@unitus.it</t>
  </si>
  <si>
    <t>Campiglia, Enio/AAC-6044-2020; Safahani, Ali reza/ABF-4619-2021; Mancinelli, Roberto/K-6427-2014; Zsembeli, Jozsef/HTM-5984-2023; Radicetti, Emanuele/O-4326-2019</t>
  </si>
  <si>
    <t>Mancinelli, Roberto/0000-0002-8396-6307; Radicetti, Emanuele/0000-0001-8654-3177;</t>
  </si>
  <si>
    <t>10.1007/s10705-020-10081-x</t>
  </si>
  <si>
    <t>MT1JO</t>
  </si>
  <si>
    <t>WOS:000544875200001</t>
  </si>
  <si>
    <t>Velázquez, E; Martínez-Jaraíz, C; Wheeler, C; Mitchard, ETA; Bravo, F</t>
  </si>
  <si>
    <t>Velazquez, Eduardo; Martinez-Jaraiz, Carolina; Wheeler, Charlotte; Mitchard, Edward T. A.; Bravo, Felipe</t>
  </si>
  <si>
    <t>Forest expansion in abandoned agricultural lands has limited effect to offset carbon emissions from Central-North Spain</t>
  </si>
  <si>
    <t>Ecological succession; Allometric equations; Above-ground carbon; Below-ground carbon; SAR backscatter; Regression</t>
  </si>
  <si>
    <t>BIOMASS ESTIMATION; SEQUESTRATION; DRIVERS; DROUGHT; IMAGERY; STOCKS</t>
  </si>
  <si>
    <t>We assessed the process of carbon (C) accumulation as a consequence of forest expansion in abandoned agricultural lands over the period 1977-2017 in a vast (9.4 million ha) area of Mediterranean continental environment in Central-North Spain. We achieved this objective, through obtaining AGC and BGC estimations based on direct field measurements taken in 30 plots (25 m x 25 m), and extrapolating to the landscape using Synthetic Aperture Radar (SAR) satellite data from 2018. Using aerial photographs and forest maps, we found that 145,193 ha of agricultural land in 1957 (1.54% of the study regions' total area) has since then regenerated naturally to forests and woodlands. Although mean AGC and BGC densities were modest (i.e. 18.04 and 6.78 Mg C ha(-1)), they reached relatively large maximum values (i.e. 60 and 21 Mg C ha(-1)). The BGC stock was also very large, representing 37.3% of the total C stock (10 Tg) accumulated. However, we detected a mean annual C sink of 0.25 Tg C center dot year(-1) which barely offset 1.22% of the total regional CO2 emissions. Our findings point to a smaller sequestration potential under Mediterranean continental than under temperate-cold conditions. Nonetheless, the area affected by this process could be larger than detected and many of the recovering lands might have not still reached their C uptake peak. If such lands are to be used to store C, we strongly advocate for the application of active forest management measures to increase their CO2 sequestration potential.</t>
  </si>
  <si>
    <t>[Velazquez, Eduardo; Bravo, Felipe] Univ Valladolid, Inst Univ Gest Forestal Sostenible, Avda Madrid 44, Palencia 34004, Spain; [Velazquez, Eduardo; Bravo, Felipe] Univ Valladolid, Escuela Ingn Agr, Palencia, Spain; [Martinez-Jaraiz, Carolina] Stipa &amp; Azeral SL, Cuenca, Spain; [Wheeler, Charlotte; Mitchard, Edward T. A.] Univ Edinburgh, Sch Geosci, Edinburgh, Midlothian, Scotland</t>
  </si>
  <si>
    <t>Universidad de Valladolid; Universidad de Valladolid; University of Edinburgh</t>
  </si>
  <si>
    <t>Velázquez, E (corresponding author), Univ Valladolid, Inst Univ Gest Forestal Sostenible, Avda Madrid 44, Palencia 34004, Spain.;Velázquez, E (corresponding author), Univ Valladolid, Escuela Ingn Agr, Palencia, Spain.</t>
  </si>
  <si>
    <t>eduardo.velazquez@forest.uva.es; camartinezja@gmail.com; cwheeler@ed.ac.uk; edward.mitchard@ed.ac.uk; fbravo@pvs.uva.es</t>
  </si>
  <si>
    <t>; Mitchard, Edward/C-6346-2009; Bravo, Felipe/C-5073-2009</t>
  </si>
  <si>
    <t>Martínez Jaraiz, Carolina/0009-0008-2269-3991; Bravo, Felipe/0000-0001-7348-6695; Velázquez, Eduardo/0000-0002-7651-7191</t>
  </si>
  <si>
    <t>CRUE-CSIC agreement; Springer Nature; European Commission through the project CASE-CO2 (H2020-MSCA-IF-2017) [799885]; Marie Curie Actions (MSCA) [799885] Funding Source: Marie Curie Actions (MSCA)</t>
  </si>
  <si>
    <t>CRUE-CSIC agreement; Springer Nature; European Commission through the project CASE-CO2 (H2020-MSCA-IF-2017); Marie Curie Actions (MSCA)(Marie Curie Actions)</t>
  </si>
  <si>
    <t>Open Access funding provided thanks to the CRUE-CSIC agreement with Springer Nature. This study has been funded by the European Commission through the project CASE-CO2 (H2020-MSCA-IF-2017, DLV; 799885).</t>
  </si>
  <si>
    <t>10.1007/s10113-022-01978-0</t>
  </si>
  <si>
    <t>6F8BP</t>
  </si>
  <si>
    <t>WOS:000884283100001</t>
  </si>
  <si>
    <t>Zhang, P; Xu, HB; Hu, ZC; Chen, YQ; Cao, MZ; Yu, ZY; Mao, ER</t>
  </si>
  <si>
    <t>Zhang, Peng; Xu, Hongbo; Hu, Zhichao; Chen, Youqing; Cao, Mingzhu; Yu, Zhaoyang; Mao, Enrong</t>
  </si>
  <si>
    <t>Characteristics of Agricultural Dust Emissions from Harvesting Operations: Case Study of a Whole-Feed Peanut Combine</t>
  </si>
  <si>
    <t>agricultural field; peanut harvesting; particulate matter; air quality; dust emission</t>
  </si>
  <si>
    <t>PARTICLE-SIZE; CHINA; PM2.5; EXPOSURE; IMPACT; RISK</t>
  </si>
  <si>
    <t>The rapid development of peanut mechanization has increased the amount of dust expelled from peanut mechanized operations, which degrades the air quality and endangers the health of agricultural workers. Therefore, the purpose of this study is to figure out the characteristics of dust emission from mechanized peanut harvesting. To this end, the particulate matters of diameters &amp; LE; 2.5 mu m and &amp; LE;10 mu m and the total suspended particles were sampled in real time during peanut harvesting in Henan Province, China, and the airborne particle concentrations and particle size distributions were measured. The dust particles discharged during the mechanized peanut harvesting were concentrated within the 2~30 mu m size range. When the wind speed was reduced below the settling velocity of the largest particles, the more massive particles were carried in the downwind. The amount of free silica in the dust samples was determined by X-ray diffraction analysis. Both the total dust and free silica concentrations exceeded the occupational exposure and threshold limits. To improve the characteristics of dust emission, the microstructure and dispersion of the dust were also investigated. Reducing the agricultural operations during periods of high wind speed, low crop-moisture content, and low air humidity is recommended for reducing the dust exposure of workers. The results will provide guidance and technical support for reducing the dust emissions of mechanized harvesting operations, improving air quality, and reducing the health hazards to operators.</t>
  </si>
  <si>
    <t>[Zhang, Peng; Hu, Zhichao; Chen, Youqing; Cao, Mingzhu; Yu, Zhaoyang] Minist Agr &amp; Rural Affairs, Nanjing Inst Agr Mech, Nanjing 210014, Peoples R China; [Xu, Hongbo] Minist Agr &amp; Rural Affairs, Key Lab Modern Agr Equipment, Nanjing 210014, Peoples R China; [Xu, Hongbo; Mao, Enrong] China Agr Univ, Coll Engn, Beijing 100083, Peoples R China</t>
  </si>
  <si>
    <t>Chinese Academy of Agricultural Sciences; Nanjing Institute of Agricultural Mechanization, CAAS; China Agricultural University</t>
  </si>
  <si>
    <t>Hu, ZC (corresponding author), Minist Agr &amp; Rural Affairs, Nanjing Inst Agr Mech, Nanjing 210014, Peoples R China.;Xu, HB (corresponding author), Minist Agr &amp; Rural Affairs, Key Lab Modern Agr Equipment, Nanjing 210014, Peoples R China.;Xu, HB (corresponding author), China Agr Univ, Coll Engn, Beijing 100083, Peoples R China.</t>
  </si>
  <si>
    <t>xuhongbo@caas.cn; huzhichao@caas.cn</t>
  </si>
  <si>
    <t>Zhang, Peng/GXM-5269-2022</t>
  </si>
  <si>
    <t>Zhang, Peng/0000-0001-8016-5777</t>
  </si>
  <si>
    <t>Natural Science Foundation of Jiangsu Province [BK20190140]; Central Public-interest Scientific Institution Basal Research Fund [S202018, S202011-01]</t>
  </si>
  <si>
    <t>Natural Science Foundation of Jiangsu Province(Natural Science Foundation of Jiangsu Province); Central Public-interest Scientific Institution Basal Research Fund</t>
  </si>
  <si>
    <t>FundingThis research was funded was funded by The Natural Science Foundation of Jiangsu Province (Grant No. BK20190140), and the Central Public-interest Scientific Institution Basal Research Fund (Grant No. S202018 and S202011-01).</t>
  </si>
  <si>
    <t>10.3390/agriculture11111068</t>
  </si>
  <si>
    <t>XH2TA</t>
  </si>
  <si>
    <t>WOS:000725292100001</t>
  </si>
  <si>
    <t>Li, SL; Ma, Q; Zhou, CR; Yu, WT; Shangguan, ZP</t>
  </si>
  <si>
    <t>Li, Shuailin; Ma, Qiang; Zhou, Changrui; Yu, Wantai; Shangguan, Zhouping</t>
  </si>
  <si>
    <t>Applying biochar under topsoil facilitates soil carbon sequestration: A case study in a dryland agricultural system on the Loess Plateau</t>
  </si>
  <si>
    <t>Biochar application depth; Soil respiration; Methane uptake; Metabolic quotient (qCO(2)); Temperature sensitivity (Q(10))</t>
  </si>
  <si>
    <t>GREENHOUSE-GAS EMISSIONS; TEMPERATURE SENSITIVITY; MICROBIAL BIOMASS; ORGANIC-MATTER; HYDRAULIC CONDUCTIVITY; DIFFERENT STABILITIES; CO2 EFFLUX; DECOMPOSITION; RESPIRATION; NITROGEN</t>
  </si>
  <si>
    <t>The remarkable soil carbon sequestration and greenhouse gas mitigation effects of biochar have spurred great interest in exploring ways to maximize its benefits. However, it remains unclear how biochar application depth impacts soil carbon dioxide (CO2) emissions and methane (CH4) uptake in upland soil. Therefore, we carried out a 16-month field experiment in a dryland agricultural system to answer the above questions. Woody biochar (20 t ha(-1)) was mixed into three soil layers: 0-10 cm (BC0-10cm)(,) 10-20 cm (BC10-20cm), and 0-20 cm (BC0-20cm). Soil without biochar addition was used as the control (CK). We monitored soil CO2 and CH4 fluxes continuously and determined the metabolic quotient (qCO(2)) and the sensitivity of soil respiration to temperature (Q(10)). The results indicated that CO2 emissions, CH4 uptake, qCO(2) and Q(10) were significantly affected by biochar application depth. Overall, compared with CK, BC0-10cm increased total CO2 emissions by 10.13%, while BC10-20cm and BC0-20cm showed no significant effect. BC0-10cm and BC0-20cm exhibited greater soil CH4 uptake enhancement than BC10-20cm, but the enhanced CH4 uptake resulted in limited net greenhouse gas mitigation. BC10-20cm and BC0-20cm had a lower qCO(2) than the other treatments, which likely increased the carbon use efficiency and decreased the stress on soil microbes, but BC0-10cm showed the opposite effect. In addition, BC0-10cm significantly reduced Q(10) mainly due to the enhanced lability of the native carbon and microbial activities. Changes in environmental factors in the 0-10 cm soil largely explained the variations in CO2 emissions, CH4 uptake and Q(10) (&gt;88%). Nevertheless, the enhanced microbial biomass in the 10-20 cm soil helped lower qCO(2) in the whole 0-20 cm layer. In summary, adding biochar to surface soil (0-10 cm) likely accelerates carbon loss, due to the strong shift in the environment of the surface soil caused by complex interactions among hydrothermal conditions, nutrient levels (i.e., N, NH4+, NO3 and available P) and labile carbon. However, adding biochar to subsurface soil (10-20 cm) can effectively avoid severe disturbance of the surface soil environment and thus benefit soil carbon sequestration in the long term.</t>
  </si>
  <si>
    <t>[Li, Shuailin; Ma, Qiang; Zhou, Changrui; Yu, Wantai] Chinese Acad Sci, Inst Appl Ecol, Shenyang 110016, Peoples R China; [Li, Shuailin; Shangguan, Zhouping] Chinese Acad Sci &amp; Minist Water Resources, State Key Lab Soil Eros &amp; Dryland Farming Loess P, Inst Soil &amp; Water Conservat, Xian 712100, Shaanxi, Peoples R China; [Zhou, Changrui] Univ Chinese Acad Sci, Beijing 100049, Peoples R China</t>
  </si>
  <si>
    <t>Chinese Academy of Sciences; Shenyang Institute of Applied Ecology, CAS; Chinese Academy of Sciences; Institute of Soil &amp; Water Conservation (ISWC), CAS; Ministry of Water Resources; Chinese Academy of Sciences; University of Chinese Academy of Sciences, CAS</t>
  </si>
  <si>
    <t>Yu, WT (corresponding author), Chinese Acad Sci, Inst Appl Ecol, Shenyang 110016, Peoples R China.;Shangguan, ZP (corresponding author), Chinese Acad Sci &amp; Minist Water Resources, State Key Lab Soil Eros &amp; Dryland Farming Loess P, Inst Soil &amp; Water Conservat, Xian 712100, Shaanxi, Peoples R China.</t>
  </si>
  <si>
    <t>wtyu@iac.cn; shangguan@ms-iswc.ac.cn</t>
  </si>
  <si>
    <t>ma, qiang/HCI-1013-2022</t>
  </si>
  <si>
    <t>Li, Shuailin/0000-0001-9743-2915</t>
  </si>
  <si>
    <t>National Natural Science Foundation of China [42077452, 32001212]</t>
  </si>
  <si>
    <t>This work was supported by the National Natural Science Foundation of China (42077452, 32001212).</t>
  </si>
  <si>
    <t>10.1016/j.geoderma.2021.115186</t>
  </si>
  <si>
    <t>TG7PE</t>
  </si>
  <si>
    <t>WOS:000671591200004</t>
  </si>
  <si>
    <t>Yang, YH; Ti, JS; Zou, J; Wu, Y; Rees, RM; Harrison, MT; Li, WX; Huang, WH; Hu, SY; Liu, K; Wen, XY; Chen, F; Yin, XG</t>
  </si>
  <si>
    <t>Yang, Yuhao; Ti, Jinsong; Zou, Jun; Wu, Yao; Rees, Robert M.; Harrison, Matthew Tom; Li, Wenxin; Huang, Wenhai; Hu, Suya; Liu, Ke; Wen, Xinya; Chen, Fu; Yin, Xiaogang</t>
  </si>
  <si>
    <t>Optimizing crop rotation increases soil carbon and reduces GHG emissions without sacrificing yields</t>
  </si>
  <si>
    <t>SOC; N2O; GHG emissions; Carbon footprint; Crop rotations; Irrigation</t>
  </si>
  <si>
    <t>EXAMINE PHYSIOLOGICAL-CHANGES; GREENHOUSE-GAS EMISSIONS; WINTER-WHEAT; MATHEMATICAL FRAMEWORK; CLIMATE-CHANGE; GRAIN-YIELD; ROOT-GROWTH; SYSTEMS; TILLAGE; IRRIGATION</t>
  </si>
  <si>
    <t>Enhancing soil organic carbon (SOC) while concurrently reducing greenhouse gas (GHG) emissions and without compromising yield is a contemporary challenge for many agricultural sectors across the globe. In China, resolving the carbon-food nexus is a key pillar of government policies aimed at constraining Carbon Peak and delivering Carbon Neutrality. The present study explores the potential to increase SOC stocks while reducing GHGs emissions, without sacrificing crop yields considering crop rotation optimization under different irrigation managements in the North China Plain (NCP) based on a 6-year experiment. We found higher crop yields for the irrigated treatments compared with the rainfed treatments, demonstrating that rainfed crops were constrained by water deficit stress in the region. Yield was highest in the winter wheat-summer maize rotation (WM), followed by yields of the winter wheat-summer soybean (WS), while the average yields of winter wheat-summer maize -spring maize (WMMs) were lowest. SOC stocks in the surface soil (0-20 cm) increased for the irrigated treat-ments, but soil carbon sequestration (i.e. the rate of SOC stocks change over time) for the rainfed treatments decreased for all treatments. SOC stocks for WMMs was greatest of all treatments, leading to the highest carbon sustainability index (CSI) for this treatment. Nitrous oxide (N2O) emissions were 23-57% higher in the irrigated treatments than the rainfed treatments for the three rotations, which was highest in WMMs and lowest in WS. Carbon footprints (CFs) were highest in WS and lowest in WMMs. Overall, we found that increasing SOC stocks reduced CFs and increased yield. WMMs with irrigation was the most effective treatment for promoting SOC sequestration and mitigating GHG emissions with relatively high yield in this study, suggesting that crop rota-tions that are (1) more intensive and (2) grow more aboveground biomass are more likely to promulgate lower CFs and contribute towards national emissions abatement targets, such as those aimed at Net Zero.</t>
  </si>
  <si>
    <t>[Yang, Yuhao; Zou, Jun; Wu, Yao; Li, Wenxin; Huang, Wenhai; Hu, Suya; Wen, Xinya; Chen, Fu; Yin, Xiaogang] China Agr Univ, Coll Agron &amp; Biotechnol, Beijing 100193, Peoples R China; [Ti, Jinsong] Henan Agr Univ, Coll Tobacco Sci, Zhengzhou 450002, Peoples R China; [Rees, Robert M.] SRUC, West Mains Rd, Edinburgh EH9 3JG, Scotland; [Harrison, Matthew Tom; Liu, Ke] Univ Tasmania, Tasmanian Inst Agr, Newnham Dr, Launceston, Tas 7250, Australia</t>
  </si>
  <si>
    <t>China Agricultural University; Henan Agricultural University; University of Tasmania</t>
  </si>
  <si>
    <t>Yin, XG (corresponding author), China Agr Univ, Coll Agron &amp; Biotechnol, Beijing 100193, Peoples R China.</t>
  </si>
  <si>
    <t>xiaogangyin@cau.edu.cn</t>
  </si>
  <si>
    <t>Yin, Xiaogang/ACJ-5019-2022; Zou, Jun/KYQ-8156-2024; Harrison, Matthew/C-2434-2014; Rees, Robert/L-8103-2013; Liu, Ke/ABC-5398-2021</t>
  </si>
  <si>
    <t>Ti, Jinsong/0000-0003-0293-3667; Liu, Ke/0000-0002-8343-0449</t>
  </si>
  <si>
    <t>Young Talent Promotion Project of China Association for Science and Technology [2019QNRC001]; National Key Research and Development Program of China [2016YFD0300201]; National Natural Science Foundation of China [32071979]</t>
  </si>
  <si>
    <t>Young Talent Promotion Project of China Association for Science and Technology; National Key Research and Development Program of China(National Key Research &amp; Development Program of China); National Natural Science Foundation of China(National Natural Science Foundation of China (NSFC))</t>
  </si>
  <si>
    <t>This research was supported by the Young Talent Promotion Project of China Association for Science and Technology (2019QNRC001) , the National Key Research and Development Program of China (2016YFD0300201) , and the National Natural Science Foundation of China (32071979).</t>
  </si>
  <si>
    <t>10.1016/j.agee.2022.108220</t>
  </si>
  <si>
    <t>5Y3QG</t>
  </si>
  <si>
    <t>WOS:000879199000005</t>
  </si>
  <si>
    <t>Yu, Z; Lu, CQ; Tian, HQ; Canadell, JG</t>
  </si>
  <si>
    <t>Yu, Zhen; Lu, Chaoqun; Tian, Hanqin; Canadell, Josep G.</t>
  </si>
  <si>
    <t>Largely underestimated carbon emission from land use and land cover change in the conterminous United States</t>
  </si>
  <si>
    <t>carbon fluxes; conterminous United States; cropland abandonment; cropland expansion; forest recovery; land use and land cover change</t>
  </si>
  <si>
    <t>USE TRANSITIONS; CLIMATE-CHANGE; WOOD-HARVEST; CO2; DYNAMICS; CONSEQUENCES; HISTORY; TRENDS; SOILS; FLUX</t>
  </si>
  <si>
    <t>Carbon (C) emission and uptake due to land use and land cover change (LULCC) are the most uncertain term in the global carbon budget primarily due to limited LULCC data and inadequate model capability (e.g., underrepresented agricultural managements). We take the commonly used FAOSTAT-based global Land Use Harmonization data (LUH2) and a new high-resolution multisource harmonized national LULCC database (YLmap) to drive a land ecosystem model (DLEM) in the conterminous United States. We found that recent cropland abandonment and forest recovery may have been overestimated in the LUH2 data derived from national statistics, causing previously reported C emissions from land use have been underestimated due to the definition of cropland and aggregated LULCC signals at coarse resolution. This overestimation leads to a strong C sink (30.3 +/- 2.5 Tg C/year) in model simulations driven by LUH2 in the United States during the 1980-2016 period, while we find a moderate C source (13.6 +/- 3.5 Tg C/year) when using YLmap. This divergence implies that previous C budget analyses based on the global LUH2 dataset have underestimated C emission in the United States owing to the delineation of suitable cropland and aggregated land conversion signals at coarse resolution which YLmap overcomes. Thus, to obtain more accurate quantification of LULCC-induced C emission and better serve global C budget accounting, it is urgently needed to develop fine-scale country-specific LULCC data to characterize the details of land conversion.</t>
  </si>
  <si>
    <t>[Yu, Zhen; Lu, Chaoqun] Iowa State Univ, Dept Ecol Evolut &amp; Organismal Biol, Ames, IA 50011 USA; [Yu, Zhen] Nanjing Univ Informat Sci &amp; Technol, Sch Appl Meteorol, Nanjing, Jiangsu, Peoples R China; [Tian, Hanqin] Auburn Univ, Int Ctr Climate &amp; Global Change Res, Auburn, AL 36849 USA; [Tian, Hanqin] Auburn Univ, Sch Forestry &amp; Wildlife Sci, Auburn, AL 36849 USA; [Canadell, Josep G.] CSIRO Oceans &amp; Atmosphere, Canberra, ACT, Australia</t>
  </si>
  <si>
    <t>Iowa State University; Nanjing University of Information Science &amp; Technology; Auburn University System; Auburn University; Auburn University System; Auburn University; Commonwealth Scientific &amp; Industrial Research Organisation (CSIRO); CSIRO Oceans &amp; Atmosphere</t>
  </si>
  <si>
    <t>Lu, CQ (corresponding author), Iowa State Univ, Dept Ecol Evolut &amp; Organismal Biol, Ames, IA 50011 USA.</t>
  </si>
  <si>
    <t>clu@iastate.edu</t>
  </si>
  <si>
    <t>; Tian, Hanqin/A-6484-2012; yu, zhen/AAG-9159-2019; Canadell, Josep G/E-9419-2010; Canadell, Josep/E-9419-2010; Lu, Chaoqun/HCH-9102-2022</t>
  </si>
  <si>
    <t>Yu, Zhen/0000-0002-7729-249X; Lu, Chaoqun/0000-0002-1526-0513; Tian, Hanqin/0000-0002-1806-4091; Canadell, Josep G/0000-0002-8788-3218;</t>
  </si>
  <si>
    <t>National Science Foundation [1903722, 1802745]; Iowa State University Postdoctoral Seed Grant Award; Iowa State University; Division Of Environmental Biology; Direct For Biological Sciences [1802745] Funding Source: National Science Foundation</t>
  </si>
  <si>
    <t>National Science Foundation(National Science Foundation (NSF)); Iowa State University Postdoctoral Seed Grant Award; Iowa State University; Division Of Environmental Biology; Direct For Biological Sciences(National Science Foundation (NSF)NSF - Directorate for Biological Sciences (BIO))</t>
  </si>
  <si>
    <t>National Science Foundation, Grant/Award Number: 1903722, 1802745; Iowa State University Postdoctoral Seed Grant Award; New faculty start-up fund from Iowa State University</t>
  </si>
  <si>
    <t>10.1111/gcb.14768</t>
  </si>
  <si>
    <t>AUG 2019</t>
  </si>
  <si>
    <t>JC3JG</t>
  </si>
  <si>
    <t>WOS:000480866100001</t>
  </si>
  <si>
    <t>Qin, ZC; Zhuang, QL; Zhu, XD</t>
  </si>
  <si>
    <t>Qin, Zhangcai; Zhuang, Qianlai; Zhu, Xudong</t>
  </si>
  <si>
    <t>Carbon and nitrogen dynamics in bioenergy ecosystems: 2. Potential greenhouse gas emissions and global warming intensity in the conterminous United States</t>
  </si>
  <si>
    <t>biofuel; carbon balance; global warming potential; maize; Miscanthus; modeling; nitrous oxide; switchgrass</t>
  </si>
  <si>
    <t>NET PRIMARY PRODUCTIVITY; OXIDE EMISSIONS; SWITCHGRASS PRODUCTION; AGRICULTURAL LANDS; BIOMASS PRODUCTION; SOIL; MISCANTHUS; BIOFUELS; CORN; ENERGY</t>
  </si>
  <si>
    <t>This study estimated the potential emissions of greenhouse gases (GHG) from bioenergy ecosystems with a biogeochemical model AgTEM, assuming maize (Zea mays L.), switchgrass (Panicum virgatum L.), and Miscanthus (Miscanthusxgiganteus) will be grown on the current maize-producing areas in the conterminous United States. We found that the maize ecosystem acts as a mild net carbon source while cellulosic ecosystems (i.e., switchgrass and Miscanthus) act as mild sinks. Nitrogen fertilizer use is an important factor affecting biomass production and N2O emissions, especially in the maize ecosystem. To maintain high biomass productivity, the maize ecosystem emits much more GHG, including CO2 and N2O, than switchgrass and Miscanthus ecosystems, when high-rate nitrogen fertilizers are applied. For maize, the global warming potential (GWP) amounts to 1-2Mg CO(2)eqha(-1)yr(-1), with a dominant contribution of over 90% from N2O emissions. Cellulosic crops contribute to the GWP of less than 0.3Mg CO(2)eqha(-1)yr(-1). Among all three bioenergy crops, Miscanthus is the most biofuel productive and the least GHG intensive at a given cropland. Regional model simulations suggested that substituting Miscanthus for maize to produce biofuel could potentially save land and reduce GHG emissions.</t>
  </si>
  <si>
    <t>[Qin, Zhangcai; Zhuang, Qianlai; Zhu, Xudong] Purdue Univ, Dept Earth Atmospher &amp; Planetary Sci, W Lafayette, IN 47907 USA; [Zhuang, Qianlai] Purdue Univ, Dept Agron, W Lafayette, IN 47907 USA</t>
  </si>
  <si>
    <t>Purdue University System; Purdue University; Purdue University System; Purdue University</t>
  </si>
  <si>
    <t>Qin, ZC (corresponding author), Purdue Univ, Dept Earth Atmospher &amp; Planetary Sci, 550 Stadium Mall Dr, W Lafayette, IN 47907 USA.</t>
  </si>
  <si>
    <t>qin9@purdue.edu</t>
  </si>
  <si>
    <t>Qin, Zhangcai/ADO-1115-2022; Zhu, Xudong/K-6206-2012; Zhuang, Qianlai/A-5670-2009</t>
  </si>
  <si>
    <t>Zhu, Xudong/0000-0002-0324-9042; QIN, ZHANGCAI/0000-0001-9414-4854</t>
  </si>
  <si>
    <t>NASA [NASA-NNX09AI26G]; Department of Energy [DE-FG02-08ER64599]; NSF Division of Information &amp; Intelligent Systems [NSF-1028291]; NSF Carbon and Water in the Earth Program [NSF-0630319]; Div Of Information &amp; Intelligent Systems; Direct For Computer &amp; Info Scie &amp; Enginr [1028291] Funding Source: National Science Foundation</t>
  </si>
  <si>
    <t>NASA(National Aeronautics &amp; Space Administration (NASA)); Department of Energy(United States Department of Energy (DOE)); NSF Division of Information &amp; Intelligent Systems; NSF Carbon and Water in the Earth Program; Div Of Information &amp; Intelligent Systems; Direct For Computer &amp; Info Scie &amp; Enginr(National Science Foundation (NSF)NSF - Directorate for Computer &amp; Information Science &amp; Engineering (CISE)NSF - Division of Information &amp; Intelligent Systems (IIS))</t>
  </si>
  <si>
    <t>The authors thank Dr. Wen Sun and Ms. Jayne Piepenburg for proofreading the manuscript. The authors are also thankful to anonymous reviewers for their valuable and constructive comments, which have led to a significant improvement to the manuscript. Computing is supported by Rosen Center for Advanced Computing (RCAC) at Purdue University. This study is supported through projects funded by the NASA Land Use and Land Cover Change program (NASA-NNX09AI26G), Department of Energy (DE-FG02-08ER64599), the NSF Division of Information &amp; Intelligent Systems (NSF-1028291), and the NSF Carbon and Water in the Earth Program (NSF-0630319).</t>
  </si>
  <si>
    <t>10.1111/gcbb.12106</t>
  </si>
  <si>
    <t>AX1SN</t>
  </si>
  <si>
    <t>WOS:000346726500003</t>
  </si>
  <si>
    <t>Morales, MM; Tonini, H; Behling, M; Hoshide, AK</t>
  </si>
  <si>
    <t>Morales, Marina Moura; Tonini, Helio; Behling, Maurel; Hoshide, Aaron Kinyu</t>
  </si>
  <si>
    <t>Eucalyptus Carbon Stock Research in an Integrated Livestock-Forestry System in Brazil</t>
  </si>
  <si>
    <t>carbon mitigation; carbon sequestration; carbon storage; climate change</t>
  </si>
  <si>
    <t>MINAS-GERAIS; MATO-GROSSO; PASTURE; BIOMASS; CROP; PLANTATION; BEHAVIOR; REGION; TREES; SOIL</t>
  </si>
  <si>
    <t>Eucalyptus plantations play an important role in capturing and storing atmospheric carbon, mitigating global climate change. Forest management policies encouraging integrated livestock-forestry systems require quantitative estimates of temporal and spatial patterns of carbon storage for these agricultural systems. This study quantified the effects of eucalyptus management and arrangement on carbon stock dynamics in integrated livestock-forestry (ILF) systems versus monoculture eucalyptus plantings. Arrangement and management resulted in equal storage of carbon in both monoculture and ILF systems (34.7 kg per tree). Both factors are important to better understand how forest species in integrated systems stock carbon and how this can compensate for other agricultural system components, such as cattle. The extent to which ILF systems offset beef cattle (Nellore) emissions was determined by estimating changes in carbon stock over time for Eucalyptus urophylla x E. grandis, clone H13, under three scenarios (S) of wood use. These scenarios were (S1) tree growth without thinning, (S2) trees used for biomass energy without thinning, and (S3) 50% of trees used for biomass energy at five years old and 50% of trees used for both timber and energy after eight years, considering the full life cycle of eucalyptus. The S1 and S3 systems can stock 510 and 73 metric tons (t) of CO2 ha(-1), respectively, while S2 emits 115 t CO2 ha(-1) of biogenic carbon.</t>
  </si>
  <si>
    <t>[Morales, Marina Moura] Embrapa Florestas, Estr Ribeira,Km 111,Caixa Posta 319, BR-83411000 Colombo, PR, Brazil; [Tonini, Helio] Embrapa Pecuaria Sul, Rodovia BR-153,Km 632-9 Vila Ind,Caixa Postal 242, BR-96401970 Bage, RS, Brazil; [Behling, Maurel] Embrapa Agrosilvopastoral, Rodovia Pioneiros MT-222,Km 2-5, Zona Rural Caixa, BR-78550970 Sinop, MT, Brazil; [Hoshide, Aaron Kinyu] Univ Maine, Coll Nat Sci Forestry &amp; Agr, Orono, ME 04469 USA; [Hoshide, Aaron Kinyu] Univ Fed Mato Grosso, Agrisci, Caixa Postal 729, BR-78550970 Sinop, MT, Brazil</t>
  </si>
  <si>
    <t>Empresa Brasileira de Pesquisa Agropecuaria (EMBRAPA); EMBRAPA Florestas; Empresa Brasileira de Pesquisa Agropecuaria (EMBRAPA); Empresa Brasileira de Pesquisa Agropecuaria (EMBRAPA); University of Maine System; University of Maine Orono; Universidade Federal de Mato Grosso</t>
  </si>
  <si>
    <t>Morales, MM (corresponding author), Embrapa Florestas, Estr Ribeira,Km 111,Caixa Posta 319, BR-83411000 Colombo, PR, Brazil.</t>
  </si>
  <si>
    <t>marina.morales@embrapa.br</t>
  </si>
  <si>
    <t>Hoshide, Aaron/Q-4003-2018; Hoshide, Aaron K/Q-4003-2018; Behling, Maurel/B-8276-2014; Behling, Maurel/B-8276-2014</t>
  </si>
  <si>
    <t>Hoshide, Aaron K/0000-0001-6222-2475; Behling, Maurel/0000-0002-4191-5915; Behling, Maurel/0000-0002-4191-5915; Moura Morales, Marina/0000-0001-9125-7239</t>
  </si>
  <si>
    <t>FAPEMAT; CNPq; Capes and Embrapa</t>
  </si>
  <si>
    <t>FAPEMAT(Fundacao de Amparo a Pesquisa do Estado de Mato Grosso (FAPEMAT)); CNPq(Conselho Nacional de Desenvolvimento Cientifico e Tecnologico (CNPQ)); Capes and Embrapa</t>
  </si>
  <si>
    <t>FAPEMAT: CNPq: Capes and Embrapa.</t>
  </si>
  <si>
    <t>10.3390/su15107750</t>
  </si>
  <si>
    <t>H6SP3</t>
  </si>
  <si>
    <t>WOS:000997240700001</t>
  </si>
  <si>
    <t>Sándor, R; Ehrhardt, F; Grace, P; Recous, S; Smith, P; Snow, V; Soussana, JF; Basso, B; Bhatia, A; Brilli, L; Doltra, J; Dorich, CD; Doro, L; Fitton, N; Grant, B; Harrison, MT; Kirschbaum, MUF; Klumpp, K; Laville, P; Léonard, J; Martin, R; Massad, RS; Moore, A; Myrgiotis, V; Pattey, E; Rolinski, S; Sharp, J; Skiba, U; Smith, W; Wu, LH; Zhang, Q; Bellocchi, G</t>
  </si>
  <si>
    <t>Sandor, Renata; Ehrhardt, Fiona; Grace, Peter; Recous, Sylvie; Smith, Pete; Snow, Val; Soussana, Jean-Francois; Basso, Bruno; Bhatia, Arti; Brilli, Lorenzo; Doltra, Jordi; Dorich, Christopher D.; Doro, Luca; Fitton, Nuala; Grant, Brian; Harrison, Matthew Tom; Kirschbaum, Miko U. F.; Klumpp, Katja; Laville, Patricia; Leonard, Joel; Martin, Raphael; Massad, Raia-Silvia; Moore, Andrew; Myrgiotis, Vasileios; Pattey, Elizabeth; Rolinski, Susanne; Sharp, Joanna; Skiba, Ute; Smith, Ward; Wu, Lianhai; Zhang, Qing; Bellocchi, Gianni</t>
  </si>
  <si>
    <t>Ensemble modelling of carbon fluxes in grasslands and croplands</t>
  </si>
  <si>
    <t>C fluxes; Croplands; Grasslands; Multi-model ensemble; Multi-model median (MMM)</t>
  </si>
  <si>
    <t>SOIL ORGANIC-CARBON; GREENHOUSE-GAS EMISSIONS; CLIMATE-CHANGE IMPACTS; CROP MODEL; DATA AGGREGATION; USE EFFICIENCY; N2O EMISSIONS; MAIZE YIELD; WHEAT; PRODUCTIVITY</t>
  </si>
  <si>
    <t>Croplands and grasslands are agricultural systems that contribute to land-atmosphere exchanges of carbon (C). We evaluated and compared gross primary production (GPP), ecosystem respiration (RECO), net ecosystem exchange (NEE) of CO2, and two derived outputs - C use efficiency (CUE = -NEE/GPP) and C emission intensity (Int(C) = -NEE/Offtake [grazed or harvested biomass]). The outputs came from 23 models (11 crop-specific, eight grassland-specific, and four models covering both systems) at three cropping sites over several rotations with spring and winter cereals, soybean and rapeseed in Canada, France and India, and two temperate permanent grasslands in France and the United Kingdom. The models were run independently over multi-year simulation periods in five stages (S), either blind with no calibration and initialization data (S1), using historical management and climate for initialization (S2), calibrated against plant data (S3), plant and soil data together (S4), or with the addition of C and N fluxes (S5). Here, we provide a framework to address methodological uncertainties and contextualize results. Most of the models overestimated or underestimated the C fluxes observed during the growing seasons (or the whole years for grasslands), with substantial differences between models. For each simulated variable, changes in the multi-model median (MMM) from S1 to S5 was used as a descriptor of the ensemble performance. Overall, the greatest improvements (MMM approaching the mean of observations) were achieved at S3 or higher calibration stages. For instance, grassland GPP MMM was equal to 1632 g C m(-2) yr(-1) (S5) while the observed mean was equal to 1763 m(-2) yr(-1) (average for two sites). Nash-Sutcliffe modelling efficiency coefficients indicated that MMM outperformed individual models in 92.3 % of cases. Our study suggests a cautious use of large-scale, multi-model ensembles to estimate C fluxes in agricultural sites if some site-specific plant and soil observations are available for model calibration. The further development of crop/grassland ensemble modelling will hinge upon the interpretation of results in light of the way models represent the processes underlying C fluxes in complex agricultural systems (grassland and crop rotations including fallow periods).</t>
  </si>
  <si>
    <t>[Sandor, Renata; Klumpp, Katja; Martin, Raphael; Bellocchi, Gianni] Univ Clermont Auvergne, Unite Mixte Rech Ecosysteme Prairial UREP, INRAE, VetAgro Sup, Clermont 63000, Ferrand, France; [Sandor, Renata] Agr Inst, CAR, Martonvasar 2462, Hungary; [Ehrhardt, Fiona; Soussana, Jean-Francois] INRAE, CODIR, Paris 75007, France; [Grace, Peter] Queensland Univ Technol, Brisbane, Qld, Australia; [Recous, Sylvie] Univ Reims, FARE, INRAE, Reims 51100, France; [Smith, Pete; Fitton, Nuala] Univ Aberdeen, Inst Biol &amp; Environm Sci, Aberdeen, Scotland; [Snow, Val] AgResearch, Lincoln Res Ctr, Private Bag 4749, Christchurch 8140, New Zealand; [Basso, Bruno] Michigan State Univ, Dept Geol Sci, E Lansing, MI 48824 USA; [Bhatia, Arti] Indian Agr Res Inst, New Delhi, India; [Brilli, Lorenzo] Univ Florence, DAGRI, Florence 50144, Italy; [Brilli, Lorenzo] Natl Res Council IBE CNR, Inst BioEcon, Florence 50145, Italy; [Doltra, Jordi] Inst Agrifood Res &amp; Technol, IRTA Mas Badia, La Tallada dEmporda, Catalonia, Spain; [Dorich, Christopher D.] Colorado State Univ, NREL, Ft Collins, CO 80523 USA; [Doro, Luca] Univ Sassari, Desertificat Res Grp, Sassari, Italy; [Doro, Luca] Texas A&amp;M AgriLife Res, Blackland Res &amp; Extens Ctr, Temple, TX USA; [Grant, Brian; Pattey, Elizabeth; Smith, Ward] Agr &amp; Agri Food Canada, Ottawa, ON, Canada; [Harrison, Matthew Tom] Tasmanian Inst Agr, 16-20 Mooreville Rd, Burnie, Tas 7320, Australia; [Kirschbaum, Miko U. F.] Landcare Res Manaaki Whenua, Palmerston North, New Zealand; [Laville, Patricia; Massad, Raia-Silvia] Univ Paris Saclay, UMR ECOSYS, AgroParisTech, INRAE, Thiverval Grignon 78850, France; [Leonard, Joel] INRAE, AgroImpact, Barenton 02000, Bugny, France; [Moore, Andrew] CSIRO Agr &amp; Food, Black Mt Sci &amp; Innovat Precint, Canberra, ACT, Australia; [Myrgiotis, Vasileios] Univ Edinburgh, Sch Geosci, Edinburgh, Midlothian, Scotland; [Rolinski, Susanne] Chinese Acad Sci, Inst Atmospher Phys, LAPC, Beijing, Peoples R China; [Sharp, Joanna] Potsdam Inst Climate Impact Res PIK, Potsdam, Germany; [Skiba, Ute] New Zealand Inst Plant &amp; Food Res, Christchurch, New Zealand; [Wu, Lianhai] UK Ctr Ecol &amp; Hydrol, Bush Estate, Penicuik EH26 0QB, Midlothian, Scotland; [Zhang, Qing] Rothamsted Res, Sustainable Agr Syst, North Wyke, Devon, England</t>
  </si>
  <si>
    <t>INRAE; VetAgro Sup; Universite Clermont Auvergne (UCA); HUN-REN; HUN-REN Centre for Agricultural Research; INRAE; Queensland University of Technology (QUT); Universite de Reims Champagne-Ardenne; INRAE; University of Aberdeen; AgResearch - New Zealand; Michigan State University; Indian Council of Agricultural Research (ICAR); ICAR - Indian Agricultural Research Institute; University of Florence; Consiglio Nazionale delle Ricerche (CNR); Istituto per la BioEconomia (IBE-CNR); IRTA; Colorado State University System; Colorado State University Fort Collins; United States Department of Energy (DOE); National Renewable Energy Laboratory - USA; University of Sassari; Texas A&amp;M University System; Texas A&amp;M University College Station; Texas A&amp;M AgriLife Research; Agriculture &amp; Agri Food Canada; University of Tasmania; Landcare Research - New Zealand; INRAE; AgroParisTech; Universite Paris Saclay; INRAE; Commonwealth Scientific &amp; Industrial Research Organisation (CSIRO); CSIRO Agriculture &amp; Food; University of Edinburgh; Chinese Academy of Sciences; Institute of Atmospheric Physics, CAS; Potsdam Institut fur Klimafolgenforschung; New Zealand Institute for Plant &amp; Food Research Ltd; UK Centre for Ecology &amp; Hydrology (UKCEH); UK Research &amp; Innovation (UKRI); Biotechnology and Biological Sciences Research Council (BBSRC); Rothamsted Research</t>
  </si>
  <si>
    <t>Bellocchi, G (corresponding author), Univ Clermont Auvergne, Unite Mixte Rech Ecosysteme Prairial UREP, INRAE, VetAgro Sup, Clermont 63000, Ferrand, France.</t>
  </si>
  <si>
    <t>gianni.bellocchi@inrae.fr</t>
  </si>
  <si>
    <t>Snow, Val/O-8693-2016; Basso, Bruno/AAF-1271-2019; Léonard, Joël/K-8590-2015; Moore, Andrew/D-3418-2009; Soussana, Jean-Francois/KAM-4127-2024; Smith, Pete/G-1041-2010; Wu, Lianhai/B-1892-2016; Smith, Pete/G-1041-2010; Massad, Raia Silvia/F-8100-2010; Doro, Luca/AAA-5596-2021; Doltra, Jordi/C-2106-2015; Skiba, Ute/I-6441-2012; Myrgiotis, Vasileios/AAS-7629-2020; Harrison, Matthew/C-2434-2014; Sharp, Joanna/C-1167-2011; Soussana, Jean-Francois/P-2094-2016; Grace, Peter/F-3743-2012; Recous, Sylvie/A-8780-2012; Snow, Val/S-2106-2019; Massad, Raia/P-1430-2019; Smith, Ward/JRX-8136-2023</t>
  </si>
  <si>
    <t>Snow, Val/0000-0002-6911-8184; Smith, Pete/0000-0002-3784-1124; Wu, Lianhai/0000-0003-0221-9009; Smith, Ward/0000-0001-7462-5247; Smith, Pete/0000-0002-3784-1124; Massad, Raia Silvia/0000-0002-1296-1744; Doltra, Jordi/0000-0002-6831-1636; Skiba, Ute/0000-0001-8659-6092; Martin, Raphaël/0000-0001-8778-7915; Sharp, Joanna/0000-0001-5849-868X; Brilli, Lorenzo/0000-0001-7527-4573; Soussana, Jean-Francois/0000-0002-1932-6583; Recous, Sylvie/0000-0003-4845-7811; Grace, Peter/0000-0003-4136-4129;</t>
  </si>
  <si>
    <t>CN-MIP by Joint Programming Initiative 'FACCE'; Models4Pastures by Joint Programming Initiative 'FACCE'; MACSUR by Joint Programming Initiative 'FACCE'; COMET-Global by Joint Programming Initiative 'FACCE'; MAGGNET by Joint Programming Initiative 'FACCE'; French Embassy in Budapest (Hungary) by way of Make Our Planet Great Again programme; MACMIT project (BMBF) [01LN1317A]; EU [EC EVK2-CT2001-00105, GOCE-CT-2003-505572, 017841]; SRUC; NERC [NE/P019455/1] Funding Source: UKRI; Natural Environment Research Council [NE/P019455/1] Funding Source: researchfish</t>
  </si>
  <si>
    <t>CN-MIP by Joint Programming Initiative 'FACCE'; Models4Pastures by Joint Programming Initiative 'FACCE'; MACSUR by Joint Programming Initiative 'FACCE'; COMET-Global by Joint Programming Initiative 'FACCE'; MAGGNET by Joint Programming Initiative 'FACCE'; French Embassy in Budapest (Hungary) by way of Make Our Planet Great Again programme; MACMIT project (BMBF)(Federal Ministry of Education &amp; Research (BMBF)); EU(European Union (EU)); SRUC; NERC(UK Research &amp; Innovation (UKRI)Natural Environment Research Council (NERC)); Natural Environment Research Council(UK Research &amp; Innovation (UKRI)Natural Environment Research Council (NERC))</t>
  </si>
  <si>
    <t>This study was coordinated by the Integrative Research Group of the Global Research Alliance (GRA) on agricultural GHGs and was supported by five research projects (CN-MIP, Models4Pastures, MACSUR, COMET-Global and MAGGNET), which received funding by a multipartner call on agricultural greenhouse gas research of the Joint Programming Initiative 'FACCE' through its national financing bodies. RS received mobility funding from the French Embassy in Budapest (Hungary) by way of Make Our Planet Great Again programme. SR (PIK) acknowledges funding from the MACMIT project (BMBF under grant 01LN1317A). US acknowledges funding for the data collection through the EU projects GREENGRASS (EC EVK2-CT2001-00105), CarboEurope (GOCE-CT-2003-505572) and the NitroEurope Integrated Project (017841), and SRUC's contribution to compile the data (Stephanie K. Jones and Robert M. Rees). Giovanna Seddaiu from University of Sassari (Italy) is acknowledged for her support with EPIC simulations.</t>
  </si>
  <si>
    <t>10.1016/j.fcr.2020.107791</t>
  </si>
  <si>
    <t>LK8AL</t>
  </si>
  <si>
    <t>WOS:000531082600003</t>
  </si>
  <si>
    <t>Liu, GF; Li, J; Ren, L; Lu, HL; Wang, JC; Zhang, YX; Zhang, C; Zhang, CR</t>
  </si>
  <si>
    <t>Liu, Guifang; Li, Jie; Ren, Liang; Lu, Heli; Wang, Jingcao; Zhang, Yaxing; Zhang, Cheng; Zhang, Chuanrong</t>
  </si>
  <si>
    <t>Identification of Socio-Economic Impacts as the Main Drivers of Carbon Stocks in China's Tropical Rainforests: Implications for REDD</t>
  </si>
  <si>
    <t>carbon stocks; forest changes; REDD plus; socio-economic drivers; effectiveness</t>
  </si>
  <si>
    <t>LAND-USE; XISHUANGBANNA; DEFORESTATION; MODEL; PLUS; EMISSIONS</t>
  </si>
  <si>
    <t>Active incentives or compensation measures plus conservation, sustainable management of forests, and enhancement of forest carbon stocks (denoted together as REDD+) should be adopted in developing countries to reduce the greenhouse gas emissions caused by deforestation and forest degradation. Identification and analysis of the driving forces behind carbon stocks are crucial for the implementation of REDD+. In this study, the principal component model and the stepwise linear regression model were used to analyze the social and economic driving forces of stocks in three important types of forest change: deforestation, forestland transformation, and forest degradation in China's tropical rainforests of Xishuangbanna, based on the combination of satellite imagery and the normalized difference vegetation index. The findings show that there are different key driving forces that lead to carbon stock changes in the forest land conversion of Xishuangbanna. In particular, the agricultural development level is the main cause of emissions from deforestation, whereas poor performance of protection policies is the main cause of emissions from forest degradation. In contrast, the rural economic development interventions are significantly positive for emissions from forestland transformation. It is crucial to pay attention to distinguishing the driving forces behind carbon stock changes from forest degradation, deforestation, and transformation for optimizing REDD+ implementation and ensuring the effectiveness of REDD+.</t>
  </si>
  <si>
    <t>[Liu, Guifang; Li, Jie; Ren, Liang; Lu, Heli; Wang, Jingcao; Zhang, Yaxing; Zhang, Cheng] Henan Univ, Coll Geog &amp; Environm Sci, Key Res Inst Yellow River Civilizat &amp; Sustainable, Kaifeng 475004, Peoples R China; [Liu, Guifang; Li, Jie; Ren, Liang; Lu, Heli; Wang, Jingcao; Zhang, Yaxing; Zhang, Cheng] Henan Univ, Collaborat Innovat Ctr Yellow River Civilizat Hen, Kaifeng 475004, Peoples R China; [Liu, Guifang; Lu, Heli] Henan Univ, Key Lab Geospatial Technol Middle &amp; Lower Yellow, Minist Educ, Natl Demonstrat Ctr Environm &amp; Planning, Kaifeng 475004, Peoples R China; [Lu, Heli] Henan Univ, Henan Key Lab Earth Syst Observat &amp; Modeling, Kaifeng 475004, Peoples R China; [Lu, Heli] Henan Univ, Henan Dabieshan Natl Field Observat &amp; Res Stn For, Kaifeng 475004, Peoples R China; [Zhang, Chuanrong] Univ Connecticut, Dept Geog, Storrs, CT 06269 USA; [Zhang, Chuanrong] Univ Connecticut, Ctr Environm Sci &amp; Engn, Storrs, CT 06269 USA</t>
  </si>
  <si>
    <t>Henan University; Henan University; Henan University; Henan University; Henan University; University of Connecticut; University of Connecticut</t>
  </si>
  <si>
    <t>Lu, HL (corresponding author), Henan Univ, Coll Geog &amp; Environm Sci, Key Res Inst Yellow River Civilizat &amp; Sustainable, Kaifeng 475004, Peoples R China.;Lu, HL (corresponding author), Henan Univ, Collaborat Innovat Ctr Yellow River Civilizat Hen, Kaifeng 475004, Peoples R China.;Lu, HL (corresponding author), Henan Univ, Key Lab Geospatial Technol Middle &amp; Lower Yellow, Minist Educ, Natl Demonstrat Ctr Environm &amp; Planning, Kaifeng 475004, Peoples R China.;Lu, HL (corresponding author), Henan Univ, Henan Key Lab Earth Syst Observat &amp; Modeling, Kaifeng 475004, Peoples R China.;Lu, HL (corresponding author), Henan Univ, Henan Dabieshan Natl Field Observat &amp; Res Stn For, Kaifeng 475004, Peoples R China.</t>
  </si>
  <si>
    <t>luheli@vip.henu.edu.cn</t>
  </si>
  <si>
    <t>; LU, HELI/HGC-6319-2022</t>
  </si>
  <si>
    <t>Zhang, Chuanrong/0000-0002-9165-5584;</t>
  </si>
  <si>
    <t>National Natural Science Foundation of China [42071267, 41371525]; Program for Innovative Research Team (in Science and Technology); University of Henan, Henan Province [21IRTSTHN008]; Scientific and Technological Research Projects in Henan Province [222102320472]</t>
  </si>
  <si>
    <t>National Natural Science Foundation of China(National Natural Science Foundation of China (NSFC)); Program for Innovative Research Team (in Science and Technology); University of Henan, Henan Province; Scientific and Technological Research Projects in Henan Province</t>
  </si>
  <si>
    <t>This study is under the auspices of the National Natural Science Foundation of China (42071267, 41371525), the Program for Innovative Research Team (in Science and Technology) with the University of Henan, Henan Province (21IRTSTHN008) and the Scientific and Technological Research Projects in Henan Province (222102320472).</t>
  </si>
  <si>
    <t>10.3390/ijerph192214891</t>
  </si>
  <si>
    <t>6K2AZ</t>
  </si>
  <si>
    <t>WOS:000887313200001</t>
  </si>
  <si>
    <t>Basak, JK; Kim, NE; Shahriar, SA; Paudel, B; Moon, BE; Kim, HT</t>
  </si>
  <si>
    <t>Basak, Jayanta Kumar; Kim, Na Eun; Shahriar, Shihab Ahmad; Paudel, Bhola; Moon, Byeong Eun; Kim, Hyeon Tae</t>
  </si>
  <si>
    <t>Applicability of statistical and machine learning-based regression algorithms in modeling of carbon dioxide emission in experimental pig barns</t>
  </si>
  <si>
    <t>AIR QUALITY ATMOSPHERE AND HEALTH</t>
  </si>
  <si>
    <t>Body mass; Carbon dioxide; Emission; Feed intake; Model; Model evaluation metrics; Pig</t>
  </si>
  <si>
    <t>GREENHOUSE-GAS EMISSIONS; CO2 EMISSIONS; TEMPERATURE; METHANE</t>
  </si>
  <si>
    <t>Pig farming is one of the major sources of greenhouse gas (GHG) emissions in the agricultural sector; nevertheless, few studies have been undertaken to directly measure or estimate GHGs, particularly carbon dioxide (CO2) from pig barns. Therefore, the main objective of the present research was to estimate and predict CO2 emission rate as a function of the mass of pigs and feed consumption. Two identical experiments were carried out in experimental pig barns in 2020 and 2021 to develop and evaluate the performance of CO2 emission model. The CO2 emission data (ppm) were collected utilizing Livestock Environment Management Systems (LEMS) and weather sensors, respectively within the pig barns and the outside environment. The models were built using seven statistical and machine learning-based regression algorithms, i.e., linear, multiple linear, polynomial, exponential, ridge, lasso, and elastic net. The findings of the study revealed that among the seven models, the exponential-based regression model performed the best, with a coefficient of determination (R-2) greater than 0.78 in the training stage and 0.75 in the testing stage being suitable to describe the relationship between the feed intake and the rate of CO2 emission. However, when compared to the other models in the testing stage, the lasso model had the worst performance (R-2 &lt; 0.65 and RMSE &gt; 20.00 ppm). In conclusion, this study recommends employing an exponential-based regression model by taking feed intake as an input variable in predicting CO2 for a small number of the experimental dataset.</t>
  </si>
  <si>
    <t>[Basak, Jayanta Kumar] Gyeongsang Natl Univ, Inst Smart Farm, Jinju 52828, South Korea; [Basak, Jayanta Kumar] Noakhali Sci &amp; Technol Univ, Dept Environm Sci &amp; Disaster Management, Noakhali 3814, Bangladesh; [Kim, Na Eun; Paudel, Bhola; Kim, Hyeon Tae] Gyeongsang Natl Univ, Inst Smart Farm, Dept Biosyst Engn, Jinju 52828, South Korea; [Shahriar, Shihab Ahmad] Univ Houston, Dept Earth &amp; Atmospher Sci, Houston, TX 77004 USA; [Moon, Byeong Eun] Sunchon Natl Univ, Dept Convergent Biosyst Engn, Sunchon 57922, South Korea</t>
  </si>
  <si>
    <t>Gyeongsang National University; Noakhali Science &amp; Technology University (NSTU); Gyeongsang National University; University of Houston System; University of Houston; Sunchon National University</t>
  </si>
  <si>
    <t>Kim, HT (corresponding author), Gyeongsang Natl Univ, Inst Smart Farm, Dept Biosyst Engn, Jinju 52828, South Korea.</t>
  </si>
  <si>
    <t>bioani@gnu.ac.kr</t>
  </si>
  <si>
    <t>Paudel, Bhola/MZR-8921-2025; Basak, Jayanta/ITR-9316-2023</t>
  </si>
  <si>
    <t>Basak, Jayanta Kumar/0000-0002-0718-1444; Paudel, Bhola/0000-0001-8500-1739</t>
  </si>
  <si>
    <t>Korea Institute of Planning and Evaluation for Technology in Food, Agriculture, Forestry and Fisheries (IPET) through Agriculture, Food and Rural Affairs Convergence Technologies Program for Educating Creative Global Leader - Ministry of Agriculture, Food [717001-7]; Brain Pool program through the National Research Foundation of Korea [2021H1D3A2A02038875]</t>
  </si>
  <si>
    <t>Korea Institute of Planning and Evaluation for Technology in Food, Agriculture, Forestry and Fisheries (IPET) through Agriculture, Food and Rural Affairs Convergence Technologies Program for Educating Creative Global Leader - Ministry of Agriculture, Food(Institute of Planning &amp; Evaluation for Technology in Food, Agriculture, Forestry, &amp; Fisheries (iPET), Republic of Korea); Brain Pool program through the National Research Foundation of Korea(National Research Foundation of Korea)</t>
  </si>
  <si>
    <t>This research has been financially supported by the Korea Institute of Planning and Evaluation for Technology in Food, Agriculture, Forestry and Fisheries (IPET) through Agriculture, Food and Rural Affairs Convergence Technologies Program for Educating Creative Global Leader, funded by the Ministry of Agriculture, Food and Rural Affairs (MAFRA) (717001-7) and in part by Brain Pool program through the National Research Foundation of Korea (2021H1D3A2A02038875).</t>
  </si>
  <si>
    <t>1873-9318</t>
  </si>
  <si>
    <t>1873-9326</t>
  </si>
  <si>
    <t>AIR QUAL ATMOS HLTH</t>
  </si>
  <si>
    <t>Air Qual. Atmos. Health</t>
  </si>
  <si>
    <t>10.1007/s11869-022-01225-9</t>
  </si>
  <si>
    <t>5B5QD</t>
  </si>
  <si>
    <t>WOS:000824821600001</t>
  </si>
  <si>
    <t>Liu, T; Pan, Q; Kang, EZ; Feng, XJ</t>
  </si>
  <si>
    <t>Liu, Ting; Pan, Qi; Kang, Enze; Feng, Xiaojuan</t>
  </si>
  <si>
    <t>Widespread positive priming of dissolved organic carbon decomposition in inland waters</t>
  </si>
  <si>
    <t>WATER RESEARCH</t>
  </si>
  <si>
    <t>Priming effect; Dissolved organic matter decomposition; Aromaticity; Labile carbon; Inland waters; Wetlands</t>
  </si>
  <si>
    <t>MATTER; LAND; SOIL; EUTROPHICATION; REACTIVITY; WILL</t>
  </si>
  <si>
    <t>Dissolved organic matter (DOM) decomposition critically mediates carbon emissions from inland waters, which release disproportionately large amounts of CO2 into the atmosphere. Anthropogenic activities, including agricultural fertilizer runoff (causing eutrophication and algal blooms) and land-use changes (affecting water browning), are expected to increase both recalcitrant terrestrial and labile autochthonous DOM, potentially enhancing the decomposition of native DOM via labile carbon inputs (known as the priming effect, PE). However, current studies report negligible aquatic DOM PE. Here, employing 13C-tracing method specifically designed to track native DOM decomposition, we investigated the pattern and mechanisms of DOM PE across 30 waters (encompassing lakes/reservoirs, rivers, and wetlands) characterized by distinct nutrient levels, DOM composition, and microbial community structures. We found positive DOM PE in 70 % of the studied waters, with the mean decomposition rate of native DOM enhanced by 33 f 8 % upon glucose amendment. Importantly, wetlands exhibited the strongest PE, owing to their high DOM aromaticity and unique microbial communities (particularly elevated abundances of Patescibacteria), which encode numerous glycoside hydrolases capable of degrading both labile and recalcitrant substrates. Our findings highlight primed decomposition of native DOM as a prevalent but underappreciated driver of carbon emissions in inland waters, suggesting that this process should be considered in efforts to predict inland water carbon dynamics under global change.</t>
  </si>
  <si>
    <t>[Liu, Ting; Pan, Qi; Kang, Enze; Feng, Xiaojuan] Chinese Acad Sci, State Key Lab Forage Breeding By Design &amp; Utilizat, Inst Bot, Beijing 100093, Peoples R China; [Liu, Ting; Pan, Qi; Kang, Enze; Feng, Xiaojuan] Chinese Acad Sci, Inst Bot, Key Lab Vegetat &amp; Environm Change, Beijing 100093, Peoples R China; [Liu, Ting; Pan, Qi; Kang, Enze; Feng, Xiaojuan] China Natl Bot Garden, Beijing 100093, Peoples R China; [Pan, Qi; Kang, Enze; Feng, Xiaojuan] Univ Chinese Acad Sci, Beijing 100049, Peoples R China</t>
  </si>
  <si>
    <t>Chinese Academy of Sciences; Chinese Academy of Sciences; Institute of Botany, CAS; Chinese Academy of Sciences; University of Chinese Academy of Sciences, CAS</t>
  </si>
  <si>
    <t>Feng, XJ (corresponding author), Chinese Acad Sci, State Key Lab Forage Breeding By Design &amp; Utilizat, Inst Bot, Beijing 100093, Peoples R China.;Feng, XJ (corresponding author), Chinese Acad Sci, Inst Bot, Key Lab Vegetat &amp; Environm Change, Beijing 100093, Peoples R China.;Feng, XJ (corresponding author), China Natl Bot Garden, Beijing 100093, Peoples R China.;Feng, XJ (corresponding author), Univ Chinese Acad Sci, Beijing 100049, Peoples R China.</t>
  </si>
  <si>
    <t>xfeng@ibcas.ac.cn</t>
  </si>
  <si>
    <t>Feng, Xiaojuan/I-6142-2013</t>
  </si>
  <si>
    <t>National Natural Science Foundation of China [42025303, 42230501, 41973075]; International Cooperation Bureau of the Chinese Academy of Sciences [063GJHZ2023046GC]</t>
  </si>
  <si>
    <t>National Natural Science Foundation of China(National Natural Science Foundation of China (NSFC)); International Cooperation Bureau of the Chinese Academy of Sciences</t>
  </si>
  <si>
    <t>This study was supported financially by the National Natural Science Foundation of China (42025303, 42230501, 41973075) and the Global Common Challenges Special Project by the International Cooperation Bureau of the Chinese Academy of Sciences (063GJHZ2023046GC). We thank Plant Science Facility of the Institute of Botany, Chinese Academy of Sciences for their help in sample analysis.</t>
  </si>
  <si>
    <t>0043-1354</t>
  </si>
  <si>
    <t>1879-2448</t>
  </si>
  <si>
    <t>WATER RES</t>
  </si>
  <si>
    <t>Water Res.</t>
  </si>
  <si>
    <t>10.1016/j.watres.2025.124874</t>
  </si>
  <si>
    <t>Engineering, Environmental; Environmental Sciences; Water Resources</t>
  </si>
  <si>
    <t>Engineering; Environmental Sciences &amp; Ecology; Water Resources</t>
  </si>
  <si>
    <t>9SM2W</t>
  </si>
  <si>
    <t>WOS:001613962400004</t>
  </si>
  <si>
    <t>Kormann, R; Paixao, CA; Hungria, M; Nogueira, MA; da Cruz, SP</t>
  </si>
  <si>
    <t>Kormann, Rogerio; Paixao, Crysttian Arantes; Hungria, Mariangela; Nogueira, Marco Antonio; da Cruz, Sonia Purin</t>
  </si>
  <si>
    <t>An Innovative Prototype to Measure Carbon Dioxide, Ethylene, and Nitric and Nitrous Oxides in the Soil Air</t>
  </si>
  <si>
    <t>Arduino sensor; soil gases; soybean inoculation; monitoring; experiment</t>
  </si>
  <si>
    <t>CO-INOCULATION; ACC-DEAMINASE; FERTILIZATION; METAANALYSIS</t>
  </si>
  <si>
    <t>Agricultural intensification has increased the consumption of inputs, mainly fertilizers, which may increase emissions of greenhouse gases (GHG). The improvement of our knowledge on GHG dynamics in the soil is mandatory to optimize the use of fertilizers and reduce environmental impacts. We developed an electronic sensor prototype based on Arduino to monitor concentrations of carbon dioxide (CO2), ethylene (C2H4), ammonia (NH3), and nitrogen oxides (N2O/NOx) in the soil air in a greenhouse experiment with soybean (Glycine max L.) under two treatments: single inoculation (Bradyrhizobium spp.) or triple co-inoculation (Bradyrhizobium spp. Azospirillum brasilense and Pseudomonas fluorescens) in a completely randomized design. One-way analysis of variance, as well as correlation between plant traits at 35 days of emergence and the average daily concentration of gases in the soil air were performed. Although not affecting plant growth or yield-related traits, co-inoculation increased CO2, while decreased NOx concentrations compared with single inoculation, whereas C2H4 emission changed with the plant growth stage. Although co-inoculation increased respiration, decreased N losses by denitrification, mitigating the total emissions of GHG. The prototype showed to be efficient for monitoring GHG across the experiment at a low cost and easy use, contributing for monitoring GHG concentrations in the soil air.</t>
  </si>
  <si>
    <t>[Kormann, Rogerio; da Cruz, Sonia Purin] Univ Fed Santa Catarina, Ctr Ciencias Rurais, Dept Ciencias Nat &amp; Sociais, Campus Curitibanos, Curitibanos, Brazil; [Paixao, Crysttian Arantes] Univ Fed Bahia, Dept Ciencia Tecnol &amp; Inovacao, Inst Ciencia Tecnol &amp; Inovacao, Campus Camacari, Camacari, Brazil; [Hungria, Mariangela; Nogueira, Marco Antonio] EMBRAPA Soja, Rodovia Carlos Joao Str, Londrina, Brazil</t>
  </si>
  <si>
    <t>Universidade Federal de Santa Catarina (UFSC); Universidade Federal da Bahia; Empresa Brasileira de Pesquisa Agropecuaria (EMBRAPA); EMBRAPA Soja</t>
  </si>
  <si>
    <t>Kormann, R (corresponding author), Ctr Ciencias Rurais, Dept Ciencias Nat &amp; Sociais, Campus Curitibanos,Rodovia Ulisses Gaboardi,Km 3, BR-89520000 Curitibanos, SC, Brazil.</t>
  </si>
  <si>
    <t>rogerio.kormann@ufsc.br</t>
  </si>
  <si>
    <t>Hungria, Mariangela/D-8540-2013; Paixão, Crysttian/AGH-8075-2022; Nogueira, Marco/B-8768-2016</t>
  </si>
  <si>
    <t>INCT- Plant-Growth-Promoting Microorganisms for Agricultural Sustainability and Environmental Responsibility [CNPq] [465133/2014-4, STI 043/2019]; CNPq [405666/2022-5]</t>
  </si>
  <si>
    <t>INCT- Plant-Growth-Promoting Microorganisms for Agricultural Sustainability and Environmental Responsibility [CNPq]; CNPq(Conselho Nacional de Desenvolvimento Cientifico e Tecnologico (CNPQ))</t>
  </si>
  <si>
    <t>Research groups belonging to the INCT- Plant-Growth-Promoting Microorganisms for Agricultural Sustainability and Environmental Responsibility [CNPq 465133/2014-4, Fundac &amp; atilde;o Araucaria-STI 043/2019, CAPES]. Partially funded by [CNPq Project 405666/2022-5] on bio-inputs.</t>
  </si>
  <si>
    <t>OCT 27</t>
  </si>
  <si>
    <t>10.1080/00103624.2024.2378985</t>
  </si>
  <si>
    <t>D8E5O</t>
  </si>
  <si>
    <t>WOS:001270429900001</t>
  </si>
  <si>
    <t>Markopoulos, T; Kaziolas, DN; Staboulis, C</t>
  </si>
  <si>
    <t>Markopoulos, Theodoros; Kaziolas, Dimitrios N.; Staboulis, Christos</t>
  </si>
  <si>
    <t>Tracing the root of the evil in the carbon footprint of tomato production: Implications for optimization process and policy formulation</t>
  </si>
  <si>
    <t>NEW MEDIT</t>
  </si>
  <si>
    <t>Carbon footprint; Life Cycle Assessment (LCA); Sustainable tomato production; Optimization process; Agricultural policy</t>
  </si>
  <si>
    <t>LIFE-CYCLE ASSESSMENT; ENVIRONMENTAL IMPACTS; SUSTAINABILITY; TRACEABILITY</t>
  </si>
  <si>
    <t>While agricultures' role in carbon emissions has been studied broadly, there is a notable lack of disaggregated studies that focus on the carbon footprint of specific products, such as tomatoes. This is further exacerbated by the fact that tomatoes are a staple food in many countries, and the carbon emissions associated with their production could vary significantly across different cultivation methods, regions, and supply chains. This literature gap limits our understanding of where emissions originate and where they can be mitigated. In this context, the aim of the present paper is to provide a comprehensive evaluation of the equivalent carbon footprint in greenhouse tomato production in Greece by means of a Life Cycle Assessment. Results indicate that the energy required to produce the tomato is the factor that has the greatest impact on the environmental impact. The fertilizers and the materials used to package the product also affect significantly the overall environmental impact. Tomatoes are an essential component of global food systems. Thus, even marginal improvements in the carbon efficiency of tomato production could yield significant environmental benefits, and a detailed carbon footprint analysis could influence policy and practice.</t>
  </si>
  <si>
    <t>[Markopoulos, Theodoros] Democritus Univ Thrace, Dept Chem, Kavala, Greece; [Kaziolas, Dimitrios N.] Democritus Univ Thrace, Dept Forestry &amp; Nat Environm Sci, Drama, Greece; [Staboulis, Christos] Aristotle Univ Thessaloniki, Dept Agr Econ, Thessaloniki, Greece</t>
  </si>
  <si>
    <t>Staboulis, C (corresponding author), Aristotle Univ Thessaloniki, Dept Agr Econ, Thessaloniki, Greece.</t>
  </si>
  <si>
    <t>cstamp@agro.auth.gr</t>
  </si>
  <si>
    <t>Kaziolas, Dimitris/AAD-6810-2020; Staboulis, Christos/HJP-3458-2023; Markopoulos, Th/GSE-5506-2022; MARKOPOULOS, Th./GSE-5506-2022</t>
  </si>
  <si>
    <t>Markopoulos, Th/0000-0002-2745-7129;</t>
  </si>
  <si>
    <t>Bologna Univ Press</t>
  </si>
  <si>
    <t>Bologna</t>
  </si>
  <si>
    <t>Via Saragozza 10, Bologna, ITALY</t>
  </si>
  <si>
    <t>1594-5685</t>
  </si>
  <si>
    <t>2611-1128</t>
  </si>
  <si>
    <t>New Medit</t>
  </si>
  <si>
    <t>10.30682/nm2502g</t>
  </si>
  <si>
    <t>Agricultural Economics &amp; Policy; Agriculture, Multidisciplinary</t>
  </si>
  <si>
    <t>3WQ1K</t>
  </si>
  <si>
    <t>WOS:001510764500007</t>
  </si>
  <si>
    <t>Li, JJ; Cui, CY</t>
  </si>
  <si>
    <t>Li, Jingjie; Cui, Chenying</t>
  </si>
  <si>
    <t>Spatiotemporal trends and coordination of agricultural carbon efficiency in the Yangtze River Economic Belt and Yellow River Basin, China: An analysis of influencing factors and green finance integration</t>
  </si>
  <si>
    <t>SLACKS-BASED MEASURE; EMISSIONS; REDUCTION</t>
  </si>
  <si>
    <t>As China's second-largest source of greenhouse gas emissions, agriculture is essential to achieving the goal of carbon peak and carbon neutrality. Based on the measurement of agricultural carbon emissions (ACE) and agricultural carbon intensity (ACI) in 19 regions along the Yangtze River Economic Belt (YEB) and Yellow River Basin (YRB) in China from 2001 to 2020, this paper first uses the super-efficiency SBM model to measure ACE efficiency from static and dynamic perspectives. Then, the coupling coordination degree (CCD) between ACE efficiency and green finance in each region of the two basins is explored. Finally, Grey Relation Analysis (GRA) is used to obtain the influencing factors of CCD. The following conclusions are drawn: (1) The ACE in the YEB is almost twice that of the YRB. The ACE of the two basins generally experienced a trend of first growth and then declined, but the peak time was different. The ACI of the two basins showed a trend of continuous decline, and the decline rate of the YRB was faster. (2) The ACE efficiency of the two basins showed an overall upward trend, and the growth degree of different regions was vastly different. From the factor decomposition, the technological progress (TP) of the two basins significantly impacts the total factor productivity (TFP). (3) The CCD of ACE efficiency and green finance in the two basins increased from near imbalance to barely coordination level, and the CCD of the YEB increased slightly faster. The CCD of the two basins has a spatial difference of downstream &gt; midstream &gt; upstream. (4) Among the influencing factors of the CCD of the two systems, the influencing degree of the factors is as follows from large to small: quality of human capital, level of economic development, government regulation, scientific and technological innovation ability.</t>
  </si>
  <si>
    <t>[Li, Jingjie; Cui, Chenying] Tianjin Univ Commerce, Sch Sci, Tianjin, Peoples R China</t>
  </si>
  <si>
    <t>Tianjin University of Commerce</t>
  </si>
  <si>
    <t>Li, JJ (corresponding author), Tianjin Univ Commerce, Sch Sci, Tianjin, Peoples R China.</t>
  </si>
  <si>
    <t>lxyljj@tjcu.edu.cn</t>
  </si>
  <si>
    <t>Li, Jingjie/0000-0002-1794-4281</t>
  </si>
  <si>
    <t>Tianjin Philosophy and Social Science Planning Program, China [TJTJ23-001]</t>
  </si>
  <si>
    <t>Tianjin Philosophy and Social Science Planning Program, China</t>
  </si>
  <si>
    <t>This work is supported by The Tianjin Philosophy and Social Science Planning Program, China (Grant numbers TJTJ23-001).</t>
  </si>
  <si>
    <t>AUG 29</t>
  </si>
  <si>
    <t>e0308399</t>
  </si>
  <si>
    <t>10.1371/journal.pone.0308399</t>
  </si>
  <si>
    <t>E6P5Y</t>
  </si>
  <si>
    <t>WOS:001304208400075</t>
  </si>
  <si>
    <t>Sustainability assessment and optimization of legumes production systems: energy, greenhouse gas emission and ecological footprint analysis</t>
  </si>
  <si>
    <t>Chickpea; EFA; energy; lentil; MOGA; optimization</t>
  </si>
  <si>
    <t>LIFE-CYCLE ASSESSMENT; USE EFFICIENCY; ENVIRONMENTAL IMPACTS; REDUCTION; BALANCE</t>
  </si>
  <si>
    <t>This study examined energy, greenhouse gas emission and ecological footprint analysis (EFA) of chickpea and lentil cultivation with different mechanization production systems. In lentil production, except for tillage operations, other Operations are performed manually and the remaining straw is burned in the field; while in chickpea production, most of the agricultural operations are mechanized and residues are collected, baled and transferred to the warehouse for animal feed. In this paper, for the first time, some of the sustainability indicators are investigated and compared in two different legume production systems. Energy productivity and net energy for chickpea and lentil production were calculated at 0.036, 0.161 and 2373 and 5900 MJ per hectare, respectively. The CO2 emission and ecological carbon footprint were 173 kg CO2 _eq and 0.15 global hectare for lentil and 484 and 0.87 for chickpea production. Totally, due to excessive consumption of diesel fuel and lack of proper management, the social cost of emission from straw baling in chickpea production (27.65 dollars per hectare) was higher than burning straw in lentil production (8.77). Multi-objective genetic algorithm results showed the potential of minimizing diesel fuel and fertilizer consumption and no chemical for chickpea production. Overall audition results of two different production systems revealed that traditional lentil production is more sustainable. Therefore, implementations of modern agricultural practices alone are not enough to achieve sustainability in agricultural production systems.</t>
  </si>
  <si>
    <t>[Nategh, Nahid Aghili; Gholamshahi, Alireza; Nosrati, Mohammad] Razi Univ, Sonqor Agr Fac, Dept Agr Machinery Engn, Kermanshah, Iran; [Banaeian, Narges] Univ Guilan, Fac Agr Sci, Dept Agr Mechanizat Engn, Rasht, Iran</t>
  </si>
  <si>
    <t>Nategh, NA (corresponding author), Razi Univ, Sonqor Agr Fac, Dept Agr Machinery Engn, Kermanshah, Iran.;Banaeian, N (corresponding author), Univ Guilan, Fac Agr Sci, Dept Agr Mechanizat Engn, Rasht, Iran.</t>
  </si>
  <si>
    <t>Aghili Nategh, Nahid/AAS-1747-2021</t>
  </si>
  <si>
    <t>Aghili Nategh, Nahid/0000-0003-4321-620X</t>
  </si>
  <si>
    <t>10.1017/S1742170521000193</t>
  </si>
  <si>
    <t>0I4QP</t>
  </si>
  <si>
    <t>WOS:000779405900010</t>
  </si>
  <si>
    <t>Oliveira, ACD; Rodrigues, CAP; de Almeida, MC; Mársico, ET; Scalize, PS; de Oliveira, TF; Solar, VA; Valdés, H</t>
  </si>
  <si>
    <t>Oliveira, Ana Carolina de Jesus; Rodrigues, Camilla Alves Pereira; de Almeida, Maria Carolina; Marsico, Eliane Teixeira; Scalize, Paulo Sergio; de Oliveira, Tatianne Ferreira; Solar, Victor Andres; Valdes, Hector</t>
  </si>
  <si>
    <t>Ethylene Elimination Using Activated Carbons Obtained from Baru (Dipteryx alata vog.) Waste and Impregnated with Copper Oxide</t>
  </si>
  <si>
    <t>MOLECULES</t>
  </si>
  <si>
    <t>activated carbon; adsorption; baru waste; ethylene; porous materials</t>
  </si>
  <si>
    <t>PHOSPHORIC-ACID; ADSORPTION; TEMPERATURE; REMOVAL; ZEOLITE; FRUIT; VOCS</t>
  </si>
  <si>
    <t>Ethylene is a plant hormone regulator that stimulates chlorophyll loss and promotes softening and aging, resulting in a deterioration and reduction in the post-harvest life of fruit. Commercial activated carbons have been used as ethylene scavengers during the storage and transportation of a great variety of agricultural commodities. In this work, the effect of the incorporation of copper oxide over activated carbons obtained from baru waste was assessed. Samples were characterized by X-ray diffraction (XRD), N-2 adsorption-desorption at -196 degrees C, field-emission scanning electron microscopy (FESEM) coupled with energy-dispersive X-ray spectroscopy (EDS), and infrared (IR) spectroscopy. The results showed that the amount of ethylene removed using activated carbon obtained from baru waste and impregnated with copper oxide (1667 mu g g(-1)) was significantly increased in comparison to the raw activated carbon (1111 mu g g(-1)). In addition, carbon impregnated with copper oxide exhibited better adsorption performance at a low ethylene concentration. Activated carbons produced from baru waste are promising candidates to be used as adsorbents in the elimination of ethylene during the storage and transportation of agricultural commodities at a lower cost.</t>
  </si>
  <si>
    <t>[Oliveira, Ana Carolina de Jesus; de Oliveira, Tatianne Ferreira] Univ Fed Goias, Sch Agron, BR-74690900 Goiania, Brazil; [Rodrigues, Camilla Alves Pereira] Univ Fed Goias, Fac Nutr, BR-74605080 Goiania, Brazil; [de Almeida, Maria Carolina] Fed Inst Educ, Sci &amp; Technol Goias, BR-75402556 Inhumas, Brazil; [Marsico, Eliane Teixeira] Fluminense Fed Univ, Fac Vet, Niteroi, Brazil; [Scalize, Paulo Sergio] Univ Fed Goias, Sch Civil &amp; Environm Engn, BR-74605220 Goiania, Brazil; [Solar, Victor Andres; Valdes, Hector] Univ Catolica Santisima Concepcion, Engn Fac, Clean Technol Lab, Alonso de Ribera 2850, Concepcion 4030000, Chile</t>
  </si>
  <si>
    <t>Universidade Federal de Goias; Universidade Federal de Goias; Instituto Federal de Goias (IFG); Universidade Federal Fluminense; Universidade Federal de Goias; Universidad Catolica de la Santisima Concepcion</t>
  </si>
  <si>
    <t>Oliveira, ACD (corresponding author), Univ Fed Goias, Sch Agron, BR-74690900 Goiania, Brazil.;Valdés, H (corresponding author), Univ Catolica Santisima Concepcion, Engn Fac, Clean Technol Lab, Alonso de Ribera 2850, Concepcion 4030000, Chile.</t>
  </si>
  <si>
    <t>carolina_jesus@discente.ufg.br</t>
  </si>
  <si>
    <t>de Oliveira, Tatianne/J-8817-2018; Marsico, Eliane/AAQ-7766-2021; Valdés, Héctor/O-5036-2019; scalize, paulo/ABG-6640-2020; Valdés, Héctor/D-7395-2015</t>
  </si>
  <si>
    <t>de Jesus Oliveira, Ana Carolina/0000-0002-2379-1488; Carolina de Almeida, Maria/0000-0002-6822-4866; Valdés, Héctor/0000-0001-9701-6305; Scalize, Paulo Sergio/0000-0002-0833-7826</t>
  </si>
  <si>
    <t>Federal University of Goias, CAPES [18/2020]; Goias State Research Support Foundation (FAPEG); CNPQ [441839/2023-1]; Chilean Agencia Nacional de Investigacion y Desarrollo ANID, FONDECYT Regular [1200858]</t>
  </si>
  <si>
    <t>Federal University of Goias, CAPES; Goias State Research Support Foundation (FAPEG); CNPQ(Conselho Nacional de Desenvolvimento Cientifico e Tecnologico (CNPQ)); Chilean Agencia Nacional de Investigacion y Desarrollo ANID, FONDECYT Regular</t>
  </si>
  <si>
    <t>This research was funded by the Federal University of Goias, Project 18/2020 CAPES, by the Goias State Research Support Foundation (FAPEG), by CNPQ, grant number 441839/2023-1 and by the Chilean Agencia Nacional de Investigacion y Desarrollo ANID, FONDECYT Regular, grant number 1200858, to whom the authors are indebted.</t>
  </si>
  <si>
    <t>1420-3049</t>
  </si>
  <si>
    <t>Molecules</t>
  </si>
  <si>
    <t>10.3390/molecules29122717</t>
  </si>
  <si>
    <t>Biochemistry &amp; Molecular Biology; Chemistry, Multidisciplinary</t>
  </si>
  <si>
    <t>Biochemistry &amp; Molecular Biology; Chemistry</t>
  </si>
  <si>
    <t>WS9O7</t>
  </si>
  <si>
    <t>WOS:001256983200001</t>
  </si>
  <si>
    <t>Lou, RT; Li, Y; Liu, Y; Jiang, QJ; Wu, QG; He, Y; Liu, J</t>
  </si>
  <si>
    <t>Lou, Ruitao; Li, Yong; Liu, Ying; Jiang, Qianjing; Wu, Qingguan; He, Yong; Liu, Ji</t>
  </si>
  <si>
    <t>Is green manure a viable substitute for inorganic fertilizer to improve grain yields and advance carbon neutrality in paddy agriculture?</t>
  </si>
  <si>
    <t>Green manure; Greenhouse gas; Methane; Nitrous oxide; Global warming potential intensity</t>
  </si>
  <si>
    <t>NITROUS-OXIDE EMISSIONS; SOIL ORGANIC-MATTER; GAS EMISSIONS; COVER CROPS; METHANE PRODUCTION; RICE CULTIVATION; CROPPING SYSTEM; FALLOW SEASON; N2O EMISSIONS; N-DYNAMICS</t>
  </si>
  <si>
    <t>Green manure is a widely applied to increase grain yield, while it also attributes to greenhouse gas (GHG) emissions in agriculture ecosystems. Combining green manure with inorganic fertilizer inputs is a common practice that can influence soil GHG emissions and grain yield, however, its impacts on grain yield and global warming potential (GWP) under different initial soil conditions before rotating experiments and agronomic management in paddy fields remain unclear. We synthesized 508 data pairs to evaluate the responses of CO2 emissions, CH4 emissions, N2O emissions, and grain yield to combined inputs of green manure plus inorganic fertilizer compared with only inorganic fertilizer application. Our findings indicate that both inorganic fertilizer plus extra green manure (GM-E) and green manure substitutes for inorganic fertilizer (GM-S) could increase CO2 emissions (22.5 %-76.8 %), CH4 emissions (100 %-103 %), N2O emissions (29.8 %-50.9 %), and yield (2.21 %-19.6 %). Except for GM-E, which showed a non-significant increase in grain yield. The initial soil properties before rotating experiments, the types and timing of green manure application were key drivers of GHG emissions and yield, and extra green manure applied in areas with low initial soil pH and high C:N can increase GWP and yield. Overall, the mixed green manure application had greater impact than leguminous or non-leguminous green manure applied alone. The responses of GHG emissions and yield to GM-S were modulated by mean annual precipitation and initial soil properties before rotating experiments, and green manure substitutes for inorganic fertilizer in areas with high initial soil pH and low C:N can increase GWP and yield. Meanwhile, excessive precipitation caused a reduction in yield and a significant increase in GWP intensity. Our results showed that extra green manure applications of less than 68.1 kg N ha-1 would not significantly increase GWP. Therefore, an effective green manure strategy can achieve a win-win situation for the dual challenge of agricultural production and climate change mitigation.</t>
  </si>
  <si>
    <t>[Lou, Ruitao; Li, Yong] Hohai Univ, Coll Environm, Key Lab Integrated Regulat &amp; Resource Dev Shallow, Minist Educ, Nanjing, Jiangsu, Peoples R China; [Lou, Ruitao; Jiang, Qianjing; Wu, Qingguan; He, Yong] Zhejiang Univ, Biosyst Engn, Hangzhou, Zhejiang, Peoples R China; [Li, Yong] Hohai Univ, Natl Engn Res Ctr Water Resources Efficient Utiliz, Nanjing, Jiangsu, Peoples R China; [Liu, Ying] Northwest A&amp;F Univ, Inst Soil &amp; Water Conservat, State Key Lab Soil Eros &amp; Dryland Farming Loess Pl, Yangling, Peoples R China; [Liu, Ji] Cent China Normal Univ, Hubei Prov Key Lab Geog Proc Anal &amp; Simulat, Wuhan, Peoples R China; [Liu, Ji] Leibniz Inst Freshwater Ecol &amp; Inland Fisheries, Dept Ecohydrol, Berlin, Germany</t>
  </si>
  <si>
    <t>Hohai University; Zhejiang University; Hohai University; Northwest A&amp;F University - China; Chinese Academy of Sciences; Institute of Soil &amp; Water Conservation (ISWC), CAS; Central China Normal University; Leibniz Association; Leibniz Institut fur Gewasserokologie und Binnenfischerei (IGB)</t>
  </si>
  <si>
    <t>Li, Y (corresponding author), Hohai Univ, Coll Environm, Key Lab Integrated Regulat &amp; Resource Dev Shallow, Minist Educ, Nanjing, Jiangsu, Peoples R China.;Jiang, QJ (corresponding author), Zhejiang Univ, Biosyst Engn, Hangzhou, Zhejiang, Peoples R China.</t>
  </si>
  <si>
    <t>liyonghh@hhu.edu.cn; jqj713@zju.edu.cn</t>
  </si>
  <si>
    <t>Jiang, Qianjing/GSN-4201-2022; Liu, Ji/HSB-3434-2023; Li, Yong/U-9139-2017; He, Yong/P-6527-2015</t>
  </si>
  <si>
    <t>Liu, Ji/0000-0003-2496-9521; Li, Yong/0000-0002-2526-0250;</t>
  </si>
  <si>
    <t>Key Pioneer Research Project of Zhejiang Province [2022C02014]; San Nong Jiu Fang Research Project of Zhejiang Province [2022SNJF081]; National Natural Science Foundation of China [51879081]; National Key Research &amp; Devel- opment Program of China [2018YFC0407906]; Priority Academic Program Development of Jiangsu Higher Education Institutions (PAPD)</t>
  </si>
  <si>
    <t>Key Pioneer Research Project of Zhejiang Province; San Nong Jiu Fang Research Project of Zhejiang Province; National Natural Science Foundation of China(National Natural Science Foundation of China (NSFC)); National Key Research &amp; Devel- opment Program of China(National Key Research &amp; Development Program of China); Priority Academic Program Development of Jiangsu Higher Education Institutions (PAPD)</t>
  </si>
  <si>
    <t>This research received financial support from the Key Pioneer Research Project of Zhejiang Province (grant number: 2022C02014) , the San Nong Jiu Fang Research Project of Zhejiang Province (grant number: 2022SNJF081) , the National Natural Science Foundation of China (grant number: 51879081) , the National Key Research &amp; Development Program of China (grant number: 2018YFC0407906) , and the Priority Academic Program Development of Jiangsu Higher Education Institutions (PAPD) .</t>
  </si>
  <si>
    <t>10.1016/j.agee.2023.108762</t>
  </si>
  <si>
    <t>U8GS4</t>
  </si>
  <si>
    <t>WOS:001087137100001</t>
  </si>
  <si>
    <t>Hua, L; Yang, ZX; Li, WQ; Zhao, YD; Xia, J; Dong, WY; Chen, BQ</t>
  </si>
  <si>
    <t>Hua, Lu; Yang, Zhenxing; Li, Wenqian; Zhao, Yidong; Xia, Jie; Dong, Wenyi; Chen, Baoqing</t>
  </si>
  <si>
    <t>Effects of Different Straw Return Modes on Soil Carbon, Nitrogen, and Greenhouse Gas Emissions in the Semiarid Maize Field</t>
  </si>
  <si>
    <t>PLANTS-BASEL</t>
  </si>
  <si>
    <t>deep burial straw return; dissolved organic carbon; nitrate nitrogen; maize grain; greenhouse gas emissions</t>
  </si>
  <si>
    <t>YIELD; RESIDUES; DYNAMICS; NITRATE</t>
  </si>
  <si>
    <t>Returning straw to the field is a crucial practice for enhancing soil quality and increasing efficient use of secondary crop products. However, maize straw has a higher carbon-to-nitrogen ratio compared to other crops. This can result in crop nitrogen loss when the straw is returned to the field. Therefore, it is crucial to explore how different methods of straw return affect maize (Zea mays L.) farmland. In this study, a field experiment was performed with three treatments (I, no straw returned, CK; II, direct straw return, SR; and III, straw returned in deep furrows, ISR) to explore the effects of the different straw return modes on soil carbon and nitrogen content and greenhouse gas emissions. The results indicated that the SR and ISR treatments increased the dissolved organic carbon (DOC) content in the topsoil (0-15 cm). Additionally, the ISR treatment boosted the contents of total nitrogen (TN), nitrate nitrogen (NO3--N), ammonium nitrogen (NH4+-N), dissolved organic nitrogen (DON), and DOC in the subsurface soil (15-30 cm) compared with CK. When it comes to greenhouse gas emissions, the ISR treatment led to an increase in CO2 emissions. However, SR and ISR reduced N2O emissions, with ISR showing a more pronounced reduction. The ISR treatment significantly increased leaf and grain biomass compared to CK and SR. The correlation analyses showed that the yield was positively correlated with soil DOC, and soil greenhouse gas emission was correlated with soil NO3--N. The ISR technology has great potential in sequestering soil organic matter, improving soil fertility, and realizing sustainable agricultural development.</t>
  </si>
  <si>
    <t>[Hua, Lu; Yang, Zhenxing] Shanxi Agr Univ, Coll Resources &amp; Environm, Taiyuan 030031, Peoples R China; [Hua, Lu; Zhao, Yidong; Dong, Wenyi; Chen, Baoqing] Chinese Acad Agr Sci, Inst Environm &amp; Sustainable Dev Agr, Beijing 100081, Peoples R China; [Hua, Lu; Chen, Baoqing] Northern Agr &amp; Livestock Husb Technol Innovat Ctr, Hohhot 010018, Peoples R China; [Li, Wenqian; Xia, Jie; Chen, Baoqing] Zibo Inst Digital Agr &amp; Rural Res, Zibo 255000, Peoples R China; [Li, Wenqian] Zibo Acad Agr Sci, Zibo 255000, Peoples R China</t>
  </si>
  <si>
    <t>Shanxi Agricultural University; Chinese Academy of Agricultural Sciences; Institute of Environment &amp; Sustainable Development in Agriculture, CAAS</t>
  </si>
  <si>
    <t>Dong, WY; Chen, BQ (corresponding author), Chinese Acad Agr Sci, Inst Environm &amp; Sustainable Dev Agr, Beijing 100081, Peoples R China.;Chen, BQ (corresponding author), Northern Agr &amp; Livestock Husb Technol Innovat Ctr, Hohhot 010018, Peoples R China.;Chen, BQ (corresponding author), Zibo Inst Digital Agr &amp; Rural Res, Zibo 255000, Peoples R China.</t>
  </si>
  <si>
    <t>hl20220312@163.com; yang1981che@163.com; liwenqian0601h@163.com; 82101235318@caas.cn; 15266726217@163.com; dongwenyi@caas.cn; chenbaoqing01@caas.cn</t>
  </si>
  <si>
    <t>Zhao, Yidong/GMX-0030-2022</t>
  </si>
  <si>
    <t>Northern Agriculture and Livestock Husbandry Technology Innovation Center; Bio-Water Saving and Dry Farming Innovation Team Project of CAAS; [BFGJ2022005]</t>
  </si>
  <si>
    <t>Northern Agriculture and Livestock Husbandry Technology Innovation Center; Bio-Water Saving and Dry Farming Innovation Team Project of CAAS;</t>
  </si>
  <si>
    <t>This research was funded by the Northern Agriculture and Livestock Husbandry Technology Innovation Center [Grant Number BFGJ2022005] and the Bio-Water Saving and Dry Farming Innovation Team Project of CAAS.</t>
  </si>
  <si>
    <t>2223-7747</t>
  </si>
  <si>
    <t>Plants-Basel</t>
  </si>
  <si>
    <t>10.3390/plants13172503</t>
  </si>
  <si>
    <t>F7I1O</t>
  </si>
  <si>
    <t>WOS:001311503000001</t>
  </si>
  <si>
    <t>Bai, ZH; Wu, XF; Lassaletta, L; Haverkamp, A; Li, W; Yuan, ZW; Aguilera, E; Uwizeye, A; Sanz-Cobena, A; Zhang, NN; Fan, XW; Zhu, F; Dicke, M; Wang, X; Ma, L</t>
  </si>
  <si>
    <t>Bai, Zhaohai; Wu, Xiaofei; Lassaletta, Luis; Haverkamp, Alexander; Li, Wei; Yuan, Zengwei; Aguilera, Eduardo; Uwizeye, Aimable; Sanz-Cobena, Alberto; Zhang, Nannan; Fan, Xiangwen; Zhu, Feng; Dicke, Marcel; Wang, Xuan; Ma, Lin</t>
  </si>
  <si>
    <t>Investing in mini- livestock production for food security and carbon neutrality in China</t>
  </si>
  <si>
    <t>insect; greenhouse gas emission; protein; food security; mitigation</t>
  </si>
  <si>
    <t>EDIBLE INSECTS; LAND-USE; NITROGEN; FEED; MANURE</t>
  </si>
  <si>
    <t>Future food farming technology faces challenges that must integrate the core goal of keeping the global temperature increase within 1.5 degrees C without reducing food security and nutrition. Here, we show that boosting the production of insects and earthworms based on food waste and livestock manure to provide food and feed in China will greatly contribute to meeting the country's food security and carbon neutrality pledges. By substituting domestic products with mini- livestock (defined as earthworms and insects produced for food or feed) protein and utilizing the recovered land for bioenergy production plus carbon capture and storage, China's agricultural sector could become carbon- neutral and reduce feed protein imports to near zero. This structural change may lead to reducing greenhouse gas emissions by 2,350 Tg CO2eq per year globally when both domestic and imported products are substituted. Overall, the success of mini- livestock protein production in achieving carbon neutrality and food security for China and its major trading partners depends on how the substitution strategies will be implemented and how the recovered agricultural land will be managed, e.g., free use for afforestation and bioenergy or by restricting this land to food crop use. Using China as an example, this study also demonstrates the potential of mini- livestock for decreasing the environmental burden of food production in general.</t>
  </si>
  <si>
    <t>[Bai, Zhaohai; Wu, Xiaofei; Zhu, Feng; Wang, Xuan; Ma, Lin] Chinese Acad Sci, Key Lab Agr Water Resources, Hebei Key Lab Soil Ecol, Ctr Agr Resources Res,Inst Genet &amp; Dev Biol, Shijiazhuang 050021, Hebei, Peoples R China; [Lassaletta, Luis] Univ Politecn Madrid, Escuela Tecn Super Ingn Agron Alimentaria &amp; Biosis, Res Ctr Management Agr &amp; Environm Risks, Madrid 28040, Spain; [Haverkamp, Alexander; Dicke, Marcel] Wageningen Univ &amp; Res, Lab Entomol, NL-6700 AA Wageningen, Netherlands; [Li, Wei] Tsinghua Univ, Inst Global Change Studies, Dept Earth Syst Sci, Minist Educ Key Lab Earth Syst Modeling, Beijing 100084, Peoples R China; [Li, Wei] Nanjing Univ, Sch Environm, State Key Lab Pollut Control &amp; Resource Reuse, Nanjing 210023, Peoples R China; [Aguilera, Eduardo] Alimentta, Think Tank Trans Alimentaria, Andalucia 18320, Spain; [Uwizeye, Aimable] Food &amp; Agr Org United Nations, Anim Prod &amp; Hlth Div, I-00153 Rome, Italy</t>
  </si>
  <si>
    <t>Chinese Academy of Sciences; Center for Agricultural Resources Research, Institute of Genetic &amp; Developmental Biology, CAS; Institute of Genetics &amp; Developmental Biology, CAS; Universidad Politecnica de Madrid; Wageningen University &amp; Research; Tsinghua University; Nanjing University; Food &amp; Agriculture Organization of the United Nations (FAO)</t>
  </si>
  <si>
    <t>Wang, X; Ma, L (corresponding author), Chinese Acad Sci, Key Lab Agr Water Resources, Hebei Key Lab Soil Ecol, Ctr Agr Resources Res,Inst Genet &amp; Dev Biol, Shijiazhuang 050021, Hebei, Peoples R China.</t>
  </si>
  <si>
    <t>wangxuan@sjziam.ac.cn; malin1979@sjziam.ac.cn</t>
  </si>
  <si>
    <t>Haverkamp, Alexander/ABY-4499-2022; Aguilera, Eduardo/H-4864-2015; Lassaletta, Luis/D-3894-2009; Yuan, Zengwei/B-9283-2014; Sanz-Cobena, Alberto/M-1972-2014; Bai, Zhaohai/A-4959-2018; Zhu, Feng/G-2835-2017; zhang, nannan/HDO-4442-2022; Dicke, Marcel/B-2300-2010; Dicke, Marcel/JAO-0864-2023</t>
  </si>
  <si>
    <t>Uwizeye, Aimable/0000-0002-0646-1292; Aguilera, Eduardo/0000-0003-4382-124X; Lassaletta, Luis/0000-0001-9428-2149; Sanz-Cobena, Alberto/0000-0003-2119-5620; Bai, Zhaohai/0000-0001-7685-5441; Dicke, Marcel/0000-0001-8565-8896; Haverkamp, Alexander/0000-0003-3512-9659</t>
  </si>
  <si>
    <t>Strategic Priority Research Program of the Chinese Academy of Sciences (CAS); National Natural Science Foundation of China; Youth Innovation Promotion Association of CAS; Ministry of Economy and Competitiveness and European Commission ERDF Ramon y Cajal grant [XDA28030302]; Comunidad de Madrid (Spain) [T2222016, 42001254, 41925004, 42175169]; ERDF [2019101, 2021095]; ESF [RYC- 2016- 20269]; Spanish Ministry of Science, Innovation and Universities AgroScena- UP; President's International Fellowship Initiative (PIFI) of CAS; Ministry of Economy and Competitiveness of Spain; Key Research and Development Program of Hebei [PID2019- 107972RB- I00]; Hebei Dairy Cattle Innovation Team of Modern Agro-industry Technology Research System [2021VCA0012]; Outstanding Young Scientists Project of Natural Science Foundation of Hebei [IJC 2019- 040699- I]; [21327315D]; [HBCT2023180202]; [D2021503015]</t>
  </si>
  <si>
    <t>Strategic Priority Research Program of the Chinese Academy of Sciences (CAS); National Natural Science Foundation of China(National Natural Science Foundation of China (NSFC)); Youth Innovation Promotion Association of CAS; Ministry of Economy and Competitiveness and European Commission ERDF Ramon y Cajal grant; Comunidad de Madrid (Spain)(Comunidad de Madrid); ERDF(European Union (EU)); ESF; Spanish Ministry of Science, Innovation and Universities AgroScena- UP; President's International Fellowship Initiative (PIFI) of CAS; Ministry of Economy and Competitiveness of Spain(Spanish Government); Key Research and Development Program of Hebei; Hebei Dairy Cattle Innovation Team of Modern Agro-industry Technology Research System; Outstanding Young Scientists Project of Natural Science Foundation of Hebei; ; ;</t>
  </si>
  <si>
    <t>This study was financially supported by Strategic Priority Research Program of the Chinese Academy of Sciences (CAS) (XDA28030302); National Natural Science Foundation of China (T2222016; 42001254; 41925004; 42175169); Youth Innovation Promotion Association of CAS (2019101; 2021095); L.L. acknowledges Ministry of Economy and Competitiveness and European Commission ERDF Ramon y Cajal grant (RYC- 2016- 20269) , PP from UPM, and acknowledges the Comunidad de Madrid (Spain) and structural funds 2014-2020 (ERDF and ESF), the Spanish Ministry of Science, Innovation and Universities AgroScena- UP (PID2019- 107972RB- I00) and the President's International Fellowship Initiative (PIFI) of CAS (2021VCA0012) ; E. A. acknowledges Juan de la Cierva grant from the Ministry of Economy and Competitiveness of Spain (IJC 2019- 040699- I) Key Research and Development Program of Hebei (21327315D); Hebei Dairy Cattle Innovation Team of Modern Agro-industry Technology Research System (HBCT2023180202); Outstanding Young Scientists Project of Natural Science Foundation of Hebei (D2021503015).</t>
  </si>
  <si>
    <t>OCT 24</t>
  </si>
  <si>
    <t>e2304826120</t>
  </si>
  <si>
    <t>10.1073/pnas.2304826120</t>
  </si>
  <si>
    <t>X8UZ5</t>
  </si>
  <si>
    <t>WOS:001101149100003</t>
  </si>
  <si>
    <t>Dutta, J; Gokhale, S</t>
  </si>
  <si>
    <t>Dutta, Jayashree; Gokhale, Sharad</t>
  </si>
  <si>
    <t>Field investigation of carbon dioxide (CO2) fluxes and organic carbon from a conserved paddy field of North-East India</t>
  </si>
  <si>
    <t>INTERNATIONAL SOIL AND WATER CONSERVATION RESEARCH</t>
  </si>
  <si>
    <t>Paddy; SOC; CO2; Emission; Tillage</t>
  </si>
  <si>
    <t>SOIL-WATER-CONTENT; MICROBIAL BIOMASS; CROP RESIDUE; TILLAGE; TEMPERATURE; MATTER; MANAGEMENT; EMISSIONS; CORN; EXCHANGE</t>
  </si>
  <si>
    <t>This study investigates the effects of conserved tills on the fluxes of carbon dioxide (CO2) and soil organic carbon (SOC) from a rain-fed-paddy plot in Assam (North-eastern state of India). Two paddy plots identical in soil properties, developed to cultivate rice (Sali, grown in low-lying areas of Assam), were adjacent to each other to follow a conventional agricultural practice in one and conservation in the other. Two chambers (1 m x 0.6 m x 0.4 m) were placed in both the plots to collect runoff for analyzing CO2 concentrations. The results of the both practices have been inter-compared. For conservation plot, the SOC was high in the range from 3.17+0.01 kg m(-2) to 20.42 +/- 0.56 kg m(-2) and the CO2 emission was less, i.e. 97.30 +/- 7.11 mg m(-2) h(-1) as compared to 189.65 +/- 4.37 mg m-2 h-1 of the conventional plot. Low tillage practiced for the conservation plot facilitated higher porosity (50.11 +/- 8.40% to 88.87 +/- 3.59%) and greater water retention (47.47 +/- 1.15% to 10137 +/- 1.63%) in the soil. The results indicate that more tillage exposed the soil to atmospheric oxygen more, which leads to excess mineralization of organic carbon and emissions of CO2 as in the conventional plot. (C) 2017 International Research and Training Center on Erosion and Sedimentation and China Water and Power Press. Production and Hosting by Elsevier B.V. This is an open access article under the CC BY-NC-ND license</t>
  </si>
  <si>
    <t>[Dutta, Jayashree; Gokhale, Sharad] Indian Inst Technol Guwahti, Dept Civil Engn, Gauhati 781039, India</t>
  </si>
  <si>
    <t>Indian Institute of Technology System (IIT System); Indian Institute of Technology (IIT) - Guwahati</t>
  </si>
  <si>
    <t>Gokhale, S (corresponding author), Indian Inst Technol Guwahti, Dept Civil Engn, Gauhati 781039, India.</t>
  </si>
  <si>
    <t>dutta.jayashree@iitg.ernet.in; sharadbg@iitg.ernet.in</t>
  </si>
  <si>
    <t>; Gokhale, Sharad/HHY-9917-2022</t>
  </si>
  <si>
    <t>Gokhale, Sharad/0000-0001-8707-7868;</t>
  </si>
  <si>
    <t>KEAI PUBLISHING LTD</t>
  </si>
  <si>
    <t>16 DONGHUANGCHENGGEN NORTH ST, Building 5, Room 411, BEIJING, DONGCHENG DISTRICT 100009, PEOPLES R CHINA</t>
  </si>
  <si>
    <t>2095-6339</t>
  </si>
  <si>
    <t>2589-059X</t>
  </si>
  <si>
    <t>INT SOIL WATER CONSE</t>
  </si>
  <si>
    <t>Int. Soil Water Conserv. Res.</t>
  </si>
  <si>
    <t>10.1016/j.iswcr.2017.05.007</t>
  </si>
  <si>
    <t>FO7ZT</t>
  </si>
  <si>
    <t>WOS:000417100500009</t>
  </si>
  <si>
    <t>Chaudhary, A; Mishra, AK; Venkatramanan, V; Sharma, S</t>
  </si>
  <si>
    <t>Chaudhary, Anjali; Mishra, Ajay Kumar; Venkatramanan, Veluswamy; Sharma, Sheetal</t>
  </si>
  <si>
    <t>Enhancing yield and GHG mitigation through site-specific nutrient management for transplanted and direct-seeded rice in Odisha, India</t>
  </si>
  <si>
    <t>site-specific nutrient management; Rice Crop Manager; transplanted rice; direct-seeded rice; greenhouse gas emissions; fertilizer efficiency</t>
  </si>
  <si>
    <t>CROP</t>
  </si>
  <si>
    <t>The Rice Crop Manager (RCM), a web-based decision support tool rooted in Site-Specific Nutrient Management (SSNM), provides transformative solutions to address the challenges of fertilizer overuse and underuse in rice production. This study, conducted across diverse agro-ecologies in Odisha, India, evaluates the impact of SSNM under two rice establishment methods-Transplanted Rice (TPR) and Direct-Seeded Rice (DSR)-over six cropping seasons. Results reveal that RCM recommendations consistently increased grain yields by 17-19% compared to traditional Farmer Fertilizer Practices (FFP) while significantly improving nitrogen and potassium use efficiency. SSNM also reduced phosphorus application rates by 8.6-18.1 kg/ha and effectively mitigated critical micronutrient deficiencies, particularly zinc. Additionally, RCM treatments demonstrated reduced greenhouse gas (GHG) emissions compared to FFP, highlighting the role of precision agriculture in mitigating climate impacts. Despite slightly higher initial input costs, RCM delivered greater economic returns through optimized fertilizer use. While TPR exhibited higher yield advantages, DSR emerged as a resource-efficient and mechanization-compatible alternative, though it requires targeted interventions to address challenges such as nitrous oxide emissions. This study underscores the potential of RCM as a scalable, data-driven solution for enhancing productivity, profitability, and environmental sustainability in rice systems.</t>
  </si>
  <si>
    <t>[Chaudhary, Anjali; Venkatramanan, Veluswamy] Indira Gandhi Natl Open Univ, Sch Interdisciplinary &amp; Transdisciplinary Studies, New Delhi, India; [Mishra, Ajay Kumar; Sharma, Sheetal] South Asia Reg Ctr, Int Rice Res Inst, Varanasi, Uttar Pradesh, India</t>
  </si>
  <si>
    <t>Mishra, AK (corresponding author), South Asia Reg Ctr, Int Rice Res Inst, Varanasi, Uttar Pradesh, India.</t>
  </si>
  <si>
    <t>a.k.mishra@irri.org</t>
  </si>
  <si>
    <t>MISHRA, AJAY/Q-3455-2019; Venkatramanan, Veluswamy/AAV-4743-2021</t>
  </si>
  <si>
    <t>Union Grants Commission (UGC)</t>
  </si>
  <si>
    <t>The author(s) declare that financial support was received for the research and/or publication of this article. AC gets funding from Union Grants Commission (UGC) as a research fellow.</t>
  </si>
  <si>
    <t>10.3389/fsufs.2025.1571263</t>
  </si>
  <si>
    <t>2OB5Y</t>
  </si>
  <si>
    <t>WOS:001487243600001</t>
  </si>
  <si>
    <t>Wang, ZB; Zhang, JZ; Zhang, LF</t>
  </si>
  <si>
    <t>Wang, Zhan-biao; Zhang, Ji-zong; Zhang, Li-feng</t>
  </si>
  <si>
    <t>Reducing the carbon footprint per unit of economic benefit is a new method to accomplish low-carbon agriculture. A case study: adjustment of the planting structure in Zhangbei County, China</t>
  </si>
  <si>
    <t>carbon footprint; greenhouse gas emissions; low-carbon agriculture; climate change</t>
  </si>
  <si>
    <t>GREENHOUSE-GAS MITIGATION; CROP PRODUCTION; N2O EMISSIONS; YIELD; TILLAGE; WHEAT; SOIL; FERTILIZER</t>
  </si>
  <si>
    <t>BACKGROUND The development of low-carbon agriculture is promising for mitigating climate change. This study used adjustments to the planting structure in Zhangbei County, China, as an example to evaluate whether the carbon footprint per unit of economic benefit is a suitable indicator of low-carbon agriculture and to determine if low-carbon agriculture is not necessarily low-input non-intensive agriculture. RESULTS The results showed that total greenhouse gas emissions increased; therefore, the adjustments to the planting structure were ostensibly not a low-carbon process. However, if we obtain the same economic benefit as the actual distribution of the planting industry by adopting the scenario of planting only grain crops, then the annual greenhouse gas emissions would be 1608.00 x 10(3) t CO(2)eq, and 5769.94 x 10(3) ha of farmland would be required. However, if we adopt the scenario of planting only vegetable crops, then only 82.52 x 10(3) ha of farmland would be required, and the annual greenhouse gas emissions would be 323.52 x 10(3) t CO(2)eq. CONCLUSIONS These results indicated that the carbon footprint per unit of economic benefit is a suitable indicator to assess agricultural sustainability and that intensive agriculture with high input and high output is a form of low-carbon agriculture if the carbon footprint per unit of economic benefit is low. (c) 2019 Society of Chemical Industry</t>
  </si>
  <si>
    <t>[Wang, Zhan-biao; Zhang, Ji-zong; Zhang, Li-feng] Hebei Agr Univ, Coll Agron, State Key Lab Cotton Biol, Hebei Base, Baoding 071001, Hebei, Peoples R China; [Wang, Zhan-biao] Chinese Acad Agr Sci, Inst Cotton Res, State Key Lab Cotton Biol, Anyang, Peoples R China</t>
  </si>
  <si>
    <t>Hebei Agricultural University; Chinese Academy of Agricultural Sciences; Institute of Cotton Research, CAAS</t>
  </si>
  <si>
    <t>Zhang, LF (corresponding author), Hebei Agr Univ, Coll Agron, State Key Lab Cotton Biol, Hebei Base, Baoding 071001, Hebei, Peoples R China.</t>
  </si>
  <si>
    <t>zlf@hebau.edu.com.cn</t>
  </si>
  <si>
    <t>Wang, Zhanbiao/AAO-7457-2020</t>
  </si>
  <si>
    <t>National Natural Science Foundation of China [31701389]; National Key Research and Development Project [2018YFD0300507]; Special Fund for Agro-scientific Research in the Public Interest in China [201003053]</t>
  </si>
  <si>
    <t>National Natural Science Foundation of China(National Natural Science Foundation of China (NSFC)); National Key Research and Development Project(National Key Research &amp; Development Program of China); Special Fund for Agro-scientific Research in the Public Interest in China</t>
  </si>
  <si>
    <t>The study was supported by the National Natural Science Foundation of China (31701389), the National Key Research and Development Project (2018YFD0300507 and the Special Fund for Agro-scientific Research in the Public Interest in China (201003053)).</t>
  </si>
  <si>
    <t>10.1002/jsfa.9714</t>
  </si>
  <si>
    <t>II8YN</t>
  </si>
  <si>
    <t>WOS:000475479900003</t>
  </si>
  <si>
    <t>Gagliardi, L; Fontanelli, M; Frasconi, C; Peruzzi, A; Raffaelli, M; Sportelli, M</t>
  </si>
  <si>
    <t>Gagliardi, Lorenzo; Fontanelli, Marco; Frasconi, Christian; Peruzzi, Andrea; Raffaelli, Michele; Sportelli, Mino</t>
  </si>
  <si>
    <t>Small autonomous machines for sustainable soil management in vegetable crops and orchards</t>
  </si>
  <si>
    <t>AGROCHIMICA</t>
  </si>
  <si>
    <t>Sustainable development and climate change: 30 years after the Honoris Causa degree in Agricultural Sciences awarded to Lester Russell Brown</t>
  </si>
  <si>
    <t>OCT 19-20, 2022</t>
  </si>
  <si>
    <t>Univ Pisa, Pisa, ITALY</t>
  </si>
  <si>
    <t>Univ Pisa</t>
  </si>
  <si>
    <t>mechanical weed control; random path planning; robotic mowing; sustainable; management; vineyard</t>
  </si>
  <si>
    <t>WEED MANAGEMENT; HERBICIDES</t>
  </si>
  <si>
    <t>In specialty crops, the interest in developing autonomous machines for weed management has grown significantly because of the decreased availability of effective herbicides, labor shortages, and high labor costs. Small autonomous mowers with random path planning, despite relaying on simplified computational resources, obtained promising results when applied in agricultural contexts, including vegetable systems, orchards and vineyards, even when compared with conventional systems. The intensive mowing activity of these mowers allows to control weeds growth and seed production, limiting their spread. These machines achieved also encouraging results for the management of living mulch, whose growth needs to be controlled to prevent competition with the cash crop. In addition, the use of these small autonomous mowers with random path planning showed to reduce the primary energy consumption and CO2 emissions of the management system, contributing to improve the sustainability of floor management. Nevertheless, further improvement of these machines is needed for the mechanization of a professional farm.</t>
  </si>
  <si>
    <t>[Gagliardi, Lorenzo; Fontanelli, Marco; Frasconi, Christian; Peruzzi, Andrea; Raffaelli, Michele; Sportelli, Mino] Univ Pisa, Dept Agr Food &amp; Environm, Pisa, Italy</t>
  </si>
  <si>
    <t>University of Pisa</t>
  </si>
  <si>
    <t>Fontanelli, M (corresponding author), Univ Pisa, Dept Agr Food &amp; Environm, Pisa, Italy.</t>
  </si>
  <si>
    <t>marco.fontanelli@unipi.it</t>
  </si>
  <si>
    <t>Sportelli, Mino/ADI-5458-2022; Gagliardi, Lorenzo/HII-5755-2022; Raffaelli, Michele/H-4280-2013; Frasconi, Christian/AAL-4963-2021</t>
  </si>
  <si>
    <t>PISA UNIV PRESS</t>
  </si>
  <si>
    <t>PISA</t>
  </si>
  <si>
    <t>LUNGARNO A PACINOTTI 43, 56100 PISA, ITALY</t>
  </si>
  <si>
    <t>0002-1857</t>
  </si>
  <si>
    <t>Agrochimica</t>
  </si>
  <si>
    <t>10.12871/00021857202307</t>
  </si>
  <si>
    <t>Chemistry, Applied; Soil Science</t>
  </si>
  <si>
    <t>Chemistry; Agriculture</t>
  </si>
  <si>
    <t>EM5V9</t>
  </si>
  <si>
    <t>WOS:001139365700009</t>
  </si>
  <si>
    <t>Marca, L; Franca, MTA; Alvim, AM; da Silva, ET</t>
  </si>
  <si>
    <t>Marca, Luan; Franca, Marco Tulio Aniceto; Alvim, Augusto Mussi; da Silva, Evandro Tatim</t>
  </si>
  <si>
    <t>Deforestation, land use, and malaria incidence in the Brazilian Amazon: A spatial analysis</t>
  </si>
  <si>
    <t>Amazon deforestation; malaria dynamics; agricultural mechanization; spatial econometrics; public health policy</t>
  </si>
  <si>
    <t>LOCAL INDICATORS; DETERMINANTS; AGRICULTURE; ERADICATION; PERSPECTIVE; BURDEN; IMPACT; POLICY</t>
  </si>
  <si>
    <t>This study analyzes the determinants of malaria incidence in the Brazilian Amazon, focusing on patterns of deforestation, agricultural mechanization, and their spatio-temporal dynamics. Using municipal-level panel data (2007-2020) and spatial econometric models, we identify two main findings: Deforestation increases malaria incidence in a non-linear fashion, with significant impacts lasting up to five years and a renewed peak nearly a decade later. Mechanization reduces transmission: A 1 % increase in heavy machinery (e.g., crawler tractors) is associated with a 0.67 % decrease in the incidence rate. A 1 % increase in light machinery (e.g., wheeled tractors) is associated with a 0.37 % decrease, attributable to intensified land use and habitat management. Policy implications may include targeted subsidies for light mechanization leasing in high-incidence municipalities. This strategy could simultaneously curb malaria and deforestation by leveraging degraded pasture areas as expansion zones for cultivation using light machinery, thus eliminating the need for forest invasion.</t>
  </si>
  <si>
    <t>[Marca, Luan; Franca, Marco Tulio Aniceto; Alvim, Augusto Mussi] Pontificia Univ Catolica Rio Grande do Sul, Business Sch, Porto Alegre, Rio Grande do S, Brazil; [da Silva, Evandro Tatim] Northwestern Reg Univ State Rio Grande Sul, Ijui, RS, Brazil</t>
  </si>
  <si>
    <t>Pontificia Universidade Catolica Do Rio Grande Do Sul</t>
  </si>
  <si>
    <t>Marca, L (corresponding author), Pontificia Univ Catolica Rio Grande do Sul, Business Sch, Porto Alegre, Rio Grande do S, Brazil.</t>
  </si>
  <si>
    <t>luan.marca@edu.pucrs.br</t>
  </si>
  <si>
    <t>Marca, Luan/NHQ-6101-2025; Alvim, Augusto/J-4489-2016</t>
  </si>
  <si>
    <t>10.1016/j.forpol.2025.103653</t>
  </si>
  <si>
    <t>8YG5F</t>
  </si>
  <si>
    <t>WOS:001600196000001</t>
  </si>
  <si>
    <t>Jian, YH; Liu, DX; Su, ZL; Xiao, JQ; Zhang, GW</t>
  </si>
  <si>
    <t>Jian, Yonghan; Liu, Dongxiao; Su, Zhiling; Xiao, Jianqiang; Zhang, Guowei</t>
  </si>
  <si>
    <t>Carbon footprint analysis considering transportation activities based on life cycle assessment: the case of tobacco industries of China</t>
  </si>
  <si>
    <t>life cycle assessment; transportation activities; tobacco industries; carbon footprint; carbon emission</t>
  </si>
  <si>
    <t>GREENHOUSE-GAS EMISSIONS; ENERGY</t>
  </si>
  <si>
    <t>Introduction With the proposal of China's Dual Carbon targets, how to measure carbon footprint in detail is particularly important. However, the current carbon footprint measurement mainly focuses on the production process, ignoring the high carbon emission caused by the transport phase. In this paper, we take the tobacco industry as the research object, and include the transport phase in the carbon footprint measurement.Methods Based on the existing statistical data, this paper adopts the Life Cycle Assessment (LCA) to comprehensively measure and analyze the carbon footprint of China's tobacco industry from 2011 to 2020.Results The results show that the average carbon footprint per hectare of the tobacco industry is about 21.57 tons of carbon dioxide equivalent, while showing a slowly increasing trend in recent years. In terms of linkage and raw material composition, the carbon footprints of fertilizer application, agricultural film input, initial curing and air transportation is relatively high, accounting for 8.2%, 66% and 4.7% of the total emissions respectively. Combined with the cost of tobacco planting, it can be found that Yunnan, Guizhou and Jiangxi are facing the problems of high input, low output and high emission.Discussion The results are of great significance in promoting low-carbon tobacco growing and green transport.</t>
  </si>
  <si>
    <t>[Jian, Yonghan; Liu, Dongxiao; Su, Zhiling; Xiao, Jianqiang] Fujian Prov Tobacco Co Xiamen Municipal Co, Xiamen, Fujian, Peoples R China; [Zhang, Guowei] Xiamen Univ, Sch Management, Xiamen, Fujian, Peoples R China</t>
  </si>
  <si>
    <t>Xiamen University</t>
  </si>
  <si>
    <t>Zhang, GW (corresponding author), Xiamen Univ, Sch Management, Xiamen, Fujian, Peoples R China.</t>
  </si>
  <si>
    <t>z1079740793@163.com</t>
  </si>
  <si>
    <t>Xiao, Jianqiang/NTR-1704-2025; Liu, Dongxiao/KCY-0501-2024</t>
  </si>
  <si>
    <t>Fujian Province Tobacco Company Xiamen Municipal Company</t>
  </si>
  <si>
    <t>The author(s) declare that financial support was received for the research and/or publication of this article. This paper is supported by the Fujian Province Tobacco Company Xiamen Municipal Company (research on Construction of Green Logistics System Based on Three-Cycle Linkage).</t>
  </si>
  <si>
    <t>OCT 9</t>
  </si>
  <si>
    <t>10.3389/fenvs.2025.1654540</t>
  </si>
  <si>
    <t>8VO4L</t>
  </si>
  <si>
    <t>WOS:001598368500001</t>
  </si>
  <si>
    <t>Cheng, YH; Yang, LS</t>
  </si>
  <si>
    <t>Cheng, Yu-Hsiang; Yang, Li-Sing</t>
  </si>
  <si>
    <t>Characteristics of Ambient Black Carbon Mass and Size-Resolved Particle Number Concentrations during Corn Straw Open-Field Burning Episode Observations at a Rural Site in Southern Taiwan</t>
  </si>
  <si>
    <t>black carbon; particle number; corn straw; open-field burning</t>
  </si>
  <si>
    <t>POLYCYCLIC AROMATIC-HYDROCARBONS; SHORT-TERM EXPOSURE; AIR-POLLUTION; ULTRAFINE PARTICLES; RICE STRAW; EMISSION FACTORS; LOS-ANGELES; URBAN AREAS; AEROSOLS; BIOMASS</t>
  </si>
  <si>
    <t>Information on the effect of open-field burning of agricultural residues on ambient black carbon (BC) mass and size-resolved particle number concentrations is scarce. In this study, to understand the effect of such open-field burning on short-term air quality, real-time variations of the BC mass and size-resolved particle number concentrations were monitored before and during a corn straw open-field burning episode at a rural site. Correlations between the BC mass and size-resolved particle number concentrations during the episode were investigated. Moreover, the particle number size distribution and absorption Angstrom exponent were determined for obtaining the characteristics of aerosol emissions from the corn straw open-field burning. The results can be used to address public health concerns and as a reference for managing similar episodes of open-field burning of agricultural residues.</t>
  </si>
  <si>
    <t>[Cheng, Yu-Hsiang; Yang, Li-Sing] Ming Chi Univ Technol, Dept Safety Hlth &amp; Environm Engn, 84 Gungjuan Rd, New Taipei 24301, Taiwan</t>
  </si>
  <si>
    <t>Ming Chi University of Technology</t>
  </si>
  <si>
    <t>Cheng, YH (corresponding author), Ming Chi Univ Technol, Dept Safety Hlth &amp; Environm Engn, 84 Gungjuan Rd, New Taipei 24301, Taiwan.</t>
  </si>
  <si>
    <t>yhcheng@mail.mcut.edu.tw; lisingyang@gmail.com</t>
  </si>
  <si>
    <t>Cheng, Yu-Hsiang/0000-0003-0822-4458</t>
  </si>
  <si>
    <t>Ministry of Science and Technology of the Republic of China, Taiwan [MOST 102-2221-E-131-002-MY3]</t>
  </si>
  <si>
    <t>Ministry of Science and Technology of the Republic of China, Taiwan(Ministry of Science and Technology, Taiwan)</t>
  </si>
  <si>
    <t>The authors would like to thank the Ministry of Science and Technology of the Republic of China, Taiwan, for financially supporting this research under Contract No. MOST 102-2221-E-131-002-MY3.</t>
  </si>
  <si>
    <t>MDPI AG</t>
  </si>
  <si>
    <t>10.3390/ijerph13070688</t>
  </si>
  <si>
    <t>DS4OG</t>
  </si>
  <si>
    <t>WOS:000380759800064</t>
  </si>
  <si>
    <t>Phelan, L; Chapman, PJ; Ziv, G</t>
  </si>
  <si>
    <t>Phelan, Lisette; Chapman, Pippa J.; Ziv, Guy</t>
  </si>
  <si>
    <t>The emerging global agricultural soil carbon market: the case for reconciling farmers' expectations with the demands of the market</t>
  </si>
  <si>
    <t>ENVIRONMENTAL DEVELOPMENT</t>
  </si>
  <si>
    <t>SEQUESTRATION; TILLAGE</t>
  </si>
  <si>
    <t>In the absence of a global environmental policy framework to standardise the monitoring, reporting and verification of soil carbon stock changes and/or reductions in soil-derived greenhouse gas emissions, private sector and civil society organisations have played a key role in governing the production and trade, and/or direct sale of carbon credits. This paper takes the United Kingdom as a case study region where carbon codes, rather than environmental policies, have served to shape the agricultural soil carbon market. It explores innovative farmers' willingness to adopt soil health practices; interest in participating in soil carbon sequestration schemes; and expectations regarding their scope to derive benefits from the market. Data was collected through online questionnaires administered to 100 farmers and six private sector and civil society organisations. Results indicate farmers' adoption of practices does not necessarily translate into a willingness to adopt additional practices and/or an ability to engage with the carbon market. Moreover, there is, currently, a gap between farmers' expectations and market demands, as articulated by carbon standards. The paper adds to global literature on the agricultural soil carbon market by illustrating how descriptive case study research can enhance understanding of the opportunities and challenges associated with incentivising farmers' market participation. Furthermore, it generates insights of relevance for policymakers and practitioners globally by outlining how a temporary relaxation of carbon code rules could facilitate early and subsequent entrants' engagement with the market; thereby kick-starting and supporting the growth and development of the market, and enhancing its transparency, robustness and integrity.</t>
  </si>
  <si>
    <t>[Phelan, Lisette; Chapman, Pippa J.; Ziv, Guy] Univ Leeds, Sch Geog, Leeds LS2 9JT, England</t>
  </si>
  <si>
    <t>University of Leeds</t>
  </si>
  <si>
    <t>Phelan, L (corresponding author), Univ Leeds, Sch Geog, Leeds LS2 9JT, England.</t>
  </si>
  <si>
    <t>phelan.lisette@gmail.com</t>
  </si>
  <si>
    <t>Chapman, Pippa/0000-0003-0438-6855; Ziv, Guy/0000-0002-6776-0763</t>
  </si>
  <si>
    <t>Environmental Agency Natural Environment Investment Readiness Fund; Natural Environment Research Council (NERC) Yorkshire Integrated Catchment Solutions Programme (iCASP) [NE/P011160/1]; Resilient Dairy Landscape project [BB/R005664/1]</t>
  </si>
  <si>
    <t>Environmental Agency Natural Environment Investment Readiness Fund; Natural Environment Research Council (NERC) Yorkshire Integrated Catchment Solutions Programme (iCASP)(UK Research &amp; Innovation (UKRI)Natural Environment Research Council (NERC)); Resilient Dairy Landscape project</t>
  </si>
  <si>
    <t>Code' (UKFSCC) project financed by the Environmental Agency Natural Environment Investment Readiness Fund (NEIRF) and the Natural Environment Research Council (NERC) Yorkshire Integrated Catchment Solutions Programme (iCASP) [grant number NE/P011160/1] . LP was partially supported by the Resilient Dairy Landscape project [grant BB/R005664/1] .</t>
  </si>
  <si>
    <t>2211-4645</t>
  </si>
  <si>
    <t>2211-4653</t>
  </si>
  <si>
    <t>ENVIRON DEV</t>
  </si>
  <si>
    <t>Environ. Dev.</t>
  </si>
  <si>
    <t>10.1016/j.envdev.2023.100941</t>
  </si>
  <si>
    <t>DC9N1</t>
  </si>
  <si>
    <t>WOS:001129951000001</t>
  </si>
  <si>
    <t>Jusoh, A; Lam, SS; Hartini, WJH; Ali, N</t>
  </si>
  <si>
    <t>Jusoh, Ahmad; Lam, Su Shiung; Hartini, W. J. H.; Ali, Nora'aini</t>
  </si>
  <si>
    <t>Removal of pesticide in agricultural runoff using granular-activated carbon: a simulation study using a fixed-bed column approach</t>
  </si>
  <si>
    <t>Pesticide; Granular activated carbon; Adsorption; Malathion; Filtration</t>
  </si>
  <si>
    <t>ADSORPTION; BATCH; FLY</t>
  </si>
  <si>
    <t>The use of pesticide and its subsequent release to the environment is a major concern for modern society as concerns over environmental pollution associated with toxic emission are recognized due to contaminants present in pesticide (particularly malathion). Adsorption process using activated carbon is among the most effective techniques for the removal of pesticides in the treatment of various waste streams. The adsorption of pesticide containing malathion in agricultural runoff was investigated using granular-activated carbon (GAC) as the adsorbent; GAC made of coconut, and palm shells were used and their effectiveness in retaining the pesticide is discussed. A fixed-bed column test was performed to simulate the actual condition of adsorption in a continuous manner in a filtration process. Different flow rates were used to evaluate their effects on the column performance, where different breakthrough curves were obtained. The Adam-Bohart breakthrough curve equation was used to predict the breakthrough curve and to obtain the adsorption capacity of pesticide on GAC. The results showed that the Adam-Bohart equation fitted the experimental data well, and the use of a bed of GAC as the adsorbent in the set up showed high capacity in retaining the pesticide present in the aqueous solution, achieving removal efficiency at the rate of 71.4 and 82.9% for palm shell activated carbon and coconut shell activated carbon, respectively. Our results indicate that the use of GAC through adsorption process shows exceptional promise as a means for treating problematic pesticide in agricultural runoff.</t>
  </si>
  <si>
    <t>[Jusoh, Ahmad; Lam, Su Shiung; Hartini, W. J. H.; Ali, Nora'aini] Univ Malaysia Terengganu, Fac Sci &amp; Technol, Dept Engn Sci, Kuala Terengganu 21030, Terengganu, Malaysia</t>
  </si>
  <si>
    <t>Universiti Malaysia Terengganu</t>
  </si>
  <si>
    <t>Jusoh, A (corresponding author), Univ Malaysia Terengganu, Fac Sci &amp; Technol, Dept Engn Sci, Kuala Terengganu 21030, Terengganu, Malaysia.</t>
  </si>
  <si>
    <t>ahmadj@umt.edu.my</t>
  </si>
  <si>
    <t>LAM, SU SHIUNG/K-7436-2012; bin Jusoh, Ahmad/JAX-3887-2023; Hartini, Hajjar/JUU-3277-2023; Ali, Nora'aini/AAD-1030-2020; Lam, Su Shiung/K-7436-2012</t>
  </si>
  <si>
    <t>LAM, SU SHIUNG/0000-0002-5318-1760; ALI, NORA'AINI/0000-0003-1391-2757</t>
  </si>
  <si>
    <t>Universiti Malaysia Terengganu (UMT); FRGS MOSTI</t>
  </si>
  <si>
    <t>The authors thank Universiti Malaysia Terengganu (UMT) and FRGS MOSTI for their financial support of this project.</t>
  </si>
  <si>
    <t>DESALINATION PUBL</t>
  </si>
  <si>
    <t>HOPKINTON</t>
  </si>
  <si>
    <t>36 WALCOTT VALLEY DRIVE,, HOPKINTON, MA 01748 USA</t>
  </si>
  <si>
    <t>JAN 28</t>
  </si>
  <si>
    <t>4-6</t>
  </si>
  <si>
    <t>10.1080/19443994.2013.826329</t>
  </si>
  <si>
    <t>AA3ZD</t>
  </si>
  <si>
    <t>WOS:000331032800037</t>
  </si>
  <si>
    <t>Adnan, M; Shah, Z; Sharif, M; Rahman, H</t>
  </si>
  <si>
    <t>Adnan, Muhammad; Shah, Zahir; Sharif, Muhammad; Rahman, Hidayatur</t>
  </si>
  <si>
    <t>Liming induces carbon dioxide (CO2) emission in PSB inoculated alkaline soil supplemented with different phosphorus sources</t>
  </si>
  <si>
    <t>Alkaline soil; Carbon dioxide; Liming; Poultrymanure; Soil respiration</t>
  </si>
  <si>
    <t>NITROGEN MINERALIZATION; LAND-USE; CLIMATE-CHANGE; LIME; PHOSPHATE; AGRICULTURE; RESPIRATION; TEMPERATURE; FERTILIZER; ACID</t>
  </si>
  <si>
    <t>Agricultural land is a major sink of global organic carbon (C). Its suitable management is crucial for improving C sequestration and reducing soil CO2 emission. Incubation experiments were performed to assess the impact of phosphate solubilizing bacterial (PSB) inoculation (inoculated and uninoculated) and soil calcification (4.78, 10, 15, and 20% crushed CaCO3) with phosphorus (P) sources [single superphosphate (SSP), rock phosphate (RP), farm yard manure (FYM), and poultry manure (PM)] in experiment 1 and with various rates of PM (4, 8, and 12 kg ha(-1)) in experiment 2 on cumulative soil respiration. These experiments were arranged in three factorial, complete randomize design (CRD) with three replications. Interactively, lime with P sources (at day 1 and 3) and lime with PSB (at day 1) significantly expedited soil respiration. Mainly, PSB inoculation, liming, PM fertilization, and its various rates significantly enhanced soil respiration with time over control/minimum in alkaline soil at all incubation periods. Higher CO2 emission was detected in soil supplemented with organic P sources (PM and FYM) than mineral sources (SSP and RP). CO2 emission was noted to increase with increasing PM content. Since liming intensified CO2 discharge from soil, therefore addition of lime to an alkaline soil should be avoided; instead, integrated approaches must be adopted for P management in alkaline calcareous soils for climate-smart agriculture.</t>
  </si>
  <si>
    <t>[Adnan, Muhammad] Univ Swabi, Dept Agr, Swabi, Pakistan; [Adnan, Muhammad; Shah, Zahir; Sharif, Muhammad] Univ Peshawar, Dept Soil &amp; Environm Sci, Univ Agr, Peshawar, Pakistan; [Rahman, Hidayatur] Univ Peshawar, Dept Plant Breeding &amp; Genet, Univ Agr, Peshawar, Pakistan</t>
  </si>
  <si>
    <t>University of Agriculture Faisalabad; Agricultural University Peshawar; University of Peshawar; University of Agriculture Faisalabad; University of Peshawar; Agricultural University Peshawar</t>
  </si>
  <si>
    <t>Adnan, M (corresponding author), Univ Swabi, Dept Agr, Swabi, Pakistan.;Adnan, M; Shah, Z (corresponding author), Univ Peshawar, Dept Soil &amp; Environm Sci, Univ Agr, Peshawar, Pakistan.</t>
  </si>
  <si>
    <t>madnanses@gmail.com; zahirshah@aup.edu.pk</t>
  </si>
  <si>
    <t>; Adnan, Muhammad/AFB-8795-2022; Sharif, Muhammad/K-7578-2017</t>
  </si>
  <si>
    <t>adnan, muhammad/0000-0001-9081-2229;</t>
  </si>
  <si>
    <t>10.1007/s11356-018-1255-4</t>
  </si>
  <si>
    <t>GC1SK</t>
  </si>
  <si>
    <t>WOS:000429561900030</t>
  </si>
  <si>
    <t>He, DB; Dong, ZX; Zhu, B</t>
  </si>
  <si>
    <t>He, Debo; Dong, Zhixin; Zhu, Bo</t>
  </si>
  <si>
    <t>Biochar carbon-based amendment rather than straw contributes to the mitigation of greenhouse gas emissions while increasing crop yield: Insights from a field experiment and density functional theory calculation</t>
  </si>
  <si>
    <t>Cropland greenhouse gas emissions; Carbon-based amendment; Biochar; Straw; DFT calculation</t>
  </si>
  <si>
    <t>COMMUNITY COMPOSITION; WHEAT-STRAW; N2O FLUXES; SOIL; DECOMPOSITION; SYSTEMS; MAIZE; DFT; CH4</t>
  </si>
  <si>
    <t>Soil greenhouse gas (GHG) emissions from anthropogenic activities, particularly agriculture, pose a considerable challenge to ecological security. Recently, applying biochar and straw has been recognized as a potential measure to enhance soil carbon sequestration and combat climate change. However, the mechanisms underlying the differences in surface properties of biochar and straw on soil GHG emissions remain unclear. Therefore, this study evaluated the soil GHG emissions reduction potential of biochar- and straw-amended fields based on long-term experimental plots. Additionally, we employed density functional theory calculations to investigate how the distinct surface properties of biochar and straw influence soil GHG emissions at the molecular level. The findings indicated that biochar-amended fields increased CH4 uptake by 320.7 % and reduced N2O emissions by 63.1 % compared to conventional fertilized (CK) fields, resulting in a net reduction of 538.4 kg ha-1 in CO2 equivalent (CO2eq) emissions, with an increase in crop yield by 10.9 %. The straw-amended field increased CO2 emissions by 31.4 %, resulting in a net increase of 1261.2 kg CO2eq ha-1 compared to CK. The enhanced resistance to biochemical decomposition and stronger adsorption interactions, facilitated by the aromatized stabilized structure and functional biochar groups, are key factors enabling biochar-amended soils to exhibit lower GHG emissions intensities than straw. These findings could represent a breakthrough in understanding how biochar balances soil carbon sequestration with GHG emissions while aiding in optimizing crop residue management practices to sustain soil health and promote sustainable agricultural and ecological development.</t>
  </si>
  <si>
    <t>[He, Debo; Dong, Zhixin; Zhu, Bo] Chinese Acad Sci, Inst Mt Hazards &amp; Environm, Chengdu 610041, Peoples R China; [He, Debo; Dong, Zhixin; Zhu, Bo] Chinese Acad Sci, Key Lab Mt Surface Proc &amp; Ecol Regulat, Chengdu 610041, Peoples R China; [He, Debo] Univ Chinese Acad Sci, Beijing 100049, Peoples R China</t>
  </si>
  <si>
    <t>Dong, ZX; Zhu, B (corresponding author), Chinese Acad Sci, Inst Mt Hazards &amp; Environm, Chengdu 610041, Peoples R China.</t>
  </si>
  <si>
    <t>zhxdong@imde.ac.cn; bzhu_imde@163.com</t>
  </si>
  <si>
    <t>10.1016/j.eti.2025.104250</t>
  </si>
  <si>
    <t>2SF6Z</t>
  </si>
  <si>
    <t>WOS:001490068600002</t>
  </si>
  <si>
    <t>Sangsayan, R; Kamble, MT; Salin, KR</t>
  </si>
  <si>
    <t>Sangsayan, Ratthanin; Kamble, Manoj Tukaram; Salin, Krishna Rugmini</t>
  </si>
  <si>
    <t>Drivers of carbon footprint variability in shrimp aquaculture: insights from aquamimicry shrimp farming</t>
  </si>
  <si>
    <t>AQUACULTURE INTERNATIONAL</t>
  </si>
  <si>
    <t>Aquamimicry shrimp farming; Carbon footprint; Sustainable aquaculture; Shrimp; Production efficiency</t>
  </si>
  <si>
    <t>Aquaculture continues to expand globally, particularly in Asia, with production reaching 130.9 million tons, valued at US$ 312.8 billion in 2022. The adoption of sustainable practices, such as Aquamimicry Shrimp Farming (ASF), is crucial for mitigating environmental impacts while enhancing food security. Aquamimicry applies biomimicry principles to replicate natural aquatic ecosystems within closed farming environments, thereby promoting effective waste management and optimizing shrimp production. This study assessed the carbon footprint (CF) of ASF operations in Prachuap Khiri Khan Province, Thailand, using a Life Cycle Assessment (LCA) framework combined with statistical techniques, including descriptive statistics, multivariate analysis, and stepwise regression, to evaluate different production levels. Data were collected from 40 shrimp farms practicing ASF under Good Agricultural Practices (GAP) certification scheme. Farms were classified into three groups based on yield: Group H (high production, over 10 tons/ha), Group M (medium production, 5-10 tons/ha), and Group L (low production, &lt;= 5 tons/ha), to investigate the association between farming practices and carbon emissions. Results indicated that improved management practices were positively associated with increased productivity and lower carbon footprints, with Group H exhibiting the most favourable sustainability indicators. Electricity consumption emerged as the primary contributor to total carbon emissions (51.35%), while the rearing phase accounted for the majority of emissions (88.05%). A negative correlation was observed between carbon footprint and shrimp survival rates (r = -0.357), underscoring the importance of efficient farming strategies. Stepwise regression identified average harvest size and stocking density as significant factors influencing production outcomes. Well-managed farms in Group H achieved better feed conversion ratios, higher survival rates, and lower emissions per unit of shrimp produced. In conclusion, the findings highlight that effective management within Aquamimicry systems enhances both production efficiency and environmental sustainability, reinforcing the potential of ASF as a promising strategy for sustainable shrimp farming.</t>
  </si>
  <si>
    <t>[Sangsayan, Ratthanin; Salin, Krishna Rugmini] Asian Inst Technol, Dept Food Agr &amp; Nat Resources, Aquaculture &amp; Aquat Resources Management, Pathum Thani 12120, Thailand; [Sangsayan, Ratthanin] Minist Agr &amp; Cooperat, Dept Fisheries, Fisheries Foreign Affairs Div, Bangkok 10900, Thailand; [Kamble, Manoj Tukaram] Chulalongkorn Univ, Fac Vet Sci, Ctr Excellence Wildlife Exot &amp; Aquat Anim Pathol, Bangkok 10330, Thailand</t>
  </si>
  <si>
    <t>Asian Institute of Technology; Ministry of Agriculture &amp; Cooperatives - Thailand; Chulalongkorn University</t>
  </si>
  <si>
    <t>Salin, KR (corresponding author), Asian Inst Technol, Dept Food Agr &amp; Nat Resources, Aquaculture &amp; Aquat Resources Management, Pathum Thani 12120, Thailand.</t>
  </si>
  <si>
    <t>salinkr@ait.ac.th</t>
  </si>
  <si>
    <t>Kamble, Dr. Manoj/ABF-5409-2021; R, Salin/AAQ-7246-2020</t>
  </si>
  <si>
    <t>Kamble, Manoj/0000-0001-7501-2151</t>
  </si>
  <si>
    <t>Ministry of Agriculture and Cooperatives; Ministry of Agriculture and Cooperatives (MOAC), Thailand; Asian Institute of Technology (AIT), Thailand</t>
  </si>
  <si>
    <t>This research project was supported by the Ministry of Agriculture and Cooperatives (MOAC), Thailand and the Asian Institute of Technology (AIT), Thailand. The authors greatly appreciate Dr. Putth Songsangjinda, Advisor for the Management of Marine Shrimp Farming Systems at the Department of Fisheries, Thailand, for his invaluable guidance and encouragement throughout this research.</t>
  </si>
  <si>
    <t>0967-6120</t>
  </si>
  <si>
    <t>1573-143X</t>
  </si>
  <si>
    <t>AQUACULT INT</t>
  </si>
  <si>
    <t>Aquac. Int.</t>
  </si>
  <si>
    <t>10.1007/s10499-025-02040-6</t>
  </si>
  <si>
    <t>Fisheries</t>
  </si>
  <si>
    <t>2ZN4X</t>
  </si>
  <si>
    <t>WOS:001495043000001</t>
  </si>
  <si>
    <t>Moreno-Ramón, H; Ulzurrun, J; Lidon, A; Sanjuán, N</t>
  </si>
  <si>
    <t>Moreno-Ramon, Hector; Ulzurrun, Jaume; Lidon, Antonio; Sanjuan, Neus</t>
  </si>
  <si>
    <t>Assessing the environmental impacts of rice in an anthropized Mediterranean wetland: Towards carbon farming</t>
  </si>
  <si>
    <t>Environmental impacts; Rice; On -field emissions; Soil organic carbon</t>
  </si>
  <si>
    <t>GREENHOUSE-GAS EMISSIONS; LIFE-CYCLE ASSESSMENT; NITROUS-OXIDE EVOLUTION; TOTAL CH4 EMISSION; N2O EMISSIONS; PADDY FIELDS; PRODUCTION SYSTEMS; SOIL CARBON; WATER MANAGEMENT; CROPPING SEASONS</t>
  </si>
  <si>
    <t>Rice fields in southern Europe are mainly located in wetlands of high ecological value, such as L'Albufera, one of the most important rice-growing areas in Spain. Considering the unique characteristics of this environment, it is crucial to identify those farming practices that minimize the on-field emissions of this crop, one of the main causes of its impacts, and increase soil organic carbon to mitigate climate change. This study assesses the environmental impact of rice grown in L'Albufera from a cradle-to-farm gate perspective, considering current practices of removing straw from the field and a scenario in which the straw is chopped and incorporated into the soil. The functional unit on which the results are expressed is 1 kg of rice. Primary data were collected from a representative farm to develop the life cycle inventory. On-field emissions and annual changes in soil organic carbon were estimated using the Denitrification-Decomposition (DNDC) mechanistic model, and the results were compared with those obtained using conventional Tier 1 and Tier 2 methods. All the impact categories were evaluated following the EF v3.0 characterization method. On-field emissions estimated with DNDC show differences from those calculated by conventional methods, mainly for CH4, NO3- and NH3. The results highlight the great importance of on-field emissions on most impacts, namely climate change, freshwater and marine eutrophication, ozone depletion, terrestrial acidification, ecotoxicity, and human toxicity. The DNDC model estimates CH4 and CO2 emissions to increase when straw is incorporated into the soil. However, the annual change in soil organic carbon decreases by &gt;50 %, and NH3 and N2O are reduced by 13 % and 11 %, respectively. Consequently, differences in impact scores are observed for acidification, terrestrial eutrophication, and particulate matter (about 12 % higher), but also for climate change (15 % lower) and photochemical ozone formation (4 % lower). The need to harmonize methodologies to estimate on-field emissions and the changes in soil organic carbon is highlighted to improve the application of life cycle assessment to agricultural systems, particularly rice cultivation. To effectively promote carbon farming practices related to straw management in paddy rice, it is necessary to conduct long-term field studies to measure on-field emissions associated with each alternative experimentally.</t>
  </si>
  <si>
    <t>[Moreno-Ramon, Hector] Univ Politecn Valencia, Dept Plant Prod, Cami Vera s-n, Valencia 46021, Spain; [Ulzurrun, Jaume; Sanjuan, Neus] Univ Politecn Valencia, FoodUPV, Cami Vera s-n, Valencia 46021, Spain; [Lidon, Antonio] Univ Politecn Valencia, Res Inst Water &amp; Environm Engn, Cami Vera s-n, Valencia 46021, Spain</t>
  </si>
  <si>
    <t>Universitat Politecnica de Valencia; Universitat Politecnica de Valencia; Universitat Politecnica de Valencia</t>
  </si>
  <si>
    <t>Sanjuán, N (corresponding author), Univ Politecn Valencia, FoodUPV, Cami Vera s-n, Valencia 46021, Spain.</t>
  </si>
  <si>
    <t>hecmora@prv.upv.es; alidon@qim.upv.es</t>
  </si>
  <si>
    <t>Sanjuan, Neus/AAH-6777-2019; Moreno-Ramón, Héctor/F-7613-2016</t>
  </si>
  <si>
    <t>Sanjuán, Neus/0000-0001-9413-0268;</t>
  </si>
  <si>
    <t>10.1016/j.spc.2024.01.019</t>
  </si>
  <si>
    <t>KI6W5</t>
  </si>
  <si>
    <t>WOS:001179380000001</t>
  </si>
  <si>
    <t>Marçal, MFM; de Souza, ZM; Tavares, RLM; Farhate, CVV; Oliveira, SRM; Galindo, FS</t>
  </si>
  <si>
    <t>Magioni Marcal, Maria Fernanda; de Souza, Zigomar Menezes; Moraes Tavares, Rose Luiza; Vieira Farhate, Camila Viana; Medeiros Oliveira, Stanley Robson; Galindo, Fernando Shintate</t>
  </si>
  <si>
    <t>Predictive Models to Estimate Carbon Stocks in Agroforestry Systems</t>
  </si>
  <si>
    <t>organic matter; carbon sequestration; land use systems; data mining technique; random forest</t>
  </si>
  <si>
    <t>ORGANIC-MATTER; SOIL CARBON; SEQUESTRATION</t>
  </si>
  <si>
    <t>This study aims to assess the carbon stock in a pasture area and fragment of forest in natural regeneration, given the importance of agroforestry systems in mitigating gas emissions which contribute to the greenhouse effect, as well as promoting the maintenance of agricultural productivity. Our other goal was to predict the carbon stock, according to different land use systems, from physical and chemical soil variables using the Random Forest algorithm. We carried out our study at an Entisols Quartzipsamments area with a completely randomized experimental design: four treatments and six replites. The treatments consisted of the following: (i) an agroforestry system developed for livestock, (ii) an agroforestry system developed for fruit culture, (iii) a conventional pasture, and (iv) a forest fragment. Deformed and undeformed soil samples were collected in order to analyze their physical and chemical properties across two consecutive agricultural years. The response variable, carbon stock, was subjected to a boxplot analysis and all the databases were used for a predictive modeling which in turn used the Random Forest algorithm. Results led to the conclusion that the agroforestry systems developed both for fruit culture and livestock, are more efficient at stocking carbon in the soil than the pasture area and forest fragment undergoing natural regeneration. Nitrogen stock and land use systems are the most important variables to estimate carbon stock from the physical and chemical variables of soil using the Random Forest algorithm. The predictive models generated from the physical and chemical variables of soil, as well as the Random Forest algorithm, presented a high potential for predicting soil carbon stock and are sensitive to different land use systems.</t>
  </si>
  <si>
    <t>[Magioni Marcal, Maria Fernanda; de Souza, Zigomar Menezes; Vieira Farhate, Camila Viana; Medeiros Oliveira, Stanley Robson; Galindo, Fernando Shintate] Univ Campinas Unicamp, Sch Agr Engn Feagri, BR-13083970 Campinas, Brazil; [Moraes Tavares, Rose Luiza] Univ Rio Verde UniRV, Sch Agron, BR-75901970 Rio Verde, Brazil; [Vieira Farhate, Camila Viana] Univ State Sao Paulo Unesp, Sch Agr &amp; Vet Sci, BR-14884900 Jaboticabal, Brazil; [Medeiros Oliveira, Stanley Robson] Brazilian Agr Res Corp Embrapa, BR-13083970 Campinas, Brazil; [Galindo, Fernando Shintate] Univ State Sao Paulo Unesp, Sch Agron, BR-15385000 Ilha Solteira, Brazil</t>
  </si>
  <si>
    <t>Universidade Estadual de Campinas; Universidade de Rio Verde Universidade Fesurv; Universidade Estadual Paulista; Empresa Brasileira de Pesquisa Agropecuaria (EMBRAPA); Universidade Estadual Paulista</t>
  </si>
  <si>
    <t>Tavares, RLM (corresponding author), Univ Rio Verde UniRV, Sch Agron, BR-75901970 Rio Verde, Brazil.</t>
  </si>
  <si>
    <t>femagioni@gmail.com; zigomarms@feagri.unicamp.br; roseluiza@unirv.edu.br; camilavianav@hotmail.com; stanley.oliveira@embrapa.br; fs.galindo@yahoo.com.br</t>
  </si>
  <si>
    <t>Galindo, Fernando Shintate/M-2373-2017; Souza, Zigomar/E-5800-2012; Farhate, Camila/H-2151-2018; Moraes Tavares, Rose Luiza/AAV-6497-2020; Farhate, Camila/AAT-3044-2020; Oliveira, Stanley/AAT-5252-2020; Galindo, Fernando/M-2373-2017; Tavares, Rose Luiza/AAV-6497-2020</t>
  </si>
  <si>
    <t>Galindo, Fernando Shintate/0000-0001-5118-7459; Farhate, Camila/0000-0002-5027-9295; Moraes Tavares, Rose Luiza/0000-0003-4672-8470;</t>
  </si>
  <si>
    <t>Conselho Nacional de Desenvolvimento Cientifico e Tecnologico (CNPq), Brazil</t>
  </si>
  <si>
    <t>Conselho Nacional de Desenvolvimento Cientifico e Tecnologico (CNPq), Brazil(Conselho Nacional de Desenvolvimento Cientifico e Tecnologico (CNPQ))</t>
  </si>
  <si>
    <t>We thank Conselho Nacional de Desenvolvimento Cientifico e Tecnologico (CNPq), Brazil for providing Master's scholarships to Marcal, M.F.M., and thank the owners of TOCA farm for providing the experimental areas and financial support to our research.</t>
  </si>
  <si>
    <t>10.3390/f12091240</t>
  </si>
  <si>
    <t>UV6ST</t>
  </si>
  <si>
    <t>WOS:000699606200001</t>
  </si>
  <si>
    <t>Baldos, ULC; Pineda, AC; Fuglie, KO; Hertel, TW</t>
  </si>
  <si>
    <t>Baldos, Uris Lantz C.; Cisneros- Pineda, Alfredo; Fuglie, Keith O.; Hertel, Thomas W.</t>
  </si>
  <si>
    <t>Adoption of improved crop varieties limited biodiversity losses, terrestrial carbon emissions, and cropland expansion in the tropics</t>
  </si>
  <si>
    <t>agricultural productivity; biodiversity; land use change emissions</t>
  </si>
  <si>
    <t>LAND-USE; PRODUCTIVITY GROWTH; IMPACTS; AGRICULTURE</t>
  </si>
  <si>
    <t>Research investments in crop improvements, including by national and international agricultural research centers, have made significant contributions to raising yields of staple food crops in developing countries. Although mostly intended to improve food security and rural incomes, innovations in crop production also have major implications for the environment. Building on the latest productivity estimates from historical crop improvements in developing countries and using a gridded (0.25 degrees) equilibrium model of global agriculture, we assess the impacts of improved crop varieties on cropland use, threatened biodiversity, and terrestrial carbon stocks over 1961-2015. We replicate a historical baseline and produce a counterfactual scenario which shows the impact of omitting productivity improvements from these technologies. The results show that higher crop productivity generally lowered commodity prices, which reduced incentives to expand cropland except in those areas where productivity gains outweighed price declines. The net global effect of technology adoption was to limit conversion of natural habitat to agricultural use, although it did cause cropland to expand in some areas. We estimate that adoption of improved crop varieties in developing countries saved on net 16.03 [95% CI, 12.33 to 20.89] million hectares worldwide. With more natural habitat preserved, around 1,043 [95% CI, 616 to 1,503] threatened animal and plant species extinctions were avoided over this period. In addition, net land use savings from the improved crop varieties resulted in avoided terrestrial greenhouse gas (GHG) emissions of around 5.35 [95% CI, 3.75 to 7.22] billion metric tons CO2 equivalent retained in terrestrial carbon stocks.</t>
  </si>
  <si>
    <t>[Baldos, Uris Lantz C.; Cisneros- Pineda, Alfredo; Hertel, Thomas W.] Purdue Univ, Dept Agr Econ, W Lafayette, IN 47907 USA; [Fuglie, Keith O.] USDA, Econ Res Serv Resource &amp; Rural Econ Div, Washington, DC 20250 USA</t>
  </si>
  <si>
    <t>Purdue University System; Purdue University; United States Department of Agriculture (USDA)</t>
  </si>
  <si>
    <t>Baldos, ULC (corresponding author), Purdue Univ, Dept Agr Econ, W Lafayette, IN 47907 USA.</t>
  </si>
  <si>
    <t>ubaldos@purdue.edu</t>
  </si>
  <si>
    <t>Baldos, Uris Lantz C/0000-0003-3893-0839</t>
  </si>
  <si>
    <t>10.1073/pnas.2404839122</t>
  </si>
  <si>
    <t>Z4Q2S</t>
  </si>
  <si>
    <t>WOS:001438766700024</t>
  </si>
  <si>
    <t>Alam, MK; Bell, RW; Biswas, WK</t>
  </si>
  <si>
    <t>Alam, Md Khairul; Bell, Richard W.; Biswas, Wahidul K.</t>
  </si>
  <si>
    <t>Increases in soil sequestered carbon under conservation agriculture cropping decrease the estimated greenhouse gas emissions of wetland rice using life cycle assessment</t>
  </si>
  <si>
    <t>Barind area; Global warming potential (GWP) mitigation; Labour requirement; Non-puddled transplanting; Puddling; Rice-based cropping systems</t>
  </si>
  <si>
    <t>NITROUS-OXIDE EMISSIONS; PRODUCTION SYSTEMS; METHANE EMISSION; ENVIRONMENTAL IMPACTS; ORGANIC-MATTER; CLIMATE-CHANGE; REDUCTION; SUSTAINABILITY; SEQUESTRATION; IRRIGATION</t>
  </si>
  <si>
    <t>Wetland rainfed rice (Oryza sativa L.), which covers 60 million hectares in South Asia, contributes significantly to agricultural greenhouse gas (GHG) emissions. Mitigation strategies for GHG emissions by wetland rice production are of considerable importance. Life cycle assessment of GHG emissions can be used to assess the mitigation potential of new rice production practices such as seedling establishment on non-puddled soil. The aim of the study was firstly to determine the GHG mitigation potential of rainfed rice production by changing to non-puddled transplanting and increased crop residue retention and secondly to determine the addition contribution of soil carbon sequestration to net GHG emissions with the altered crop establishment approach. A cradle to farm-gate Life Cycle Analysis was used to calculate GHG emissions associated with monsoon rice production in rice-based intensive cropping systems of Northwest Bangladesh. The non-puddled transplanting and low residue retention decreased the net life cycle assessment GHG emissions (CO(2)eq) by 31% in comparison with the current puddled transplanting and increased crop residue retention. By contrast, non-puddling with increased residue retention reduced emission of the net GHG by 16% in comparison with current puddling and low residue retention. Regardless of rice establishment practices, CH4 was the most prevalent GHG emission comprising 63-67% of the total GHGs, followed by 17-20% from CO2 emissions from the field. The GHG emissions tonne(-1) rice after accounting for soil carbon storage ranged from 1.04 to 1.18 tonne CO(2)eq for non-puddling with low and increased crop residue retention, respectively. The inclusion of soil carbon in the footprint equation represents a 26% reduction of estimated GHG emissions under non-puddled soil with increased residue retention. Overall, non-puddled transplanting with increased crop residue retention was an effective GHG mitigation option in wetland monsoon rice production because the increased yield and extra soil organic carbon storage more than offset its higher CH4 emissions than with low residue retention. (C) 2019 Elsevier Ltd. All rights reserved.</t>
  </si>
  <si>
    <t>[Alam, Md Khairul; Bell, Richard W.] Murdoch Univ, Sch Vet &amp; Life Sci, Land Management Grp, Murdoch, WA 6150, Australia; [Biswas, Wahidul K.] Curtin Univ, Sch Civil &amp; Mech Engn, Sustainable Engn Grp, Bentley, WA 6845, Australia; [Alam, Md Khairul] Bangladesh Agr Res Inst, Soil Sci Div, Gazipur 1701, Bangladesh</t>
  </si>
  <si>
    <t>Murdoch University; Curtin University; Bangladesh Agricultural Research Institute (BARI)</t>
  </si>
  <si>
    <t>Alam, MK (corresponding author), Murdoch Univ, Sch Vet &amp; Life Sci, Land Management Grp, Murdoch, WA 6150, Australia.</t>
  </si>
  <si>
    <t>khairul.krishi@gmail.com</t>
  </si>
  <si>
    <t>; Alam, Khairul/AAM-9623-2020</t>
  </si>
  <si>
    <t>Bell, Richard/0000-0002-7756-3755; Alam, Khairul/0000-0002-1247-9173;</t>
  </si>
  <si>
    <t>Australian Centre for International Agricultural Research [LWR 2010/080]; Australian Centre for International Agricultural Research (John Allwright Fellowship)</t>
  </si>
  <si>
    <t>Australian Centre for International Agricultural Research(Australian Centre for International Agricultural Research); Australian Centre for International Agricultural Research (John Allwright Fellowship)(Australian Centre for International Agricultural Research)</t>
  </si>
  <si>
    <t>The authors would like to thank the Institute of Fuel Research and Development laboratories along with the Soil, Agronomy and Environment Section of the Biological Research Division of the Bangladesh Council of Scientific and Industrial Research for their full cooperation in analysing gas samples and soil samples. The authors are grateful for the use of laboratories at the Soil Science Division of the Bangladesh Agricultural Research Institute and to the farmer at Alipur, Bangladesh who permitted the use of his land. The authors also thank the Australian Centre for International Agricultural Research (Project LWR 2010/080 and a John Allwright Fellowship) for a scholarship for the senior author and for their funding support.</t>
  </si>
  <si>
    <t>10.1016/j.jclepro.2019.03.215</t>
  </si>
  <si>
    <t>HZ9BX</t>
  </si>
  <si>
    <t>WOS:000469151900007</t>
  </si>
  <si>
    <t>Liu, SD; Wang, L; Zhang, J; Ding, SP</t>
  </si>
  <si>
    <t>Liu, Shidong; Wang, Li; Zhang, Jie; Ding, Shengping</t>
  </si>
  <si>
    <t>Opposite effect on soil organic carbon between grain and non-grain crops: Evidence from Main Grain Land, China</t>
  </si>
  <si>
    <t>agricultural carbon emissions; main grain land; planting intensity; soil organic carbon</t>
  </si>
  <si>
    <t>GREENHOUSE-GAS EMISSIONS; CLIMATE-CHANGE; SEQUESTRATION; CROPLAND; DATASET; TARGETS</t>
  </si>
  <si>
    <t>The soil organic carbon (SOC) content of cropland affects global food production and is crucial for agricultural carbon reduction. The SOC response to long-term changes in main grain land (MGL) likely differs from non-MGL cropland. We constructed a quantitative indicator system for the MGL planting pattern to reveal the relationship between MGL use change and SOC. We produced an MGL dataset for China from 1985 to 2020 based on the existing MGL distribution data and available Landsat images and analyzed the heterogeneity of SOC under different MGLs using two SOC datasets. Time series change detection explained the interaction between planting patterns and SOC. Different MGLs exhibited considerable heterogeneity in SOC. The single rice area with the highest SOC was twice (31.62 g/kg) that of the wheat and maize areas. SOC showed an opposite trend in MGL and non-MGL with increased planting intensity. Soil SOC content affected the expansion decisions of farmers in cropland and MGL. Areas with a high SOC were developed into MGL by farmers early. MGL consumed more SOC and had a stronger urgency for fallow cultivation than non-MGL. The planting intensity of MGL more than the inflection threshold (about 15 years) decreased shallow SOC (0-15 cm), decreasing below the initial value after more than 30 years. Currently, 62.08 % of MGL in China causes a decrease in SOC, with an urgent need for a fallow MGL of 27.38 Mha. Theoretical guidance for optimizing crop planting patterns to ensure food security and reduce agricultural carbon emissions was provided.</t>
  </si>
  <si>
    <t>[Liu, Shidong; Wang, Li] Chinese Acad Sci, Aerosp Informat Res Inst, Key Lab Remote Sensing &amp; Digital Earth, Beijing 100094, Peoples R China; [Zhang, Jie] Tsinghua Univ, Inst Global Change Studies, Dept Earth Syst Sci, Minist Educ,Key Lab Earth Syst Modeling, Beijing 100084, Peoples R China; [Ding, Shengping] Univ Copenhagen, Fac Sci, DK-1350 Copenhagen, Denmark</t>
  </si>
  <si>
    <t>Chinese Academy of Sciences; Aerospace Information Research Institute, CAS; Tsinghua University; University of Copenhagen</t>
  </si>
  <si>
    <t>Wang, L (corresponding author), Chinese Acad Sci, Aerosp Informat Res Inst, Key Lab Remote Sensing &amp; Digital Earth, Beijing 100094, Peoples R China.;Zhang, J (corresponding author), Tsinghua Univ, Inst Global Change Studies, Dept Earth Syst Sci, Minist Educ,Key Lab Earth Syst Modeling, Beijing 100084, Peoples R China.</t>
  </si>
  <si>
    <t>wangli@radi.ac.cn; zhangjie1126@mail.tsinghua.edu.cn</t>
  </si>
  <si>
    <t>Ding, Shengping/GZK-2694-2022; Wang, Li/P-9811-2018; Liu, Shidong/JVZ-4422-2024</t>
  </si>
  <si>
    <t>Liu, Shidong/0009-0008-6320-0161; Zhang, Jie/0000-0001-8734-8859</t>
  </si>
  <si>
    <t>National Natural Science Foundation of China [42401082]; Postdoctoral Fellowship Program of CPSF [GZC20240855]; China Postdoctoral Science Foundation [2024M751623]; Special Research Assistant Program of the Chinese Academy of Sciences</t>
  </si>
  <si>
    <t>National Natural Science Foundation of China(National Natural Science Foundation of China (NSFC)); Postdoctoral Fellowship Program of CPSF; China Postdoctoral Science Foundation(China Postdoctoral Science Foundation); Special Research Assistant Program of the Chinese Academy of Sciences</t>
  </si>
  <si>
    <t>This work was supported by the National Natural Science Foundation of China (Grant No: 42401082) , Postdoctoral Fellowship Program of CPSF (Grant No: GZC20232757) , the Postdoctoral Fellowship Program of CPSF (Grant No: GZC20240855) , the Special Research Assistant Program of the Chinese Academy of Sciences, and the Project funded by China Postdoctoral Science Foundation (Grant No: 2024M751623) . Also, authors gratefully acknowledge the colleagues and friends in Aerospace Information Research Institute for offering the basic data and relevant information. We also want to thank the anonymous reviewers for their valuable suggestions and comments that contributed to improving the quality of the manuscript.</t>
  </si>
  <si>
    <t>FEB 28</t>
  </si>
  <si>
    <t>10.1016/j.agee.2024.109364</t>
  </si>
  <si>
    <t>M2K1Y</t>
  </si>
  <si>
    <t>WOS:001355870300001</t>
  </si>
  <si>
    <t>Demirtas, M</t>
  </si>
  <si>
    <t>Demirtas, Muhammet</t>
  </si>
  <si>
    <t>Evaluation of energy use and carbon dioxide emissions from the consumption of fossil fuels and agricultural chemicals for paste tomato cultivation in the Bursa region of Turkey</t>
  </si>
  <si>
    <t>Tomato; Energy use; Environmental assessment; Chemical use; Direct inputs; Sustainable cultivation</t>
  </si>
  <si>
    <t>GREENHOUSE-GAS EMISSIONS; LIFE-CYCLE ASSESSMENT; CONSERVATION TILLAGE; SUSTAINABLE AGRICULTURE; OPTIMIZATION TECHNIQUES; PESTICIDE-RESIDUES; RISK-ASSESSMENT; HEAVY-METALS; SOIL; DISSIPATION</t>
  </si>
  <si>
    <t>This study was aimed to determine the fossil fuel consumption, energy use, and carbon dioxide (CO2) emissions in per unit production area (ha) considering the petroleum products (PP) directly used and the chemical fertilizers and pesticides for the cultivation of paste tomatoes in open-field conditions in Bursa region of Turkey. The primary data of the study consisted of data collected by making face-to-face surveys with the producers of paste tomatoes in the Bursa region. The direct energy inputs and CO2 emissions related to diesel fuel and lubricant oil consumptions of engines of agricultural tractors for cultivation operations and the indirect energy inputs and CO2 emissions related to the manufacturing of chemical fertilizers and plant growth regulators used for plant nutrition and pesticides used for plant protection were determined for paste tomato cultivation. A total of 288.6 L diesel fuel and 0.067 L lubrication oil are consumed per hectare when using tools and machinery in paste tomato production. A total of 408 kg of chemical fertilizers and 15.5 kg of pesticides are used per hectare in paste tomato production in the Bursa region of Turkey. A total of 2343.45 MJ/ha and 2700.5 MJ/ha indirect energy is used in the application of chemical fertilizers and pesticides, respectively. A total of 792.43 kg and 0.189 kg CO2 is released as a result of diesel fuel and lubricant oil consumptions. For the production of one kilogram of paste tomato, 2.68 grams (g) diesel fuel and lubricating oil, 175.02 kilojoules (kJ) of energy is consumed, and 15.88 g CO2 is released in the Bursa region of Turkey.</t>
  </si>
  <si>
    <t>[Demirtas, Muhammet] Gen Directorate Agr Res &amp; Policies, Dumlupinar Ave,Eskisehir Rd 10 Km, TR-06800 Ankara, Turkey</t>
  </si>
  <si>
    <t>Ministry of Agriculture &amp; Forestry - Turkey; General Directorate of Agricultural Research &amp; Policies (TAGEM) - Republic of Turkiye Ministry of Agriculture &amp; Forestry</t>
  </si>
  <si>
    <t>Demirtas, M (corresponding author), Gen Directorate Agr Res &amp; Policies, Dumlupinar Ave,Eskisehir Rd 10 Km, TR-06800 Ankara, Turkey.</t>
  </si>
  <si>
    <t>mdemirtas64@hotmail.com</t>
  </si>
  <si>
    <t>10.1007/s11356-021-12593-7</t>
  </si>
  <si>
    <t>SJ7VL</t>
  </si>
  <si>
    <t>WOS:000612289200001</t>
  </si>
  <si>
    <t>Zhou, JL; Gao, SL; Du, ZH; Xu, TD; Zheng, C; Liu, Y</t>
  </si>
  <si>
    <t>Zhou, Junling; Gao, Shuilian; Du, Zhenghua; Xu, Tongda; Zheng, Chao; Liu, Ying</t>
  </si>
  <si>
    <t>The Impact of Harvesting Mechanization on Oolong Tea Quality</t>
  </si>
  <si>
    <t>UPLS-QToF-MS; oolong tea; harvesting mechanization; sensory; untargeted metabolomics; chemometric; quality control</t>
  </si>
  <si>
    <t>CHEMICAL-COMPOSITIONS; MACHINE; FRUIT; TASTE</t>
  </si>
  <si>
    <t>Mechanization is the inevitable future of tea harvesting, but its impact on tea chemistry and quality remains uncertain. Our study examines untargeted metabolomic data from 185 oolong tea products (Tieguanyin) made from leaves harvested by hand or machine based on UPLC-QToF-MS analysis. The data revealed a minimum 50% loss for over half of the chemicals in the machine-harvested group, including catechins, theaflavin, gallic acid, chlorogenic acid, and kaempferol-3-gluocside. Integrating sensory evaluation, OPLS-DA identified the six most important metabolites as significant contributors to sensory decline caused by harvesting mechanization. Furthermore, our research validates the possibility of using DD-SIMCA modelling with untargeted metabolomic data for distinguishing handpicked from machine-harvested tea products. The model was able to achieve 93% accuracy. This study provides crucial insights into the chemical and sensory shifts during mechanization, along with tools to manage and monitor these changes.</t>
  </si>
  <si>
    <t>[Zhou, Junling; Gao, Shuilian; Du, Zhenghua; Xu, Tongda; Zheng, Chao; Liu, Ying] Fujian Agr &amp; Forestry Univ, Haixia Inst Sci &amp; Technol, Coll Hort, Fuzhou 350007, Peoples R China; [Gao, Shuilian] Fujian Agr &amp; Forestry Univ, Anxi Coll Tea Sci, Fuzhou, Peoples R China</t>
  </si>
  <si>
    <t>Fujian Agriculture &amp; Forestry University; Fujian Agriculture &amp; Forestry University</t>
  </si>
  <si>
    <t>Xu, TD; Zheng, C; Liu, Y (corresponding author), Fujian Agr &amp; Forestry Univ, Haixia Inst Sci &amp; Technol, Coll Hort, Fuzhou 350007, Peoples R China.</t>
  </si>
  <si>
    <t>junling-zhou@fafu.edu.cn; gaoshuilian@126.com; zhenghuadu@fafu.edu.cn; tdxu@sibs.ac.cn; zhengchaotea@fafu.edu.cn; ying.liu@fafu.edu.cn</t>
  </si>
  <si>
    <t>Xu, Tongda/ABD-9589-2020; zheng, chao/JCP-4087-2023; Zhou, Junling/JZQ-3857-2024</t>
  </si>
  <si>
    <t>Liu, Ying/0000-0002-1403-7803;</t>
  </si>
  <si>
    <t>10.3390/plants13040552</t>
  </si>
  <si>
    <t>IS8Z7</t>
  </si>
  <si>
    <t>WOS:001168425700001</t>
  </si>
  <si>
    <t>Zhao, SC; Li, TY; Wang, GG; Zhang, YX</t>
  </si>
  <si>
    <t>Zhao, Sicheng; Li, Tingyu; Wang, Guogang; Zhang, Yongxiang</t>
  </si>
  <si>
    <t>Adjustment of Meat Consumption Structure under the Dual Goals of Food Security and Carbon Reduction in China</t>
  </si>
  <si>
    <t>poultry consumption; pork consumption; nutrient intake; carbon emissions; feed grain</t>
  </si>
  <si>
    <t>WHITE MEAT; FISH CONSUMPTION; RED MEAT; MORTALITY; RISK; METAANALYSIS</t>
  </si>
  <si>
    <t>With the progress of economic development and increase in income, there have been significant transformations in the food consumption patterns among Chinese residents. Grain consumption has declined while the consumption of livestock products such as meat, poultry, eggs, and milk has gradually risen. Moreover, noteworthy adjustments have been observed in the meat consumption structure itself, with a substantial increase in poultry consumption and a significant decrease in pork consumption as representative of red meat. This study collects data mainly from the Brick Agricultural Database and China National Grain &amp; Oils Information Center. And then, we employ the China Agricultural Industry Model (CASM) to simulate the economic and ecological consequences of augmenting poultry consumption as a substitute for red meat intake. The research findings demonstrate that ensuring an adequate intake of livestock products for residents without any decline will stimulate the doubling of China's poultry meat demand by 2035 compared to 2020 while replacing pork. This would reduce feed grain requirements by 50 million tons and achieve carbon emission reductions amounting to 82 million tons. If we consider the consumption of poultry consumption growth in conjunction with its substitution for other red meats such as pork, beef, and mutton, this will save approximately 20 million tons of feed grains and lead to a reduction of around 103 million tons in carbon emissions. In conclusion, promoting future increases in poultry consumption as a substitute for pork and other red meat will yield extensive economic andecological benefits contributing toward international food security goals, as well as global carbon reduction targets. Additionally, advocating for increasing poultry consumption will also reduce the risk of chronic diseases and malignant tumors; this will significantly improve the national health states.</t>
  </si>
  <si>
    <t>[Zhao, Sicheng; Li, Tingyu; Wang, Guogang] Chinese Acad Agr Sci, Inst Agr Econ &amp; Dev, Beijing 100081, Peoples R China; [Zhang, Yongxiang] China Agr Univ, Coll Econ &amp; Management, Beijing 100083, Peoples R China</t>
  </si>
  <si>
    <t>Chinese Academy of Agricultural Sciences; Institute of Agricultural Economics &amp; Development, CAAS; China Agricultural University</t>
  </si>
  <si>
    <t>Wang, GG (corresponding author), Chinese Acad Agr Sci, Inst Agr Econ &amp; Dev, Beijing 100081, Peoples R China.</t>
  </si>
  <si>
    <t>zhaosicheng@caas.cn; litingyu@caas.cn; wangguogang@caas.cn; noahzhang@cau.edu.cn</t>
  </si>
  <si>
    <t>Zhang, Yongxiang/AAS-7574-2020</t>
  </si>
  <si>
    <t>National Major Social Science Foundation of China</t>
  </si>
  <si>
    <t>10.3390/agriculture13122242</t>
  </si>
  <si>
    <t>DH7I5</t>
  </si>
  <si>
    <t>WOS:001131200600001</t>
  </si>
  <si>
    <t>Gutiérrez-Cabanillas, JI; Rey, EO; Carvajal, M; Borreguero, FE</t>
  </si>
  <si>
    <t>Gutierrez-Cabanillas, Juan Ignacio; Ordiales Rey, Elena; Carvajal, Micaela; Borreguero, Francisco Espinosa</t>
  </si>
  <si>
    <t>Can the Carbon Dioxide Fixation of Processing Tomato Plants Compensate for the Emissions of the Tomato Industry?</t>
  </si>
  <si>
    <t>carbon sequestration; carbon footprint; GHG emissions; carbon sink</t>
  </si>
  <si>
    <t>ENVIRONMENTAL SUSTAINABILITY; CROPPING SYSTEMS; NUTRIENT-UPTAKE; SUPPLY CHAINS; SEQUESTRATION; GREENHOUSE; FOOTPRINT; WATER; AGRICULTURE; SOUTHERN</t>
  </si>
  <si>
    <t>Processing tomato is one of the most important crops in Extremadura region, Spain, since the largest national agricultural production and first industrial processing of this sector is concentrated in this area. In these two production stages, greenhouse gases (GHGs) are emitted, but there is also a capture of atmospheric carbon dioxide (CO2) by the plants and therefore, this study focuses on assessing the carbon balance of this activity in this specific crop area. In this work, the amount of CO2 fixed by tomato plants is evaluated, bearing in mind the production area and tomato cultivars. Subsequently, the carbon footprint is calculated, and finally, the carbon balance is established for each location. Under the conditions of this study, each processing tomato plant annually fixes 0.6090 kg of CO2, and each kilogram of tomato produced allows 0.1905 kg of CO2 to be captured. In contrast, GHG emissions average 0.0338 kg CO2 equivalent; therefore, the carbon balance is clearly positive. Even adding the emissions from the industry to those from farming, the carbon balance of this activity is clearly positive (0.0900 kg CO2 captured for each kg of tomato processed), indicating that processing tomato crops in this area of Spain could more than compensate for the emissions produced.</t>
  </si>
  <si>
    <t>[Gutierrez-Cabanillas, Juan Ignacio; Ordiales Rey, Elena] CTAEX, Ctr Tecnol Nacl Agroalimentario, Ctra Villafranco Balboa Km 1-2, Badajoz 06195, Spain; [Carvajal, Micaela] Ctr Edafol &amp; Biol Aplicada Segura CEBAS CSIC, Dept Plant Nutr, Grp Aquaporins, Campus Univ Espinardo,Apdo Correos 4195, Murcia 30080, Spain; [Borreguero, Francisco Espinosa] Extremadura Univ, Plant Biol Ecol &amp; Earth Sci Dept, Av Elvas S-N, Badajoz 06071, Spain</t>
  </si>
  <si>
    <t>Consejo Superior de Investigaciones Cientificas (CSIC); CSIC - Centro de Edafologia y Biologia Aplicada del Segura (CEBAS); University of Murcia; Universidad de Extremadura</t>
  </si>
  <si>
    <t>Gutiérrez-Cabanillas, JI (corresponding author), CTAEX, Ctr Tecnol Nacl Agroalimentario, Ctra Villafranco Balboa Km 1-2, Badajoz 06195, Spain.</t>
  </si>
  <si>
    <t>jgutierrez@ctaex.com; eordiales@ctaex.com; mcarvaja@cebas.csic.es; espinosa@unex.es</t>
  </si>
  <si>
    <t>Espinosa, Francisco/I-8205-2018; ORDIALES REY, ELENA/L-4178-2014; Carvajal, Micaela/H-8920-2015; ORDIALES, ELENA/L-4178-2014; Carvajal, Micaela/H-8920-2015; ESPINOSA, FRANCISCO/I-8205-2018</t>
  </si>
  <si>
    <t>Gutiérrez-Cabanillas, Juan Ignacio/0009-0006-4453-4938; ORDIALES REY, ELENA/0000-0003-2010-327X; Carvajal, Micaela/0000-0001-7321-4956; Carvajal, Micaela/0000-0001-7321-4956; ESPINOSA, FRANCISCO/0000-0002-6467-0359</t>
  </si>
  <si>
    <t>CONESA</t>
  </si>
  <si>
    <t>This research has received private funding from the following industries and producer organizations: CONESA, PRONAT, ALSAT, TRANSA, TOMATES DEL GUADIANA, CARNES Y VEGETALES, TOMALIA, ACOPAEX, and CASAT.</t>
  </si>
  <si>
    <t>10.3390/agriculture14081267</t>
  </si>
  <si>
    <t>E8C4K</t>
  </si>
  <si>
    <t>WOS:001305224700001</t>
  </si>
  <si>
    <t>Bar-On, YM; Li, XJ; O'Sullivan, M; Wigneron, JP; Sitch, S; Ciais, P; Frankenberg, C; Fischer, WW</t>
  </si>
  <si>
    <t>Bar-On, Yinon M.; Li, Xiaojun; O'Sullivan, Michael; Wigneron, Jean-Pierre; Sitch, Stephen; Ciais, Philippe; Frankenberg, Christian; Fischer, Woodward W.</t>
  </si>
  <si>
    <t>Recent gains in global terrestrial carbon stocks are mostly stored in nonliving pools</t>
  </si>
  <si>
    <t>SCIENCE</t>
  </si>
  <si>
    <t>AGRICULTURAL SOIL-EROSION; LAND-USE CHANGE; EMISSIONS; BIOMASS; IMPACT; FORESTS; FLUXES; WORLDS; SINK; MAP</t>
  </si>
  <si>
    <t>Terrestrial sequestration of carbon has mitigated approximate to 30% of anthropogenic carbon emissions. However, its distribution across different pools, live or dead biomass and soil and sedimentary organic carbon, remains uncertain. Analyzing global observational datasets of changes in terrestrial carbon pools, we found that approximate to 35 +/- 14 gigatons of carbon (GtC) have been sequestered on land between 1992 and 2019, whereas live biomass changed by approximate to 1 +/- 7 GtC. Global vegetation models instead imply that sequestration has been mostly in live biomass. We identify key processes not included in most models that can explain this discrepancy. Most terrestrial carbon gains are sequestered as nonliving matter and thus are more persistent than previously appreciated, with a substantial fraction linked to human activities such as river damming, wood harvest, and garbage disposal in landfills.</t>
  </si>
  <si>
    <t>[Bar-On, Yinon M.; Frankenberg, Christian; Fischer, Woodward W.] CALTECH, Div Geol &amp; Planetary Sci, Pasadena, CA 91125 USA; [Bar-On, Yinon M.] Weizmann Inst Sci Earth &amp; Planetary Sci, Rehovot, Israel; [Li, Xiaojun; Wigneron, Jean-Pierre] Univ Bordeaux, INRAE, UMR1391 ISPA, Villenave Dornon, France; [Li, Xiaojun] Southwest Jiaotong Univ, Fac Geosci &amp; Engn, Chengdu, Peoples R China; [O'Sullivan, Michael; Sitch, Stephen] Univ Exeter, Fac Environm Sci &amp; Econ, Exeter, England; [Ciais, Philippe] Univ Paris Saclay, Lab Sci Climat &amp; Environnement, LSCE IPSL, CEA CNRS UVSQ, Gif Sur Yvette, France; [Frankenberg, Christian] CALTECH, Jet Prop Lab, Pasadena, CA USA</t>
  </si>
  <si>
    <t>California Institute of Technology; Universite de Bordeaux; INRAE; Southwest Jiaotong University; University of Exeter; Universite Paris Saclay; CEA; California Institute of Technology; National Aeronautics &amp; Space Administration (NASA); NASA Jet Propulsion Laboratory (JPL)</t>
  </si>
  <si>
    <t>Bar-On, YM (corresponding author), CALTECH, Div Geol &amp; Planetary Sci, Pasadena, CA 91125 USA.;Bar-On, YM (corresponding author), Weizmann Inst Sci Earth &amp; Planetary Sci, Rehovot, Israel.</t>
  </si>
  <si>
    <t>yinon.baron@gmail.com</t>
  </si>
  <si>
    <t>Sitch, Stephen/F-8034-2015; Wigneron, Jean-Pierre/ABD-9939-2021; OSullivan, Mike/AAK-4034-2020; Bar-On, Yinon/AAE-2674-2022; Li, Xiaojun/AFO-0620-2022</t>
  </si>
  <si>
    <t>wigneron, jean-pierre/0000-0001-5345-3618</t>
  </si>
  <si>
    <t>Rothschild Postdoctoral Fellowship; Resnick Sustainability Institute; David and Lucile Packard Foundation; Schmidt Science Fellows; European Space Agency (ESA) RECCAP2 project; CNES (Centre National d'Etudes Spatiales) TOSCA programme; ESA [4000123002/18/I-NB, 4000144908/24/1-LR]</t>
  </si>
  <si>
    <t>Rothschild Postdoctoral Fellowship; Resnick Sustainability Institute; David and Lucile Packard Foundation(The David &amp; Lucile Packard Foundation); Schmidt Science Fellows; European Space Agency (ESA) RECCAP2 project; CNES (Centre National d'Etudes Spatiales) TOSCA programme; ESA(European Space Agency)</t>
  </si>
  <si>
    <t>Rothschild Postdoctoral Fellowship (Y.M.B.-O.); Resnick Sustainability Institute (Y.M.B.-O., W.W.F., C.F.); David and Lucile Packard Foundation (W.W.F.); Schmidt Science Fellows (Y.M.B.-O.). X.L. was supported by the European Space Agency (ESA) RECCAP2 project. J.-P.W. acknowledges support from the CNES (Centre National d'Etudes Spatiales) TOSCA programme. S.S. was supported by ESA RECCAP2 [contract nos. 4000123002/18/I-NB (RECCAP2-A) and 4000144908/24/1-LR (RECCAP2-CS)].</t>
  </si>
  <si>
    <t>AMER ASSOC ADVANCEMENT SCIENCE</t>
  </si>
  <si>
    <t>1200 NEW YORK AVE, NW, WASHINGTON, DC 20005 USA</t>
  </si>
  <si>
    <t>0036-8075</t>
  </si>
  <si>
    <t>1095-9203</t>
  </si>
  <si>
    <t>Science</t>
  </si>
  <si>
    <t>MAR 21</t>
  </si>
  <si>
    <t>10.1126/science.adk1637</t>
  </si>
  <si>
    <t>3HT9N</t>
  </si>
  <si>
    <t>WOS:001500662800031</t>
  </si>
  <si>
    <t>Kelley, LA; Zhang, ZL; Tamagno, S; Lundy, ME; Mitchell, JP; Gaudin, ACM; Pittelkow, CM</t>
  </si>
  <si>
    <t>Kelley, Lindsey A.; Zhang, Zhenglin; Tamagno, Santiago; Lundy, Mark E.; Mitchell, Jeffrey P.; Gaudin, Amelie C. M.; Pittelkow, Cameron M.</t>
  </si>
  <si>
    <t>Changes in soil N2O emissions and nitrogen use efficiency following long-term soil carbon storage: Evidence from a mesocosm experiment</t>
  </si>
  <si>
    <t>Nitrous oxide emissions; Soil organic carbon; Crop yield; Wheat; Nitrogen fertilizer; Climate change mitigation</t>
  </si>
  <si>
    <t>SAN-JOAQUIN VALLEY; ORGANIC-CARBON; OXIDE EMISSIONS; CROPPING SYSTEM; TILLAGE; YIELDS; MANAGEMENT; FLUX; SEQUESTRATION; FERTILIZER</t>
  </si>
  <si>
    <t>Policy and market incentives are rapidly expanding to promote soil organic carbon (SOC) sequestration in global croplands. Evidence suggests that long-term increases in SOC can influence both crop yield and nitrogen (N) fertilizer requirements, with the potential to help address two important sustainability challenges. However, increases in SOC may also trigger higher soil nitrous oxide (N2O) emissions, which would represent an important tradeoff for climate change mitigation. We tested the hypothesis that long-term increases in SOC are associated with higher crop yields and fertilizer N use efficiency (NUE), but at the cost of higher N2O emissions. Wheat was grown in two soils (SOClow and SOChigh) under three N fertilizer rates (0, 100, and 200 kg N ha-1) in a mesocosm experiment. Soils were obtained (0-25 cm) from a 22-yr field experiment on no-till and cover cropping in California. Results indicate that total biomass and grain yield were higher for SOClow than SOChigh at 100 kg N ha-1 but not the other N levels. Crop N uptake was also 28% greater for SOClow at 200 kg N ha-1, resulting in higher overall NUE. Soil N2O emissions increased for SOChigh by 25-112% compared to SOClow, likely due to long-term changes in labile C and N pools, microbial activity, and soil structure influencing porosity and gas diffusion. While there are well-documented crop and environmental benefits from enhancing SOC in agricultural soils, results from this study suggest that changes in soil N2O emissions should be considered to accurately determine net GHG emission reductions.</t>
  </si>
  <si>
    <t>[Kelley, Lindsey A.; Zhang, Zhenglin; Tamagno, Santiago; Lundy, Mark E.; Mitchell, Jeffrey P.; Gaudin, Amelie C. M.; Pittelkow, Cameron M.] Univ Calif Davis, Dept Plant Sci, One Shields Ave, Davis, CA 95616 USA; [Kelley, Lindsey A.; Lundy, Mark E.; Mitchell, Jeffrey P.] Univ Calif Cooperat Extens, Div Agr &amp; Nat Resources, Davis, CA 95618 USA; [Tamagno, Santiago] Univ Lleida, AGROTECNIO CERCA Ctr, Dept Agr &amp; Forest Sci &amp; Engn, Av Rovira Roure 191, Lleida 25198, Spain</t>
  </si>
  <si>
    <t>University of California System; University of California Davis; University of California System; Universitat de Lleida</t>
  </si>
  <si>
    <t>Kelley, LA; Pittelkow, CM (corresponding author), Univ Calif Davis, Dept Plant Sci, One Shields Ave, Davis, CA 95616 USA.</t>
  </si>
  <si>
    <t>lakelley@ucanr.edu; cpittelkow@ucdavis.edu</t>
  </si>
  <si>
    <t>Zhang, Zhenglin/LCE-1565-2024; Tamagno, Santiago/AAB-6428-2020; TAMAGNO, SANTIAGO/AAB-6428-2020</t>
  </si>
  <si>
    <t>Zhang, Zhenglin/0000-0002-2528-5394; Tamagno, Santiago/0000-0001-9966-6432;</t>
  </si>
  <si>
    <t>USDA National Institute of Food and Agriculture (Hatch project) [1023920]; California Agricultural Experiment Station within the College of Agriculture and Environmental Sciences, UC Davis; Department of Plant Sciences, UC Davis - James Monroe McDonald Endowment</t>
  </si>
  <si>
    <t>USDA National Institute of Food and Agriculture (Hatch project); California Agricultural Experiment Station within the College of Agriculture and Environmental Sciences, UC Davis; Department of Plant Sciences, UC Davis - James Monroe McDonald Endowment</t>
  </si>
  <si>
    <t>This work was supported by the USDA National Institute of Food and Agriculture (Hatch project 1023920) and the California Agricultural Experiment Station within the College of Agriculture and Environmental Sciences, UC Davis. We appreciate the help and generosity of Bruno Pitton, Josh Hegarty, Ryan Eadry, and Bruce Linquist in methods development and GC sample analysis at UC Davis. ZZ acknowledges the Department of Plant Sciences, UC Davis for the award of a GSR scholarship funded by endowments, particularly the James Monroe McDonald Endowment, administered by UCANR.</t>
  </si>
  <si>
    <t>10.1016/j.agee.2024.109054</t>
  </si>
  <si>
    <t>TB6G6</t>
  </si>
  <si>
    <t>WOS:001238831300001</t>
  </si>
  <si>
    <t>Thakur, AK; Mandal, KG; Mohanty, RK; Sarangi, A</t>
  </si>
  <si>
    <t>Thakur, Amod Kumar; Mandal, Krishna Gopal; Mohanty, Rajeeb Kumar; Sarangi, Arjamadutta</t>
  </si>
  <si>
    <t>Next-gen rice farming: ways to achieve food, nutritional and economic security under changing climatic conditions</t>
  </si>
  <si>
    <t>Alternate wetting and drying; digital farming; farm mechanization; precision irrigation; system of rice in- tensification</t>
  </si>
  <si>
    <t>GREENHOUSE-GAS EMISSIONS; INTENSIFICATION SRI; STRAW INCORPORATION; CROPPING SYSTEMS; MANAGEMENT; WATER; YIELD; FIELD; FERTILIZER; IMPACTS</t>
  </si>
  <si>
    <t>The present rice cultivation systems face challenges of low production, water scarcity, shrinking cultivable land area due to degradation and urbanization, labour shortage, diminishing soil health, climate change, greenhouse gas emissions and low income for farmers. Changes and/or modifications are thus necessitated in rice production to feed future generations. The aim of next-gen rice farming is to provide food, nutrition and economic security, as well as climate-smart solutions to safeguard ecosystems while using better tools and techniques, improved cultivars and management practices. To achieve these, there is a need to develop suitable farm mechanization for small-sized fields, precision (sensor-based) water-saving irrigation methods, greater input use-efficient systems, digital farming considering soil health improvement and proper utilization of rice straw. Next-gen rice farming should be taken as a business opportunity for the youth to earn more income and must be supported by a favourable Government policy.</t>
  </si>
  <si>
    <t>[Thakur, Amod Kumar; Mohanty, Rajeeb Kumar; Sarangi, Arjamadutta] ICAR Indian Inst Water Management, Bhubaneswar 751023, India; [Mandal, Krishna Gopal] ICAR Mahatma Gandhi Integrated Farming Res Inst, Motihari 845429, India</t>
  </si>
  <si>
    <t>Indian Council of Agricultural Research (ICAR); ICAR - Indian Institute of Water Management; Indian Council of Agricultural Research (ICAR); ICAR - Mahatma Gandhi Integrated Farming Research Institute</t>
  </si>
  <si>
    <t>Thakur, AK (corresponding author), ICAR Indian Inst Water Management, Bhubaneswar 751023, India.</t>
  </si>
  <si>
    <t>amod.thakur@icar.gov.in</t>
  </si>
  <si>
    <t>Thakur, Amod/O-4367-2019; Mohanty, Rajeeb/O-4526-2019</t>
  </si>
  <si>
    <t>10.18520/cs/v126/i4/426-433</t>
  </si>
  <si>
    <t>KH2F7</t>
  </si>
  <si>
    <t>WOS:001178995200005</t>
  </si>
  <si>
    <t>Garg, MR; Phondba, BT; Sherasia, PL; Makkar, HPS</t>
  </si>
  <si>
    <t>Garg, M. R.; Phondba, B. T.; Sherasia, P. L.; Makkar, H. P. S.</t>
  </si>
  <si>
    <t>Carbon footprint of milk production under smallholder dairying in Anand district of Western India: a cradle-to-farm gate life cycle assessment</t>
  </si>
  <si>
    <t>Greenhouse Gas and Animal Agriculture Conference (GGAA)</t>
  </si>
  <si>
    <t>FEB 14-18, 2016</t>
  </si>
  <si>
    <t>attributional life cycle assessment; climate change; co-product allocation; emission intensity</t>
  </si>
  <si>
    <t>GREENHOUSE-GAS EMISSIONS; ENTERIC METHANE EMISSIONS; FOOD-PRODUCTION; LIVESTOCK; SYSTEMS; KENYA</t>
  </si>
  <si>
    <t>In recent years, the concept of life cycle assessment (LCA) has proven to be useful because of its potential to assess the integral environmental impacts of agricultural products. Developing countries such as India are good candidates for LCA research because of the large contribution of smallholder dairy system to the production of agricultural products such as milk. Therefore, the aim of the present study was to explore the carbon footprint of milk production under the multi-functional smallholder dairy system in Anand district of Gujarat state, western India. A cradle-to-farm gate LCA was performed by covering 60 smallholder dairy farms within 12 geographically distinct villages of the district. The average farm size was 4.0 animals per farm, and the average number of each category of animal was 2.5 lactating cows, 1.4 lactating buffaloes, 1.8 replacement cows, 1.6 replacement buffaloes, 2.0 retired cows, 1.3 retired buffaloes and 1.0 ox per farm. The emissions of carbon dioxide (CO2), methane (CH4) and nitrous oxide (N2O) on CO2-equivalent (CO2-eq) basis from feed production, enteric fermentation and manure management were allocated to fat- and protein-corrected milk (FPCM) on the basis of mass balance, price and digestibility. Emissions of CO2, CH4 and N2O from cattle contributed 11.0%, 75.4% and 13.6%, respectively, to the total greenhouse gas (GHG) emissions. The contribution of CO2, CH4 and N2O from buffalo was 8.2%, 80.5% and 11.3%, respectively, to the total GHG emissions of farms. The average carbon footprint (CF) of cow milk was 2.3, 1.9 and 2.0 kg CO2-eq/kg FPCM on mass, economic and digestibility basis, respectively, whereas for buffalo, milk CF was 3.0, 2.5 and 2.7 kg CO2-eq/kg FPCM, respectively. On the basis of digestibility allocation, emissions from retired (&gt;10 years of age and incapable of or ceased producing milk) cows and buffaloes were 1571.3 and 2556.1 kg CO2-eq/retirement year, respectively. Overall, the CF of milk production under the smallholder dairy system in Anand district was 2.2 kg CO2-eq/kg FPCM, which reduced to 1.7 kg CO2-eq/kg FPCM when milk, manure, finance and insurance were considered as economic functions of the smallholder system. The CF was lower by 65% and 22% for cow and buffalo milk, respectively, than were the estimates of FAO for southern Asia, and this was mainly attributed to difference in the sources of GHG emissions, manure management systems, feed digestibility and milk production data used by FAO.</t>
  </si>
  <si>
    <t>[Garg, M. R.; Phondba, B. T.; Sherasia, P. L.] Natl Dairy Dev Board, Anim Nutr Grp, Anand 388001, Gujarat, India; [Makkar, H. P. S.] Food &amp; Agr Org United Nations FAO, Anim Prod &amp; Hlth Div, Viale Terme Caracalla, I-00153 Rome, Italy</t>
  </si>
  <si>
    <t>Garg, MR (corresponding author), Natl Dairy Dev Board, Anim Nutr Grp, Anand 388001, Gujarat, India.</t>
  </si>
  <si>
    <t>mrgarg@nddb.coop</t>
  </si>
  <si>
    <t>2-3</t>
  </si>
  <si>
    <t>10.1071/AN15464</t>
  </si>
  <si>
    <t>DD6UM</t>
  </si>
  <si>
    <t>WOS:000370060000035</t>
  </si>
  <si>
    <t>Yasmeen, R; Tao, R; Shah, WU; Padda, IU; Tang, CH</t>
  </si>
  <si>
    <t>Yasmeen, Rizwana; Tao, Rui; Shah, Wasi Ul Hassan; Padda, Ihtsham Ul Haq; Tang, Caihong</t>
  </si>
  <si>
    <t>The nexuses between carbon emissions, agriculture production efficiency, research and development, and government effectiveness: evidence from major agriculture-producing countries</t>
  </si>
  <si>
    <t>CO2 emissions; Agriculture production efficiency; R&amp;D investment; Government effectiveness; Data envelopment analysis</t>
  </si>
  <si>
    <t>CO2 EMISSIONS; PERFORMANCE; GROWTH; ENERGY; TRADE</t>
  </si>
  <si>
    <t>Agriculture production efficiency and carbon emissions have become the challenge for the sustainable world. Therefore, this study explores the relationships between agriculture-production and carbon emissions in major (seventeen) agriculture-producing countries over the time period of 1996-2018. Data envelopment analysis is applied to estimate the efficiency of agriculture sector production. The results suggested that the USA, Russia, Korea, Japan, and Italy were efficient agriculture production. Among BRICS countries, China (0.183), India (0.378), and Brazil (0.382) are far off to Russia in Agriculture production efficiency. Growth of research and development investment by 1% increases agriculture production efficiency by 0.0773 (full panel), 0.119 (developing), and 0.0245(developed), respectively. Carbon emissions are also significantly decreased by research and development investment. However, the effectiveness of the government on carbon emissions can be both positive and negative in developed and developing countries' cases. Nevertheless, both developed and developing governments are concerned about increasing agriculture production efficiency. The shape validity of the environmental Kuznets curve is also varied between the developed and developing groups. From the policy perspective, it is suggested that the government should reform its policies to avoid carbon activities and enhance the agricultural sector on a priority basis to increase the efficiency of current raw resources, generate jobs, and reap a variety of other advantages.</t>
  </si>
  <si>
    <t>[Yasmeen, Rizwana; Tao, Rui; Tang, Caihong] Panzhihua Univ, Sch Econ &amp; Management, Panzhihua 617000, Peoples R China; [Shah, Wasi Ul Hassan] Sch Zhejiang Shuren Univ, Hangzhou 310000, Peoples R China; [Padda, Ihtsham Ul Haq] Fed Urdu Univ Arts Sci &amp; Technol, Dept Econ, Islamabad 44000, Pakistan</t>
  </si>
  <si>
    <t>Panzhihua University; Federal Urdu University of Arts Science &amp; Technology</t>
  </si>
  <si>
    <t>Tao, R (corresponding author), Panzhihua Univ, Sch Econ &amp; Management, Panzhihua 617000, Peoples R China.</t>
  </si>
  <si>
    <t>rizwana_239@yahoo.com; taorui93@gmail.com; wasi450@yahoo.com; ihtsham91@yahoo.com; tangcaihong-florence@foxmail.com</t>
  </si>
  <si>
    <t>yasmeen, rizwana/ADX-1747-2022; Yasmeen, Rizwana/ADX-1747-2022; Padda, Ihtsham Ul Haq/AAC-2495-2022; Shah, Wasi Ul Hassan/ADC-4237-2022</t>
  </si>
  <si>
    <t>Yasmeen, Rizwana/0000-0002-8590-7773; Tang, Caihong/0000-0001-7569-1748; Shah, Wasi Ul Hassan/0000-0003-1470-4861</t>
  </si>
  <si>
    <t>10.1007/s11356-022-19431-4</t>
  </si>
  <si>
    <t>2Y8VB</t>
  </si>
  <si>
    <t>WOS:000766064400008</t>
  </si>
  <si>
    <t>Albiero, D; Xavier, RS; Garcia, AP; Marques, AR; Rodrigues, RL</t>
  </si>
  <si>
    <t>Albiero, Daniel; Xavier, Reuel S.; Garcia, Angel P.; Marques, Arthur R.; Rodrigues, Ruan L.</t>
  </si>
  <si>
    <t>THE TECHNOLOGICAL LEVEL OF AGRICULTURAL MECHANIZATION IN THE STATE OF CEARA, BRAZIL</t>
  </si>
  <si>
    <t>ENGENHARIA AGRICOLA</t>
  </si>
  <si>
    <t>Agricultural mechanization; technological level; technical efficiency; economic development</t>
  </si>
  <si>
    <t>Agricultural mechanization is a significant factor of agricultural modernization, but there are few data on the technological levels of this mechanization in the State of Ceara, Brazil. To study this topic, we designed a structured questionnaire, and interviews were conducted across the state. The survey data made it possible to calculate an index of agricultural mechanization technology and study hypotheses specific to farms of Ceara. The results indicate that the technology levels are different between farms of different sizes: large and medium farms are level I-M5 (automation), while small farms ranged from level IV-M1/M2 (primary/animal) to III-M3 (preliminary). We conclude that public policy for training should be directed at small farms. There is a need to show new production alternatives to small farmers, which leads to savings, and increases the profitability of the activity.</t>
  </si>
  <si>
    <t>[Albiero, Daniel; Xavier, Reuel S.; Marques, Arthur R.; Rodrigues, Ruan L.] Univ Fed Ceara DENA UFC, Fortaleza, Ceara, Brazil; [Albiero, Daniel; Garcia, Angel P.] Univ Estadual Campinas FEAGRI UNICAMP, Fac Engn Agr, Campinas, SP, Brazil</t>
  </si>
  <si>
    <t>Universidade Estadual de Campinas</t>
  </si>
  <si>
    <t>Albiero, D (corresponding author), Univ Fed Ceara DENA UFC, Fortaleza, Ceara, Brazil.</t>
  </si>
  <si>
    <t>daniel.albiero@gmail.com</t>
  </si>
  <si>
    <t>Albiero, Daniel/C-9363-2011; Marques, Arthur/ABA-9347-2020; Garcia, Angel/Z-4797-2019; Albiero, Daniel/C-9363-2011</t>
  </si>
  <si>
    <t>Albiero, Daniel/0000-0001-6877-8618; Albiero, Daniel/0000-0001-6877-8618; Marques, Arthur/0000-0002-1045-1150</t>
  </si>
  <si>
    <t>FUNCAP; CAPES; CNPq [DT-2]</t>
  </si>
  <si>
    <t>FUNCAP(Fundacao Cearense de Apoio ao Desenvolvimento Cientifico e Tecnologico (FUNCAP)); CAPES(Coordenacao de Aperfeicoamento de Pessoal de Nivel Superior (CAPES)); CNPq(Conselho Nacional de Desenvolvimento Cientifico e Tecnologico (CNPQ))</t>
  </si>
  <si>
    <t>The first author thanks, FUNCAP and CAPES, for financial resources used in research and CNPq for Productivity Grant in Technological Development and Innovative Extension (DT-2).</t>
  </si>
  <si>
    <t>SOC BRASIL ENGENHARIA AGRICOLA</t>
  </si>
  <si>
    <t>JABOTICABAL</t>
  </si>
  <si>
    <t>FCAV-UNESP, DEPT ENGENHARIA RURAL, VIA DE ACESSO PROF PAULO DONATO CASTELLANE, KM 5, JABOTICABAL, 14884 900, SPAIN</t>
  </si>
  <si>
    <t>0100-6916</t>
  </si>
  <si>
    <t>ENG AGR-JABOTICABAL</t>
  </si>
  <si>
    <t>Eng. Agric.</t>
  </si>
  <si>
    <t>10.1590/1809-4430-Eng.Agric.v39n1p133-138/2019</t>
  </si>
  <si>
    <t>HM5ZZ</t>
  </si>
  <si>
    <t>WOS:000459555100017</t>
  </si>
  <si>
    <t>Henderson, B; Golub, A; Pambudi, D; Hertel, T; Godde, C; Herrero, M; Cacho, O; Gerber, P</t>
  </si>
  <si>
    <t>Henderson, B.; Golub, A.; Pambudi, D.; Hertel, T.; Godde, C.; Herrero, M.; Cacho, O.; Gerber, P.</t>
  </si>
  <si>
    <t>The power and pain of market-based carbon policies: a global application to greenhouse gases from ruminant livestock production</t>
  </si>
  <si>
    <t>Mitigation; Greenhouse gases; Ruminants; Carbon policy</t>
  </si>
  <si>
    <t>MITIGATION</t>
  </si>
  <si>
    <t>The objectives of this research are to assess the greenhouse gas mitigation potential of carbon policies applied to the ruminant livestock sector [inclusive of the major ruminant species-cattle (Bos Taurus and Bos indicus), sheep (Ovis aries), and goats (Capra hircus)]-with particular emphasis on understanding the adjustment challenges posed by such policies. We show that market-based mitigation policies can greatly amplify the mitigation potential identified in marginal abatement cost studies by harnessing powerful market forces such as product substitution and trade. We estimate that a carbon tax of US$20 per metric ton of carbon dioxide (CO2) equivalent emissions could mitigate 626 metric megatons of CO2 equivalent ruminant emissions per year (MtCO(2)-eq year(-1)). This policy would also incentivize a restructuring of cattle production, increasing the share of cattle meat coming from the multiproduct dairy sector compared to more emission intensive, single purpose beef sector. The mitigation potential from this simple policy represents an upper bound because it causes ruminant-based food production to fall and is therefore likely to be politically unpopular. In the spirit of the Paris Agreement (UNFCCC 2015), which expresses the ambition of reducing agricultural emissions while protecting food production, we assess a carbon policy that applies both a carbon tax and a subsidy to producers to manage the tradeoff between food production and mitigation. The policy maintains ruminant production and consumption levels in all regions, but for a much lower global emission reduction of 185 MtCO(2)-eq year(-1). This research provides policymakers with a quantitative basis for designing policies that attempt to trade off mitigation effectiveness with producer and consumer welfare.</t>
  </si>
  <si>
    <t>[Henderson, B.; Godde, C.; Herrero, M.] CSIRO, Queensland Biosci Precinct, 306 Carmody Rd, St Lucia, Qld 4067, Australia; [Henderson, B.; Gerber, P.] UN Food &amp; Agr Org, Viale Terme Caracalla, I-00153 Rome, Italy; [Golub, A.; Hertel, T.] Purdue Univ, Dept Agr Econ, Ctr Global Trade Anal, W Lafayette, IN 47907 USA; [Pambudi, D.] New Zealand Inst Econ Res Inc, 215 Lambton Quay, Wellington 6011, New Zealand; [Henderson, B.; Cacho, O.] Univ New England, Armidale, NSW 2351, Australia; [Gerber, P.] World Bank, 1818 H St, Washington, DC 20433 USA; [Gerber, P.] Wageningen Univ, Anim Prod Syst Grp, NL-6708 PB Wageningen, Netherlands</t>
  </si>
  <si>
    <t>Commonwealth Scientific &amp; Industrial Research Organisation (CSIRO); Food &amp; Agriculture Organization of the United Nations (FAO); Purdue University System; Purdue University; New Zealand Institute for Plant &amp; Food Research Ltd; University of New England; The World Bank; Wageningen University &amp; Research</t>
  </si>
  <si>
    <t>Henderson, B (corresponding author), CSIRO, Queensland Biosci Precinct, 306 Carmody Rd, St Lucia, Qld 4067, Australia.;Henderson, B (corresponding author), UN Food &amp; Agr Org, Viale Terme Caracalla, I-00153 Rome, Italy.;Henderson, B (corresponding author), Univ New England, Armidale, NSW 2351, Australia.</t>
  </si>
  <si>
    <t>ben.henderson@csiro.au; golub@purdue.edu; daniel.pambudi@nzier.org.nz; hertel@purdue.edu; cecile.godde@csiro.au; mario.herrero@csiro.au; ocacho@une.edu.au; pgerber@worldbank.org</t>
  </si>
  <si>
    <t>Cacho, Oscar/F-3012-2011; Herrero, Mario/A-6678-2015; Golub, Alla/HJZ-5092-2023; Godde, Cécile/C-2999-2015</t>
  </si>
  <si>
    <t>Herrero, Mario/0000-0002-7741-5090; Cacho, Oscar/0000-0002-1542-4442; Godde, Cécile/0000-0002-7165-3012</t>
  </si>
  <si>
    <t>10.1007/s11027-017-9737-0</t>
  </si>
  <si>
    <t>FU7KD</t>
  </si>
  <si>
    <t>WOS:000424030100002</t>
  </si>
  <si>
    <t>Plaza-Bonilla, D; Nogué-Serra, I; Raffaillac, D; Cantero-Martínez, C; Justes, É</t>
  </si>
  <si>
    <t>Plaza-Bonilla, Daniel; Nogue-Serra, Irene; Raffaillac, Didier; Cantero-Martinez, Carlos; Justes, Eric</t>
  </si>
  <si>
    <t>Carbon footprint of cropping systems with grain legumes and cover crops: A case-study in SW France</t>
  </si>
  <si>
    <t>External emissions; Greenhouse gases; Nitrous oxide; On-site emissions; STICS model</t>
  </si>
  <si>
    <t>LIFE-CYCLE ASSESSMENT; N2O EMISSIONS; AGRICULTURAL SOILS; NITROGEN BALANCES; WHEAT PRODUCTION; PLANT RESIDUES; GENERIC MODEL; DECOMPOSITION; SEQUESTRATION; SIMULATION</t>
  </si>
  <si>
    <t>Agriculture contributes to a significant proportion of global emissions of greenhouse gases (GHG) but can also participate in climate change mitigation. The introduction of legumes in crop rotations reduces the dependence on N fertilizers and may mitigate the carbon (C) footprint of cropping systems. The aim of this study was to quantify the C footprint of six low-input arable cropping systems resulting from the combination of three levels of grain legumes introduction in a 3-yr rotation (GLO: no grain legumes, GL1: 1 grain legume, GL2: 2 grain legumes) and the use of cover crops (CC) or bare fallow (BF) between cash crops, covering two rotation cycles (6 years). The approach considered external emissions, on-site emissions and soil organic carbon (SOC) stock changes, and prioritized (i) field observations and (ii) simulation of non-measured variables with the STICS model, rather than default emission factors. As expected, fertilizers accounted for 80-90% of external emissions, being reduced by 50% and 102% with grain legumes introduction in GL1-BF and GL2-BF, compared to the cereal-based rotation (GLO-BF). Cover crops management increased machinery emissions by 24-35% compared to BF. Soil nitrous oxide (N2O) emissions were low, ranging between 205 and 333 kg CO2 eq. ha(-1) yr(-1) in GL1-BF and GLO-BF, respectively. Nitrate leaching represented the indirect emission of 11.6 to 27.2 kg CO2 eq. ha(-1) yr(-1) in the BF treatments and 8.2 to 10.7 kg CO2 eq. ha(-1) yr(-1) in the CC treatments. Indirect emissions due to ammonia volatilization ranged between 8.4 and 41.8 kg CO2 eq. ha(-1) yr(-1). The introduction of grain legumes strongly influenced SOC changes and, consequently, the C footprint. In the BF systems, grain legumes introduction in the rotations led to a significant increase in the C footprint, because of higher SOC losses. Contrarily, the use of cover crops mitigated SOC losses, and lowered the C footprint. These results indicated the need of CC when increasing the number of grain legumes in cereal-based rotations. Despite the multiple known benefits of introducing grain legumes in cropping systems our research highlights the need to consider soil organic carbon changes in environmental assessments.</t>
  </si>
  <si>
    <t>[Plaza-Bonilla, Daniel; Nogue-Serra, Irene; Cantero-Martinez, Carlos] Univ Lleida, Dept Crop &amp; Forest Sci, CSIC, Associated Unit,EEAD,Agrotecnio, Lleida 25198, Spain; [Plaza-Bonilla, Daniel] CSIC, EEAD, Dept Suelo &amp; Agua, POB 13034, Zaragoza 50080, Spain; [Plaza-Bonilla, Daniel; Nogue-Serra, Irene; Raffaillac, Didier; Justes, Eric] Univ Toulouse, AGIR, INPT, INP PURPAN,INRA, F-31320 Auzeville, France; [Justes, Eric] Univ Montpellier, CIRAD, INRA, UMR Syst,CIHEAM IAMM,Montpellier SupAgro, F-34060 Montpellier, France</t>
  </si>
  <si>
    <t>Universitat de Lleida; Consejo Superior de Investigaciones Cientificas (CSIC); CSIC - Estacion Experimental de Aula Dei (EEAD); Consejo Superior de Investigaciones Cientificas (CSIC); CSIC - Estacion Experimental de Aula Dei (EEAD); Universite Federale Toulouse Midi-Pyrenees (ComUE); Universite de Toulouse; Institut National Polytechnique de Toulouse; INRAE; CIRAD; INRAE; Institut Agro; Montpellier SupAgro; Universite de Montpellier</t>
  </si>
  <si>
    <t>Plaza-Bonilla, D (corresponding author), Univ Lleida, Dept Crop &amp; Forest Sci, CSIC, Associated Unit,EEAD,Agrotecnio, Lleida 25198, Spain.;Plaza-Bonilla, D (corresponding author), CSIC, EEAD, Dept Suelo &amp; Agua, POB 13034, Zaragoza 50080, Spain.;Plaza-Bonilla, D (corresponding author), Univ Toulouse, AGIR, INPT, INP PURPAN,INRA, F-31320 Auzeville, France.</t>
  </si>
  <si>
    <t>daniel.plaza@pvcf.udl.cat; eric.justes@cirad.fr</t>
  </si>
  <si>
    <t>Plaza-Bonilla, Daniel/L-5075-2013; Cantero-Martinez, Carlos/D-3231-2013; Justes, Eric/GLT-6299-2022; Cantero-Martinez, Carlos/D-3231-2013</t>
  </si>
  <si>
    <t>Plaza-Bonilla, Daniel/0000-0003-4998-8585; Cantero-Martinez, Carlos/0000-0002-6984-2025; Justes, Eric/0000-0001-7390-7058; Cantero-Martinez, Carlos/0000-0002-6984-2025</t>
  </si>
  <si>
    <t>FP6 Grain Legumes Integrated Project [food-CT-2004-506223]; European Commission (REA) through LEGATO project [FP7-613551]; French National Research Agency (ANR) through LEGITIMES French project [ANR-13-AGRO-0004]; Climate-CAFE European project; University of Lleida; Juan de la Cierva postdoctoral grant from Ministerio de Economia y Competitividad of Spain [IJCI-2016-27784]; INRA-Toulouse</t>
  </si>
  <si>
    <t>FP6 Grain Legumes Integrated Project; European Commission (REA) through LEGATO project; French National Research Agency (ANR) through LEGITIMES French project(Agence Nationale de la Recherche (ANR)); Climate-CAFE European project; University of Lleida; Juan de la Cierva postdoctoral grant from Ministerio de Economia y Competitividad of Spain; INRA-Toulouse</t>
  </si>
  <si>
    <t>The constructive suggestions of three anonymous reviewers greatly improved this manuscript. This research was supported by (i) the FP6 Grain Legumes Integrated Project (food-CT-2004-506223), (ii) the European Commission (REA) through the LEGATO project (FP7-613551) and (iii) the French National Research Agency (ANR) through the LEGITIMES French project (ANR-13-AGRO-0004). It also benefited from the support of the Climate-CAFE European project, which was selected by the European FACCE-JPI ERA-NET Plus program. The authors thank Jean-Marie Nolot for his key role in managing the cropping system experiment of Auzeville and Gregory Vericel for the database creation and maintenance. INS was funded thanks to a convention between the University of Lleida and INRA-Toulouse. DPB received a Juan de la Cierva postdoctoral grant from the Ministerio de Economia y Competitividad of Spain (IJCI-2016-27784).</t>
  </si>
  <si>
    <t>10.1016/j.agsy.2018.09.004</t>
  </si>
  <si>
    <t>GZ1MO</t>
  </si>
  <si>
    <t>WOS:000449132400009</t>
  </si>
  <si>
    <t>Xia, LL; Lam, SK; Wolf, B; Kiese, R; Chen, DL; Butterbach-Bahl, K</t>
  </si>
  <si>
    <t>Xia, Longlong; Lam, Shu Kee; Wolf, Benjamin; Kiese, Ralf; Chen, Deli; Butterbach-Bahl, Klaus</t>
  </si>
  <si>
    <t>Trade-offs between soil carbon sequestration and reactive nitrogen losses under straw return in global agroecosystems</t>
  </si>
  <si>
    <t>ammonia emission; carbon sequestration; crop productivity; reactive N losses; straw return; trade-off relationship</t>
  </si>
  <si>
    <t>GREENHOUSE-GAS EMISSION; WHEAT CROPPING SYSTEM; NO-TILL CORN; OXIDE EMISSIONS; ORGANIC-MATTER; AGRICULTURAL SOILS; RESIDUE MANAGEMENT; N2O EMISSIONS; INPUT; MITIGATION</t>
  </si>
  <si>
    <t>It is widely recommended that crop straw be returned to croplands to maintain or increase soil carbon (C) storage in arable soils. However, because C and nitrogen (N) biogeochemical cycles are closely coupled, straw return may also affect soil reactive N (Nr) losses, but these effects remain uncertain, especially in terms of the interactions between soil C sequestration and Nr losses under straw addition. Here, we conducted a global meta-analysis using 363 publications to assess the overall effects of straw return on soil Nr losses, C sequestration and crop productivity in agroecosystems. Our results show that on average, compared to mineral N fertilization, straw return with same amount of mineral N fertilizer significantly increased soil organic C (SOC) content (14.9%), crop yield (5.1%), and crop N uptake (10.9%). Moreover, Nr losses in the form of nitrous oxide (N2O) emissions from rice paddies (17.3%), N leaching (8.7%), and runoff (25.6%) were significantly reduced, mainly due to enhanced microbial N immobilization. However, N2O emissions from upland fields (21.5%) and ammonia (NH3) emissions (17.0%) significantly increased following straw return, mainly due to the stimulation of nitrification/denitrification and soil urease activity. The increase in NH3 and N2O emissions was significantly and negatively correlated with straw C/N ratio and soil clay content. Regarding the interactions between C sequestration and Nr losses, the increase in SOC content following straw return was significantly and positively correlated with the decrease in N leaching and runoff. However, at a global scale, straw return increased net Nr losses from both rice and upland fields due to a greater stimulation of NH3 emissions than the reduction in N leaching and runoff. The trade-offs between increased net Nr losses and soil C sequestration highlight the importance of reasonably managing straw return to soils to limit NH3 emissions without decreasing associated C sequestration potential.</t>
  </si>
  <si>
    <t>[Xia, Longlong] Chinese Acad Sci, Inst Soil Sci, State Key Lab Soil &amp; Sustainable Agr, Nanjing, Jiangsu, Peoples R China; [Xia, Longlong; Wolf, Benjamin; Kiese, Ralf; Butterbach-Bahl, Klaus] Karlsruhe Inst Technol, Inst Meteorol &amp; Climate Res IMK IFU, Garmisch Partenkirchen, Germany; [Lam, Shu Kee; Chen, Deli] Univ Melbourne, Sch Agr &amp; Food, Fac Vet &amp; Agr Sci, Melbourne, Vic, Australia</t>
  </si>
  <si>
    <t>Chinese Academy of Sciences; Nanjing Institute of Soil Science, CAS; Helmholtz Association; Karlsruhe Institute of Technology; University of Melbourne</t>
  </si>
  <si>
    <t>Xia, LL; Butterbach-Bahl, K (corresponding author), Chinese Acad Sci, Inst Soil Sci, State Key Lab Soil &amp; Sustainable Agr, Nanjing, Jiangsu, Peoples R China.</t>
  </si>
  <si>
    <t>llxia@issas.ac.cn; klaus.butterbach-bahl@kit.edu</t>
  </si>
  <si>
    <t>; Lam, Shu/B-8321-2019; Butterbach-Bahl, Klaus/A-8081-2013; Chen, Deli/LTF-5854-2024; Xia, Longlong/AAU-5148-2021; Kiese, Ralf/A-7310-2013</t>
  </si>
  <si>
    <t>Butterbach-Bahl, Klaus/0000-0001-9499-6598; Kiese, Ralf/0000-0002-2814-4888; Xia, Longlong/0000-0003-4026-4265; Wolf, Benjamin/0000-0002-2636-1897</t>
  </si>
  <si>
    <t>China and Germany Postdoctoral Exchange Program [ZD2017027]; National Science Foundation of China [41425005]; Office of the China Postdoctoral Council of the Ministry of Human Resources and Social Security, Institute for Meteorology and Climate Research (IMK-IFU); Karlsruhe Institute of Technology; ERA-NET ERA-GAS project</t>
  </si>
  <si>
    <t>China and Germany Postdoctoral Exchange Program; National Science Foundation of China(National Natural Science Foundation of China (NSFC)); Office of the China Postdoctoral Council of the Ministry of Human Resources and Social Security, Institute for Meteorology and Climate Research (IMK-IFU); Karlsruhe Institute of Technology(Helmholtz Association); ERA-NET ERA-GAS project</t>
  </si>
  <si>
    <t>China and Germany Postdoctoral Exchange Program, Grant/Award Number: ZD2017027; National Science Foundation of China, Grant/Award Number: 41425005; Office of the China Postdoctoral Council of the Ministry of Human Resources and Social Security, Institute for Meteorology and Climate Research (IMK-IFU); Karlsruhe Institute of Technology; ERA-NET ERA-GAS project</t>
  </si>
  <si>
    <t>10.1111/gcb.14466</t>
  </si>
  <si>
    <t>GZ7IA</t>
  </si>
  <si>
    <t>WOS:000449650600026</t>
  </si>
  <si>
    <t>Kim, GW; Jeong, ST; Kim, GY; Kim, PJ; Kim, SY</t>
  </si>
  <si>
    <t>Kim, Gil Won; Jeong, Seung Tak; Kim, Gun Yeob; Kim, Pil Joo; Kim, Sang Yoon</t>
  </si>
  <si>
    <t>Evaluation of carbon dioxide emission factor from urea during rice cropping season: A case study in Korean paddy soil</t>
  </si>
  <si>
    <t>C-13 labelled urea; Soil respiration; Nitrogen; Paddy field</t>
  </si>
  <si>
    <t>MICROBIAL RESPIRATION; LITTER DECOMPOSITION; NITROGEN ADDITIONS; FOREST; BIOMASS; MOISTURE; FIELD; FLUX</t>
  </si>
  <si>
    <t>Fertilization with urea can lead to a loss of carbon dioxide (CO2) that was fixed during the industrial production process. The extent of atmospheric CO2 removal from urea manufacturing was estimated by the Industrial Processes and Product Use sector (IPPU sector). On its basis, the Intergovernmental Panel on Climate Change (IPCC) has proposed a value of 0.2 Mg C per Mg urea (available in 2006 revised IPCC guidelines for greenhouse gas inventories), which is the mass fractions of C in urea, as the CO2 emission coefficient from urea for the agricultural sector. Notably, due to the possibility of bicarbonate leaching to waters, all C in urea might not get released as CO2 to the atmosphere. Hence, in order to provide an accurate value of the CO2 emission coefficient from applied urea in the rice ecosystem, the CO2 emission factors were characterized under different levels of C-13-urea applied paddy field in the current study. The total CO2 fluxes and rice grain yields increased significantly with increasing urea application (110 -130 kg N ha(-1)) and thereafter, decreased. However, with increasing C-13-urea application, a significant and proportional increase of the (CO2)-C-13-C emissions from C-13-urea was also observed. From the relationships between urea application levels and (CO2)-C-13-C fluxes from C-13-urea, the CO2-C emission factor from urea was estimated to range between 0.0143 and 0.0156 Mg C per Mg urea. Thus, the CO2-C emission factor of this study is less than that of the value proposed by IPCC. Therefore, for the first time, we propose to revise the current IPCC guideline value of CO2-C emission factor from urea as 0.0143-0.0156 Mg C per Mg urea for Korean paddy soils. (C) 2016 Elsevier Ltd. All rights reserved.</t>
  </si>
  <si>
    <t>[Kim, Gil Won; Jeong, Seung Tak; Kim, Pil Joo] Gyeongsang Natl Univ, BK Program 21, Div Appl Life Sci, Jinju 660701, South Korea; [Kim, Gun Yeob; Kim, Sang Yoon] Rural Dev Adm, Natl Acad Agr Sci, Wonju 55365, South Korea; [Kim, Pil Joo] Gyeongsang Natl Univ, Inst Agr &amp; Life Sci, Jinju 660701, South Korea</t>
  </si>
  <si>
    <t>Gyeongsang National University; Rural Development Administration (RDA); Gyeongsang National University</t>
  </si>
  <si>
    <t>Kim, PJ (corresponding author), Gyeongsang Natl Univ, BK Program 21, Div Appl Life Sci, Jinju 660701, South Korea.;Kim, SY (corresponding author), Rural Dev Adm, Natl Acad Agr Sci, Wonju 55365, South Korea.</t>
  </si>
  <si>
    <t>pjkim@gnu.ac.kr; soilmethane@gmail.com</t>
  </si>
  <si>
    <t>Kim, Sang Yoon/O-3332-2014; Kim, Gil Won/IAQ-4384-2023; Kim, Sang/O-3332-2014</t>
  </si>
  <si>
    <t>Kim, Sang Yoon/0000-0003-4914-3080; Kim, gil won/0000-0002-2141-7476; Kim, Pil Joo/0000-0003-1192-4324;</t>
  </si>
  <si>
    <t>Rural Development Administration (RDA), Republic of Korea; Cooperative Research Program for Agriculture Science &amp; Technology Development, Rural Development Administration, Republic of Korea [PJ009980012016]; BK21 + program of Ministry of Education and Human Resources Development, Korea</t>
  </si>
  <si>
    <t>Rural Development Administration (RDA), Republic of Korea(Rural Development Administration (RDA), Republic of Korea); Cooperative Research Program for Agriculture Science &amp; Technology Development, Rural Development Administration, Republic of Korea(Rural Development Administration (RDA), Republic of Korea); BK21 + program of Ministry of Education and Human Resources Development, Korea</t>
  </si>
  <si>
    <t>This work was supported by the Rural Development Administration (RDA), Republic of Korea (Project tile: Development of CO2 emission factor caused by use of urea and lime according to 2006 new guideline). This work was carried out with the support of Cooperative Research Program for Agriculture Science &amp; Technology Development (Project No. PJ009980012016) Rural Development Administration, Republic of Korea. Gil Won Kim and Seung Tak Jeong were supported by scholarships from the BK21 + program of Ministry of Education and Human Resources Development, Korea.</t>
  </si>
  <si>
    <t>10.1016/j.atmosenv.2016.05.033</t>
  </si>
  <si>
    <t>DQ3HR</t>
  </si>
  <si>
    <t>WOS:000379093900014</t>
  </si>
  <si>
    <t>Wang, QM; Chai, Q; Dou, XC; Yin, W; Sun, YL; Hu, FL; Li, HT; Liu, ZP; Wei, JG; Xu, XH</t>
  </si>
  <si>
    <t>Wang, Qi-ming; Chai, Qiang; Dou, Xue-cheng; Yin, Wen; Sun, Ya-li; Hu, Fa-long; Li, Han-ting; Liu, Zhi-peng; Wei, Jin-gui; Xu, Xiao-hui</t>
  </si>
  <si>
    <t>Microbial mechanism of soil carbon emission reduction in maize-pea intercropping system with no tillage in arid land areas of northwestern China</t>
  </si>
  <si>
    <t>soil carbon emissions; soil microorganism; intercropping; functional gene; Cazy</t>
  </si>
  <si>
    <t>Reducing carbon emissions from agricultural soils contributes to global greenhouse mitigation. Although the integration of no-tillage practices into maize/pea intercropping systems can achieve this reduction, the specific microbial mechanisms involved remain unclear. This study aimed to explore the effects of integrating maize/pea intercropping and no-tillage technologies on soil carbon emissions and microbial communities. The results indicated that intercropping no-till maize with peas reduced the average soil respiration rates by 19%. In 2021 and 2022, intercropping no-till maize with peas decreased soil carbon emissions by 25.1 and 30.4%, respectively. This practice resulted in a reduction of soil microbiota carbon and nitrogen by 26.9 and 19.7%, respectively, while simultaneously increasing the soil microbial gene beta diversity. Proteobacteria, Actinobacteria, Planctomycetes, Firmicutes, Bacteroidetes, and Acidobacteria collectively represented over 95% of the population and were predominant across all treatments. Intercropping no-till maize with peas decreased the abundance of carbohydrate-active enzymes in the soil. The structural equation modeling indicated that combined no-tillage and intercropping practices effectively decreased soil carbon emissions by modulating the community structure of soil microorganisms. This affected the abundance of carbohydrate-active enzymes and carbon-metabolizing genes in the soil. This study indicated that no-tillage and intercropping methods contributed to carbon reduction by influencing soil microbes. This study can provide microbial-level insights for refining agronomic practices to mitigate soil carbon emissions.</t>
  </si>
  <si>
    <t>[Wang, Qi-ming; Chai, Qiang; Yin, Wen; Sun, Ya-li; Hu, Fa-long; Li, Han-ting; Liu, Zhi-peng; Wei, Jin-gui; Xu, Xiao-hui] State Key Lab Aridland Crop Sci, Lanzhou, Peoples R China; [Wang, Qi-ming; Chai, Qiang; Dou, Xue-cheng; Yin, Wen; Hu, Fa-long; Li, Han-ting; Liu, Zhi-peng; Wei, Jin-gui; Xu, Xiao-hui] Gansu Agr Univ, Coll Agron, Lanzhou, Peoples R China; [Li, Han-ting] Gansu Agr Univ, Pratacultural Coll, Lanzhou, Peoples R China</t>
  </si>
  <si>
    <t>Gansu Agricultural University; Gansu Agricultural University</t>
  </si>
  <si>
    <t>Chai, Q (corresponding author), State Key Lab Aridland Crop Sci, Lanzhou, Peoples R China.;Chai, Q; Dou, XC (corresponding author), Gansu Agr Univ, Coll Agron, Lanzhou, Peoples R China.</t>
  </si>
  <si>
    <t>chaiq@gsau.edu.cn; douxc@gsau.edu.cn</t>
  </si>
  <si>
    <t>Wang, Qim/MVX-0624-2025; Chai, Qiang/MVX-0075-2025; xu, xiaohui/GNW-6000-2022</t>
  </si>
  <si>
    <t>National Key Research and Development Project of China [2021YFD1700204]; Natural Science Foundation of China [U21A20218, 32372238]; China Agriculture Research System [CARS-22-G-12]; Science and Technology Program of Gansu [22JR5RA839]</t>
  </si>
  <si>
    <t>National Key Research and Development Project of China(National Key Research &amp; Development Program of China); Natural Science Foundation of China(National Natural Science Foundation of China (NSFC)); China Agriculture Research System; Science and Technology Program of Gansu</t>
  </si>
  <si>
    <t>We appreciate assistance in the field and laboratory by students of the Oasis Agricultural Experiment Station of Gansu Agricultural University. We are also grateful to the editor and reviewers for their constructive comments and suggestions on this manuscript.</t>
  </si>
  <si>
    <t>10.3389/fsufs.2024.1415264</t>
  </si>
  <si>
    <t>E4I8Q</t>
  </si>
  <si>
    <t>WOS:001302666100001</t>
  </si>
  <si>
    <t>Chiriacò, MV; Belli, C; Chiti, T; Trotta, C; Sabbatini, S</t>
  </si>
  <si>
    <t>Chiriaco, Maria Vincenza; Belli, Claudio; Chiti, Tommaso; Trotta, Carlo; Sabbatini, Simone</t>
  </si>
  <si>
    <t>The potential carbon neutrality of sustainable viticulture showed through a comprehensive assessment of the greenhouse gas (GHG) budget of wine production</t>
  </si>
  <si>
    <t>Climate change mitigation; Wine; Vineyard; LCA; Carbon footprint; Eddy covariance</t>
  </si>
  <si>
    <t>LIFE-CYCLE ASSESSMENT; NET ECOSYSTEM EXCHANGE; FOOTPRINT ANALYSIS; CROP PRODUCTION; ENVIRONMENTAL-ANALYSIS; SOIL CARBON; EMISSIONS; IMPACTS; VINEYARD; SEQUESTRATION</t>
  </si>
  <si>
    <t>Sustainable agricultural and food processing practices are often proposed as attractive strategies enabling food systems to respond to the challenges posed by climate change in terms of adaptation and mitigation. However, information on the actual contribution to climate change provided by sustainable food production systems is lacking in literature. With the intention to contribute to a more informed debate, this study aims at quantify the actual impact on climate of sustainable practices applied to a grape-to-wine system in Italy. The overall budget of greenhouse gas (GHG) fluxes is assessed at wine farm level, from the vineyard to the final bottle of wine, through an integration of methods, including the eddy covariance technique, the life cycle assessment (LCA) and the IPCC guidelines. All the components of the GHG budget have been considered: the (a) biogenic GHG fluxes and the (b) anthropogenic GHG emissions generated for the grape production as well as the (c) carbon stock change due to the vineyard management and the (d) anthropogenic GHG emissions generated by the transformation of grape into wine. At the vineyard level, the overall GHG budget resulted to be close to zero, showing a potential carbon neutrality of sustainable viticulture: the sum of biogenic GHG fluxes (a) and the carbon stock change (c) resulted in a net carbon sink with a potential contribution to climate change mitigation of -0,27 +/- 1,11 Mg CO(2)eq year(-1) per hectare; while the anthropogenic GHG emissions (b) for the sustainable vineyard management accounted for 0,24 +/- 0,05 Mg CO(2)eq ha(-1) year(-1) The total carbon footprint (b + d) of sustainable wine is 0,79 +/- 0,14 kg CO(2)eq per bottle, with 15% attributable to the agricultural phase and 85% to the transformation of grape into wine. These findings indicate that sustainable wine production has in general a lower contribution to climate change. In particular, sustainable practices applied to viticulture can turn the system into a net carbon sink able to totally compensate the anthropogenic emissions for the vineyard management. Therefore, sustainable viticulture allows food production with a potential carbon neutrality without exacerbating climate change. (C) 2019 Elsevier Ltd. All rights reserved.</t>
  </si>
  <si>
    <t>[Chiriaco, Maria Vincenza] CMCC Fdn Ctr Euromediterraneo Cambiamenti Climat, IAFES Div, Viale Trieste 127, I-01100 Viterbo, Italy; [Belli, Claudio] Univ Tuscia, Terrasystem Srl, Via Pacinotti 5, I-01100 Viterbo, Italy; [Chiti, Tommaso; Trotta, Carlo; Sabbatini, Simone] Univ Tuscia, Dept Innovat Biol Agrofood &amp; Forest Syst DIBAF, Via S Camillo De Lellis Snc, I-01100 Viterbo, Italy</t>
  </si>
  <si>
    <t>Centro Euro-Mediterraneo sui Cambiamenti Climatici (CMCC); Tuscia University; Tuscia University</t>
  </si>
  <si>
    <t>Chiriacò, MV (corresponding author), CMCC Fdn Ctr Euromediterraneo Cambiamenti Climat, IAFES Div, Viale Trieste 127, I-01100 Viterbo, Italy.</t>
  </si>
  <si>
    <t>mariavincenza.chiriaco@cmcc.it</t>
  </si>
  <si>
    <t>Sabbatini, Simone/AGW-1327-2022; Chiti, Tommaso/AAB-1564-2020; CHIRIACO', Maria Vincenza/HGV-0811-2022; Chiriacò, Maria vincenza/HGV-0811-2022</t>
  </si>
  <si>
    <t>Sabbatini, Simone/0000-0002-2950-8911; Trotta, Carlo/0000-0001-6377-0262; Chiti, Tommaso/0000-0002-3794-4692; CHIRIACO', Maria Vincenza/0000-0002-9662-914X;</t>
  </si>
  <si>
    <t>POR FESR Lazio 2007-2013</t>
  </si>
  <si>
    <t>Eddy covariance measures were performed within the Eddyapp project Application development of the eddy covariance technique for the measurement of greenhouse gas flows between ecosystems and atmosphere realized by Terrasystem srl with the financial contribution of POR FESR Lazio 2007-2013. We gratefully acknowledge Michele Tomassucci and Paolo Stefani for the support given in the eddy covariance data campaign and the agronomist Ludovico Maria Botti of the Trebotti organic wine farm (http://www.trebotti.it) for hosting the experimental site and for sharing his valuable experience in the interesting discussions on the sustainability of food systems.</t>
  </si>
  <si>
    <t>JUL 10</t>
  </si>
  <si>
    <t>10.1016/j.jclepro.2019.03.192</t>
  </si>
  <si>
    <t>HZ2WL</t>
  </si>
  <si>
    <t>WOS:000468709400040</t>
  </si>
  <si>
    <t>Feng, S; Lakshmanan, P; Zhang, Y; Zhang, TT; Liang, T; Zhang, WJ; Chen, XP; Wang, XZ</t>
  </si>
  <si>
    <t>Feng, Shi; Lakshmanan, Prakash; Zhang, Yi; Zhang, Tingting; Liang, Tao; Zhang, Weijin; Chen, Xinping; Wang, Xiaozhong</t>
  </si>
  <si>
    <t>A comprehensive continental-scale analysis of carbon footprint of food production: Comparing continents around the world</t>
  </si>
  <si>
    <t>Food categories; Carbon footprint; Inter -continental comparisons; Total GHG emission</t>
  </si>
  <si>
    <t>GREENHOUSE-GAS EMISSIONS; LIFE-CYCLE ASSESSMENT; PRODUCTION SYSTEMS; LIVESTOCK PRODUCTION; MILK-PRODUCTION; RICE PRODUCTION; LAND-USE; IMPACT; INTENSIFICATION; EFFICIENCIES</t>
  </si>
  <si>
    <t>Food production is an important source of anthropogenic greenhouse gas (GHG) emissions. Quantifying the carbon footprint of all the major food categories in different continents is critical for accurately evaluating various aspects of GHG emissions from food production on a continental and global scale. Such information, however, is lacking. Thus, we conducted a meta-analysis of plant-based and animal-based food production in all continents comprehensively using 5353 carbon footprint values from 524 published papers and calculated GHG emissions from food production (system boundary is from cradle to farm gate) at the continental and global scale. Our results indicate that the average carbon footprint of plant-based foods amounts to 0.66 kg CO2-eq kg-1, which is only 10.7% of animal-based foods (6.15 kg CO2-eq kg � 1). The carbon footprint of plant-based food in Asia and Europe is 8.9%-184% higher than that of other continents. Africa has the lowest carbon footprint for plant-based foods, owing to its low agricultural input and limited crop management. However, the carbon footprint of animal-based foods in Africa and Asia is 2.5%-150% higher than that of other continents, with North America and Oceania recording the lowest. Total annual GHG emission from global food production reached 8125 Mt CO2-eq, with grains, meat, and milk together accounting for 70.8%. Asia, owing to its large production, emerged as the largest emitter, accounting for 55.4% of global GHG emissions. It was followed by Europe (16.3%) and North America (10.5%), while Africa, South America and Oceania together emit 17.8%. In sum-mary, our study presents the most comprehensive account of the carbon footprint of food production at the continental and global scale to-date, which will help develop strategies and policies to reduce GHG emissions at various levels such as geographical regions, food and nutrition security, resource availability and resource use.</t>
  </si>
  <si>
    <t>[Feng, Shi; Lakshmanan, Prakash; Zhang, Yi; Zhang, Tingting; Chen, Xinping; Wang, Xiaozhong] Southwest Univ, Coll Resources &amp; Environm, Interdisciplinary Res Ctr Agr Green Dev Yangtze Ri, Chongqing 400716, Peoples R China; [Lakshmanan, Prakash] Minist Agr &amp; Rural Affairs, Key Lab Sugarcane Biotechnol &amp; Genet Improvement G, Nanning 530007, Peoples R China; [Lakshmanan, Prakash] Guangxi Acad Agr Sci, Guangxi Key Lab Sugarcane Genet Improvement, Nanning 530007, Peoples R China; [Lakshmanan, Prakash] Sugarcane Res Inst, Nanning 530007, Peoples R China; [Lakshmanan, Prakash] Univ Queensland, Queensland Alliance Agr &amp; Food Innovat, St Lucia, Qld 4067, Australia; [Liang, Tao] Chongqing Acad Agr Sci, Chongqing 40000, Peoples R China; [Zhang, Weijin] Chongqing Acad Social Sci, Chongqing 400020, Peoples R China</t>
  </si>
  <si>
    <t>Southwest University - China; Guangxi Academy of Agricultural Sciences; University of Queensland; Chongqing Academy of Agricultural Sciences</t>
  </si>
  <si>
    <t>Chen, XP; Wang, XZ (corresponding author), Southwest Univ, Coll Resources &amp; Environm, Interdisciplinary Res Ctr Agr Green Dev Yangtze Ri, Chongqing 400716, Peoples R China.</t>
  </si>
  <si>
    <t>chenxp2017@swu.edu.cn; wxz20181707@swu.edu.cn</t>
  </si>
  <si>
    <t>Xinping, Chen/F-7305-2013</t>
  </si>
  <si>
    <t>Lakshmanan, Prakash/0000-0003-1725-0391</t>
  </si>
  <si>
    <t>National Key Research and Development Program of China [2017YFD0800403]; National Social Science Foundation of China Western Project [22XKS010]; Changjiang Scholarship, Ministry of Education, China; Chongqing Postgraduate Research Innovation Project [CYS21113]</t>
  </si>
  <si>
    <t>National Key Research and Development Program of China(National Key Research &amp; Development Program of China); National Social Science Foundation of China Western Project(National Office of Philosophy and Social Sciences); Changjiang Scholarship, Ministry of Education, China; Chongqing Postgraduate Research Innovation Project</t>
  </si>
  <si>
    <t>This research was financially supported by the National Key Research and Development Program of China (No. 2018YFD0800600) , National Key Research and Development Program of China (No. 2017YFD0800403) ; National Social Science Foundation of China Western Project (22XKS010) ; Changjiang Scholarship, Ministry of Education, China; and Chongqing Postgraduate Research Innovation Project (CYS21113) .</t>
  </si>
  <si>
    <t>10.1016/j.jclepro.2023.138939</t>
  </si>
  <si>
    <t>W1GS8</t>
  </si>
  <si>
    <t>WOS:001089187000001</t>
  </si>
  <si>
    <t>Zhang, TT; Liu, YL; Li, L</t>
  </si>
  <si>
    <t>Zhang, Tantan; Liu, Yali; Li, Lin</t>
  </si>
  <si>
    <t>Sugarcane/Soybean Intercropping with Reduced Nitrogen Application Synergistically Increases Plant Carbon Fixation and Soil Organic Carbon Sequestration</t>
  </si>
  <si>
    <t>sugarcane/soybean intercropping; microbial biomass carbon; dissolved organic carbon; plant C fixation</t>
  </si>
  <si>
    <t>MICROBIAL BIOMASS; ENZYME-ACTIVITIES; ALLOCATION; DIVERSITY; PRODUCTIVITY; PHOSPHORUS; SYSTEMS; ROOT; RHIZODEPOSITION; AVAILABILITY</t>
  </si>
  <si>
    <t>Sugarcane/soybean intercropping and reduced nitrogen (N) application as an important sustainable agricultural pattern can increase crop primary productivity and improve soil ecological functions, thereby affecting soil organic carbon (SOC) input and turnover. To explore the potential mechanism of sugarcane/soybean intercropping affecting SOC sequestration, a two-factor long-term field experiment was carried out, which included planting pattern (sugarcane monocropping (MS), sugarcane/soybean 1:1 intercropping (SB1), and sugarcane/soybean 1:2 intercropping (SB2)) and nitrogen addition levels (reduced N application (N1: 300 kghm-2) and conventional N application (N2: 525 kghm-2)). The results showed that the shoot and root C fixation in the sugarcane/soybean intercropping system were significantly higher than those in the sugarcane monocropping system during the whole growth period of sugarcane, and the N application level had no significant effect on the C fixation of plants in the intercropping system. Sugarcane/soybean intercropping also increased the contents of total organic C (TOC), labile organic C fraction [microbial biomass C (MBC) and dissolved organic C (DOC)] in the soil during the growth period of sugarcane, and this effect was more obvious at the N1 level. We further analyzed the relationship between plant C sequestration and SOC fraction content using regression equations and found that both plant shoot and root C sequestration were significantly correlated with TOC, MBC, and DOC content. This suggests that sugarcane/soybean intercropping increases the amount of C input to the soil by improving crop shoot and root C sequestration, which then promotes the content of each SOC fraction. The results of this study indicate that sugarcane/soybean intercropping and reduced N application patterns can synergistically improve plant and soil C fixation, which is of great significance for improving crop yields, increasing soil fertility, and reducing greenhouse gas emissions from agricultural fields.</t>
  </si>
  <si>
    <t>[Zhang, Tantan] Hunan Univ Sci &amp; Engn, Coll Chem &amp; Bioengn, Yongzhou 425199, Peoples R China; [Zhang, Tantan] Hunan Engn Technol Res Ctr Comprehens Dev &amp; Utiliz, Yongzhou 425199, Peoples R China; [Liu, Yali] South China Agr Univ, Coll Nat Resources &amp; Environm, Guangzhou 510642, Peoples R China; [Li, Lin] Hainan Univ, Coll Breeding &amp; Multiplicat, Sanya Inst Breeding &amp; Multiplicat, Sanya 572000, Peoples R China</t>
  </si>
  <si>
    <t>Hunan University of Science &amp; Engineering; South China Agricultural University; Hainan University</t>
  </si>
  <si>
    <t>Zhang, TT (corresponding author), Hunan Univ Sci &amp; Engn, Coll Chem &amp; Bioengn, Yongzhou 425199, Peoples R China.;Zhang, TT (corresponding author), Hunan Engn Technol Res Ctr Comprehens Dev &amp; Utiliz, Yongzhou 425199, Peoples R China.;Li, L (corresponding author), Hainan Univ, Coll Breeding &amp; Multiplicat, Sanya Inst Breeding &amp; Multiplicat, Sanya 572000, Peoples R China.</t>
  </si>
  <si>
    <t>13610205677@163.com; liuyali5699@126.com; lilin18@hainanu.edu.cn</t>
  </si>
  <si>
    <t>Li, Lin/0000-0002-7652-6514</t>
  </si>
  <si>
    <t>10.3390/plants13162337</t>
  </si>
  <si>
    <t>E8E7Y</t>
  </si>
  <si>
    <t>WOS:001305285900001</t>
  </si>
  <si>
    <t>Adu-Baffour, F; Daum, T; Birner, R</t>
  </si>
  <si>
    <t>Adu-Baffour, Ferdinand; Daum, Thomas; Birner, Regina</t>
  </si>
  <si>
    <t>Can small farms benefit from big companies' initiatives to promote mechanization in Africa? A case study from Zambia</t>
  </si>
  <si>
    <t>Agricultural mechanization policy; Agricultural intensification; Private business; Zambia; Employment effects</t>
  </si>
  <si>
    <t>AGRICULTURAL MECHANIZATION; CONSERVATION AGRICULTURE; SYSTEMS; GHANA</t>
  </si>
  <si>
    <t>After years of neglect, there is a renewed interest in agricultural mechanization in Africa. Since government initiatives to promote mechanization are confronted with major governance challenges, private-sector initiatives may offer a promising alternative. However, given limited scientific studies on such private-sector options such approaches are often viewed skeptically. One concern is that multi-national agribusiness companies take advantage of smallholder farmers. Another concern is that mechanization causes rural unemployment. To shed light on these concerns, this paper analyzes an initiative of the agricultural machinery manufacturer John Deere to promote smallholder mechanization in Zambia through a contractor model. The analysis focuses on the impact of this initiative on farmers who receive tractor services using Propensity Score Matching. The results indicate that farmers can almost double their income by cultivating a much larger share of their land. The analysis suggests that the increased income is used for children's education and more food, but does not result in increased food diversity. The demand for hired labor increases due to land expansion and due to a shift from family labor, including that of children, to hired labor. Questions that require further investigation are identified, including strategies to incentivize tractor owners to provide services, to also increase land productivity, and to avoid new forms of dependency of agricultural laborers that may result from a shift in the timing of the labor demand.</t>
  </si>
  <si>
    <t>[Adu-Baffour, Ferdinand; Daum, Thomas; Birner, Regina] Univ Hohenheim, Hans Ruthenberg Inst Agr Sci Trop, Wollgrasweg 43, D-70599 Stuttgart, Germany</t>
  </si>
  <si>
    <t>Adu-Baffour, Ferdinand/HJP-3857-2023</t>
  </si>
  <si>
    <t>Deere Company; Program of Accompanying Research for Agricultural Innovation (PART) - German Federal Ministry of Economic Cooperation and Development (BMZ) [2014.0690.9]</t>
  </si>
  <si>
    <t>Deere Company; Program of Accompanying Research for Agricultural Innovation (PART) - German Federal Ministry of Economic Cooperation and Development (BMZ)</t>
  </si>
  <si>
    <t>The Deere &amp; Company partly funded the fieldwork for this study. While writing this paper, Ferdinand Adu-Baffour and Thomas Daum have received financial support from the Program of Accompanying Research for Agricultural Innovation (PART), which is funded by the German Federal Ministry of Economic Cooperation and Development (BMZ) under grant number 2014.0690.9.</t>
  </si>
  <si>
    <t>10.1016/j.foodpol.2019.03.007</t>
  </si>
  <si>
    <t>HW1PE</t>
  </si>
  <si>
    <t>WOS:000466454000013</t>
  </si>
  <si>
    <t>Agnol, LD; Neves, RM; Maraschin, M; Moura, S; Luiz, HL ; Dias, FTG; Bianchi, O</t>
  </si>
  <si>
    <t>Agnol, Lucas Dall; Neves, Roberta Motta; Maraschin, Marcelo; Moura, Sidnei; Ornaghi, Heitor Luiz, Jr.; Dias, Fernanda Trindade Gonzalez; Bianchi, Otavio</t>
  </si>
  <si>
    <t>Green synthesis of Spirulina-based carbon dots for stimulating agricultural plant growth</t>
  </si>
  <si>
    <t>SUSTAINABLE MATERIALS AND TECHNOLOGIES</t>
  </si>
  <si>
    <t>Carbon quantum dots; Spirulina; Hansen solubility parameters; Pyrolysis kinetics; Growth improvement</t>
  </si>
  <si>
    <t>HANSEN SOLUBILITY PARAMETERS; CATALYTIC PYROLYSIS; NITROGEN; PHOTOLUMINESCENCE; MICROALGAE; NANODOTS; BIOMASS; ALGAE</t>
  </si>
  <si>
    <t>In this study, photoluminescent carbon quantum dots (CQDs) were synthesized by thermal pyrolysis of the microalgae spirulina without any surface passivating agent. The CQDs showed similar to 10 nm average size and exhibited blue photoluminescence emission around 450 nm under 340-400 nm excitation wavelength. A quantum yield of 23.5% was attained at 300 degrees C for 2 h. Thermodynamic and kinetic investigations about pyrolysis reaction showed that CQDs synthesis occurs slowly and non-spontaneously, with a mean activation energy of 192.6 kJ/mol. The final product showed a broad range of solubility, besides being efficient for lentil seed growth when dispersed in 0.05-0.1 mg/mL aqueous solutions. The CQDs reported here may be considered a promising renewable bio-based fertilizer for crop species in the sustainable agriculture field.</t>
  </si>
  <si>
    <t>[Agnol, Lucas Dall; Bianchi, Otavio] Univ Caxias Sul UCS, Postgrad Program Mat Sci &amp; Engn PGMAT, Caxias Do Sul, RS, Brazil; [Neves, Roberta Motta; Bianchi, Otavio] Fed Univ Rio Grande UFRGS, Postgrad Program Min Met &amp; Mat Engn, Porto Alegre, RS, Brazil; [Maraschin, Marcelo] Univ Fed Santa Catarina, Plant Sci Ctr, LMBV Plant Morphogenesis &amp; Biochem Lab, Florianopolis, SC, Brazil; [Moura, Sidnei] Univ Caxias Sul, Inst Biotechnol, Dept Technol, LBIOP Lab Biotechnol Nat &amp; Synthet Prod, Caxias Do Sul, RS, Brazil; [Ornaghi, Heitor Luiz, Jr.] Fed Univ Latin Amer Integrat UNILA, Foz Do Iguacu, Parana, Brazil; [Dias, Fernanda Trindade Gonzalez] Fed Inst Educ, Postgrad Program Technol &amp; Mat Engn PPG TEM, Sci &amp; Technol Rio Grande IFRS, Campus Feliz, Campus Feliz, RS, Brazil</t>
  </si>
  <si>
    <t>Universidade de Caxias do Sul; Universidade Federal do Rio Grande do Sul; Universidade Federal de Santa Catarina (UFSC); Universidade de Caxias do Sul; Universidade Federal da Integracao Latino-Americana</t>
  </si>
  <si>
    <t>Agnol, LD; Bianchi, O (corresponding author), Univ Caxias Sul UCS, Postgrad Program Mat Sci &amp; Engn PGMAT, Caxias Do Sul, RS, Brazil.;Bianchi, O (corresponding author), Fed Univ Rio Grande UFRGS, Postgrad Program Min Met &amp; Mat Engn, Porto Alegre, RS, Brazil.</t>
  </si>
  <si>
    <t>agnol.lucasdall@gmail.com; otavio.bianchi@gmail.com</t>
  </si>
  <si>
    <t>Moura, Sidnei/HTQ-8752-2023; Neves, Roberta/AAK-5672-2020; Bianchi, Otávio/F-1951-2011; Maraschin, Marcelo/M-7176-2019; Dias, Fernanda/AAU-6785-2020</t>
  </si>
  <si>
    <t>TRINDADE GONZALEZ DIAS, FERNANDA/0000-0003-3491-1294; DALL AGNOL, LUCAS/0000-0001-6024-9375</t>
  </si>
  <si>
    <t>Brazilian Agency Coordenacao de Aperfeicoamento de Pessoal de Nivel Superior (CAPES, Brazil) [001]; Conselho Nacional de Desenvolvimento Cientifico e Tecnologico (CNPq, Brazil); Fundacao de Amparo a Pesquisa do Estado do Rio Grande do Sul (FAPERGS, Brazil) [19/2551-0001843-6, 306086/2018-2]</t>
  </si>
  <si>
    <t>Brazilian Agency Coordenacao de Aperfeicoamento de Pessoal de Nivel Superior (CAPES, Brazil); Conselho Nacional de Desenvolvimento Cientifico e Tecnologico (CNPq, Brazil)(Conselho Nacional de Desenvolvimento Cientifico e Tecnologico (CNPQ)); Fundacao de Amparo a Pesquisa do Estado do Rio Grande do Sul (FAPERGS, Brazil)(Fundacao de Amparo a Ciencia e Tecnologia do Estado do Rio Grande do Sul (FAPERGS))</t>
  </si>
  <si>
    <t>The authors acknowledge Brazilian Agency Coordenacao de Aperfeicoamento de Pessoal de Nivel Superior (CAPES, Brazil) -(Finance Code 001), Conselho Nacional de Desenvolvimento Cientifico e Tecnologico (CNPq, Brazil) and Fundacao de Amparo a Pesquisa do Estado do Rio Grande do Sul (FAPERGS, Brazil -grants: 19/2551-0001843-6 and 306086/2018-2).</t>
  </si>
  <si>
    <t>2214-9937</t>
  </si>
  <si>
    <t>SUSTAIN MATER TECHNO</t>
  </si>
  <si>
    <t>Sustain. Mater. Technol.</t>
  </si>
  <si>
    <t>e00347</t>
  </si>
  <si>
    <t>10.1016/j.susmat.2021.e00347</t>
  </si>
  <si>
    <t>Green &amp; Sustainable Science &amp; Technology; Energy &amp; Fuels; Materials Science, Multidisciplinary</t>
  </si>
  <si>
    <t>Science &amp; Technology - Other Topics; Energy &amp; Fuels; Materials Science</t>
  </si>
  <si>
    <t>WZ3AE</t>
  </si>
  <si>
    <t>WOS:000719842500001</t>
  </si>
  <si>
    <t>Nijman, TPA; van Giersbergen, Q; Heuts, TS; Nouta, R; Boonman, CCF; Velthuis, M; Kruijt, B; Aben, RCH; Fritz, C</t>
  </si>
  <si>
    <t>Nijman, Thomas P. A.; van Giersbergen, Quint; Heuts, Tom S.; Nouta, Reinder; Boonman, Coline C. F.; Velthuis, Mandy; Kruijt, Bart; Aben, Ralf C. H.; Fritz, Christian</t>
  </si>
  <si>
    <t>Drainage effects on carbon budgets of degraded peatlands in the north of the Netherlands</t>
  </si>
  <si>
    <t>Emission validation; Greenhouse gas measurements; Agricultural peatlands; Ecosystem services; Water level management; Carbon cycling</t>
  </si>
  <si>
    <t>WATER MANAGEMENT; PEAT; SOIL; TEMPERATURE; EMISSIONS; PHOTOSYNTHESIS; RESPIRATION; MOISTURE; FLUXES; LAND</t>
  </si>
  <si>
    <t>Peatlands store vast amounts of carbon (C). However, land -use -driven drainage causes peat oxidation, resulting in CO 2 emission. There is a growing need for ground-truthing CO 2 emission and its potential drivers to better quantify long-term emission trends in peatlands. This will help improve National Inventory Reporting and ultimately aid the design and verification of mitigation measures. To investigate regional drivers of CO 2 emission, we estimated C budgets using custom-made automated chamber systems measuring CO 2 concentrations corrected for carbon export and import. Chamber systems were rotated among thirteen degraded peatland pastures in Friesland (the Netherlands). These peatlands varied in water table depth (WTD), drainage -irrigation management (fixed regulated ditch water level (DWL), subsurface irrigation, furrow irrigation, or dynamic regulated DWL), and soil moisture. We investigated (1) whether drainage -irrigation management and related hydrological drivers could explain variation in C budgets, (2) how nighttime ecosystem respiration ( R nighteco ) related to hydrological drivers, and (3) how C budgets compared with estimates from Tier 1 and Tier 2 models regularly used in National Inventory Reporting. Deep -drained peatlands largely overlapped with C budgets from shallowdrained peatlands. The variation in C budgets could not be explained with drainage -irrigation measures or annual WTD, likely because of high variation between sites. R nighteco increased from 85 to 250 kg CO 2 ha -1 day -1 as the WTD dropped from 0 to 50 cm across all sites. A deeper WTD had no apparent effect on R nighteco , which could be explained by the unimodal relationship we found between R night eco and soil moisture. Finally, C budgets estimated by Tier 1 emission factors and Tier 2 national models mismatched the between -site and between -year variation found in chamber -based estimated NECBs. To conclude, our study showed that shallow WTDs greatly determine C budgets and that regional C budgets, which can be accurately measure with periodic automated chamber measurements, are instrumental for model validation.</t>
  </si>
  <si>
    <t>[Nijman, Thomas P. A.; van Giersbergen, Quint; Heuts, Tom S.; Nouta, Reinder; Velthuis, Mandy; Aben, Ralf C. H.; Fritz, Christian] Radboud Univ Nijmegen, Radboud Inst Biol &amp; Environm Sci, Dept Ecol, Heyendaalseweg 135, NL-6525 AJ Nijmegen, Netherlands; [Nouta, Reinder] Wetterskip Fryslan, Fryslanplein 3, NL-8914 BZ Leeuwarden, Netherlands; [Boonman, Coline C. F.] Aarhus Univ, Ctr Biodivers Dynam Changing World BIOCHANGE, Dept Biol, Ny Munkegade 116, DK-8000 Aarhus, Denmark; [Kruijt, Bart] Wageningen Univ, Water Syst &amp; Global Change Grp, Droevendaalsesteeg 3, NL-6708 PB Wageningen, Netherlands; [Fritz, Christian] Univ Groningen, Integrated Res Energy Environm &amp; Soc IREES, Nijenborgh 6, NL-9747 AG Groningen, Netherlands</t>
  </si>
  <si>
    <t>Radboud University Nijmegen; Aarhus University; Wageningen University &amp; Research; University of Groningen</t>
  </si>
  <si>
    <t>van Giersbergen, Q (corresponding author), Radboud Univ Nijmegen, Radboud Inst Biol &amp; Environm Sci, Dept Ecol, Heyendaalseweg 135, NL-6525 AJ Nijmegen, Netherlands.</t>
  </si>
  <si>
    <t>quint.vangiersbergen@ru.nl</t>
  </si>
  <si>
    <t>Fritz, Christian/C-5501-2011; Velthuis, Mandy/J-2566-2013; Nijman, Thomas/AFM-5402-2022; vanGiersbergen, Quint/OPN-6633-2025</t>
  </si>
  <si>
    <t>Boonman, Coline/0000-0003-2417-1579; Fritz, Christian/0000-0003-2687-9749;</t>
  </si>
  <si>
    <t>STOWA; Ministry of LNV</t>
  </si>
  <si>
    <t>We would like to thank the fieldworkers from Wetterskip Fryslan (Jeroen Hemstra, Hinke Grasman, Herman Schuurman, Bert Landman, Jan Dijkstra, Johan Dijkstra) for doing most of the fieldwork and Niek Bosma for input and feedback, Paul van der Ven for help with C:N analyses, and Roy Peters and Germa Verheggen for help with biogeochemical analyses. Furthermore, we would like to thank NOBV partners for their feedback and interesting discussions that have improved this paper. We would like to thank STOWA and the ministry of LNV for funding. Finally, we would like to thank the farmers for taking part in this project and letting us measure their farms for our research and the funding of the Province of Friesland.</t>
  </si>
  <si>
    <t>10.1016/j.scitotenv.2024.172882</t>
  </si>
  <si>
    <t>UE6U7</t>
  </si>
  <si>
    <t>Green Published, Green Submitted, hybrid</t>
  </si>
  <si>
    <t>WOS:001246432400001</t>
  </si>
  <si>
    <t>Yuguda, TK; Li, Y; Luka, BS; Dzarma, GW</t>
  </si>
  <si>
    <t>Yuguda, Taitiya Kenneth; Li, Yi; Shekarau Luka, Bobby; Dzarma, Goziya William</t>
  </si>
  <si>
    <t>Incorporating Reservoir Greenhouse Gas Emissions into Carbon Footprint of Sugar Produced from Irrigated Sugarcane in Northeastern Nigeria</t>
  </si>
  <si>
    <t>carbon footprint; GHG emissions; artificial reservoirs; irrigation; sugar production; life cycle assessment</t>
  </si>
  <si>
    <t>LIFE-CYCLE ASSESSMENT; 3 GORGES RESERVOIR; METHANE EMISSIONS; HYDROELECTRIC RESERVOIRS; SENSITIVITY-ANALYSIS; GHG EMISSIONS; ETHANOL; DAMS; BRAZIL; BIOREFINERIES</t>
  </si>
  <si>
    <t>Greenhouse gas (GHG) emissions from reservoirs are responsible for at most 2% of the overall warming effects of human activities. This study aimed at incorporating the GHG emissions of a reservoir (with irrigation/sugar production as its primary purpose), into the carbon footprint of sugar produced from irrigated sugarcane. This study adopts a life-cycle assessment (LCA) approach and encompasses the cradle-to-gate aspect of the international organization of standardization ISO 14040 guidelines. Results show that total carbon footprint of refined sugar could be as high as 5.71 kg CO2-eq/kg sugar, over its entire life cycle, depending on the priority of purposes allocated to a reservoir and sugarcane productivity. Findings also reveal that the dammed river contributes the most to GHG emissions 5.04 kg CO2-eq/kg sugar, followed by the agricultural stage 0.430 kg CO2-eq/kg sugar, the sugar factory 0.227 kg CO2-eq/kg sugar, and lastly the transportation stage 0.065 kg CO2-eq/kg sugar. The sensitivity analysis shows that carbon footprint CF of sugar production is largely influenced by the rate of biomass decomposition in the impounded reservoir over time, followed by the reservoir drawdown due to seasonal climatic fluctuations. Significant amounts of GHG emissions are correlated with the impoundment of reservoirs for water resource development projects, which may account for up to 80% of total GHG emissions to the reservoir's primary purpose. Sugar production expansion, coupled with allocating more functions to a reservoir, significantly influences the CF of sugar per service purpose. This study is an indicator for policymakers to comprehend and make plans for the growing tradeoffs amongst key functions of reservoirs.</t>
  </si>
  <si>
    <t>[Yuguda, Taitiya Kenneth; Li, Yi] Hohai Univ, Coll Environm, Minist Educ, Key Lab Integrated Regulat &amp; Resource Dev Shallow, Nanjing 210098, Peoples R China; [Shekarau Luka, Bobby] Fed Univ Wukari, Dept Agr Engn, 200 Katsina Ala Rd, Wukari 234, Nigeria; [Dzarma, Goziya William] Michael Okpara Univ Agr, Dept Chem Engn, PMB 7267, Umuahia, Nigeria</t>
  </si>
  <si>
    <t>Yuguda, TK (corresponding author), Hohai Univ, Coll Environm, Minist Educ, Key Lab Integrated Regulat &amp; Resource Dev Shallow, Nanjing 210098, Peoples R China.</t>
  </si>
  <si>
    <t>taitiyayuguda@outlook.com; envly@hhu.edu.cn; lukabobby@fuwukari.edu.ng; dzarma.goziya@mouau.edu.ng</t>
  </si>
  <si>
    <t>Dzarma, Goziya/ISB-0947-2023; LUKA, BOBBY/ABG-9753-2020; Yuguda, Taitiya/AAG-6241-2021; LUKA, BOBBY/ABG-9753-2020</t>
  </si>
  <si>
    <t>LUKA, BOBBY/0000-0002-4410-5934; Yuguda, Taitiya/0000-0002-2087-6240; LUKA, BOBBY/0000-0002-4410-5934</t>
  </si>
  <si>
    <t>National Key R&amp;D Program of China [2019YFC0408301]; National Natural Science Foundation of China [51779076]; Foundation for Innovative Research Groups of the National Natural Science Foundation of China [51421006]; Six Talent Peaks Project in Jiangsu Province [2016-JNHB-007]; 333 Talent Project Foundation of Jiangsu Province; Priority Academic Program Development of Jiangsu Higher Education Institutions (PAPD)</t>
  </si>
  <si>
    <t>National Key R&amp;D Program of China; National Natural Science Foundation of China(National Natural Science Foundation of China (NSFC)); Foundation for Innovative Research Groups of the National Natural Science Foundation of China(National Natural Science Foundation of China (NSFC)); Six Talent Peaks Project in Jiangsu Province; 333 Talent Project Foundation of Jiangsu Province(Natural Science Foundation of Jiangsu Province); Priority Academic Program Development of Jiangsu Higher Education Institutions (PAPD)</t>
  </si>
  <si>
    <t>This study was supported by the National Key R&amp;D Program of China (No. 2019YFC0408301), the National Natural Science Foundation of China (No. 51779076); the Foundation for Innovative Research Groups of the National Natural Science Foundation of China (No. 51421006); the Six Talent Peaks Project in Jiangsu Province (2016-JNHB-007); and the 333 Talent Project Foundation of Jiangsu Province and the Priority Academic Program Development of Jiangsu Higher Education Institutions (PAPD).</t>
  </si>
  <si>
    <t>10.3390/su122410380</t>
  </si>
  <si>
    <t>PL6AL</t>
  </si>
  <si>
    <t>WOS:000603202200001</t>
  </si>
  <si>
    <t>Rusere, F; Dicks, L; Mkuhlani, S; Crespo, O</t>
  </si>
  <si>
    <t>Rusere, Farirai; Dicks, Lynn, V; Mkuhlani, Siyabusa; Crespo, Olivier</t>
  </si>
  <si>
    <t>Integrating a crop model with a greenhouse gas calculator to identify low carbon agricultural intensification options for smallholder farmers in rural South Africa</t>
  </si>
  <si>
    <t>CLEAN TECHNOLOGIES AND ENVIRONMENTAL POLICY</t>
  </si>
  <si>
    <t>Conservation agriculture; Crop yields; Greenhouse gas emissions; Smallholder agriculture; Ecological intensification</t>
  </si>
  <si>
    <t>CLIMATE-CHANGE ADAPTATION; CONSERVATION AGRICULTURE; LIVESTOCK SYSTEMS; LIMPOPO PROVINCE; EMISSIONS; TILLAGE; DSSAT; SOIL; PRODUCTIVITY; MITIGATION</t>
  </si>
  <si>
    <t>Models that enable the estimation of crop yields and greenhouse gas (GHG) emissions concurrently are still lacking. This study develops a biophysical modelling framework encompassing a farm typology, a crop model, and a farm-focused GHG calculator to assess productivity (crop yield) and GHG emissions of crop management practices concurrently. Using this modelling framework, the study developed cropping system scenarios based on the concept of conservation agriculture (CA) to identify and design cropping systems that deliver ecological intensification for different farm types. All farm types were found to be net sources of GHG with cropping system inefficiency across all farm types. However, the integration of CA-based practices independently and in combination into farm-type maize-based cropping systems showed significant potential in improving crop yields and lowering GHG emissions across all farm types. CA-based practices in combination were more efficient and able to deliver ecological intensification with high productivity and ecosystem services which contribute to climate change regulation. This study concludes that the modelling approach identified intensification options that maintain or increase crop yields while reducing GHG emissions at the farm level. This can guide policy simulations and scenario analysis to tailor interventions for farm-type sustainability.</t>
  </si>
  <si>
    <t>[Rusere, Farirai; Mkuhlani, Siyabusa; Crespo, Olivier] Univ Cape Town, Dept Environm &amp; Geog Sci, Climate Syst Anal Grp, Cape Town, South Africa; [Rusere, Farirai] Univ Witwatersrand, Sch Anim Plant &amp; Environm Sci, Fac Sci, Johannesburg, South Africa; [Rusere, Farirai] Univ Witwatersrand, Wits Rural Knowledge Hub, Res Off, Johannesburg, South Africa; [Dicks, Lynn, V] Univ East Anglia, Sch Biol Sci, Norwich Res Pk, Norwich NR4 7TJ, Norfolk, England; [Mkuhlani, Siyabusa] ICIPE, Int Inst Trop Agr, POB 30772-00100, Nairobi, Kenya</t>
  </si>
  <si>
    <t>University of Cape Town; University of Witwatersrand; University of Witwatersrand; University of East Anglia; International Centre of Insect Physiology &amp; Ecology (ICIPE)</t>
  </si>
  <si>
    <t>Rusere, F (corresponding author), Univ Cape Town, Dept Environm &amp; Geog Sci, Climate Syst Anal Grp, Cape Town, South Africa.;Rusere, F (corresponding author), Univ Witwatersrand, Sch Anim Plant &amp; Environm Sci, Fac Sci, Johannesburg, South Africa.;Rusere, F (corresponding author), Univ Witwatersrand, Wits Rural Knowledge Hub, Res Off, Johannesburg, South Africa.</t>
  </si>
  <si>
    <t>farirairusere@gmail.com</t>
  </si>
  <si>
    <t>Dicks, Lynn/AFH-5289-2022; crespo, olivier/L-6398-2013; rusere, farirai/OVY-0846-2025</t>
  </si>
  <si>
    <t>crespo, olivier/0000-0001-7320-9428; Dicks, Lynn Vanessa/0000-0002-8304-4468</t>
  </si>
  <si>
    <t>National Research Foundation (NRF); Water Research Commission (WRC) [K5/2496/4]; Alliance for Collaboration for Climate and Earth System Sciences (ACCESS); African Climate Development Initiative (ACDI); Natural Environment Research Council (NERC) [NE/N014472/1]; NERC [NE/N014472/1, NE/N014472/2] Funding Source: UKRI; Natural Environment Research Council [NE/N014472/1] Funding Source: researchfish</t>
  </si>
  <si>
    <t>National Research Foundation (NRF); Water Research Commission (WRC); Alliance for Collaboration for Climate and Earth System Sciences (ACCESS); African Climate Development Initiative (ACDI); Natural Environment Research Council (NERC)(UK Research &amp; Innovation (UKRI)Natural Environment Research Council (NERC)); NERC(UK Research &amp; Innovation (UKRI)Natural Environment Research Council (NERC)); Natural Environment Research Council(UK Research &amp; Innovation (UKRI)Natural Environment Research Council (NERC))</t>
  </si>
  <si>
    <t>This research was supported with funding from National Research Foundation (NRF), Water Research Commission (WRC) [K5/2496/4], Alliance for Collaboration for Climate and Earth System Sciences (ACCESS) and African Climate Development Initiative (ACDI). Lynn Dicks was funded by the Natural Environment Research Council (NERC) (grant code: NE/N014472/1). Interpretation of the findings and conclusion drawn from the study were the responsibilities of the authors and not on any part of National Research Foundation (NRF), Alliance for Collaboration for Climate and Earth System Sciences (ACCESS), Water Research Commission (WRC), African Climate Development Initiative (ACDI) and Natural Environment Research Council (NERC).</t>
  </si>
  <si>
    <t>1618-954X</t>
  </si>
  <si>
    <t>1618-9558</t>
  </si>
  <si>
    <t>CLEAN TECHNOL ENVIR</t>
  </si>
  <si>
    <t>Clean Technol. Environ. Policy</t>
  </si>
  <si>
    <t>10.1007/s10098-022-02272-7</t>
  </si>
  <si>
    <t>2Y7DG</t>
  </si>
  <si>
    <t>WOS:000745600000001</t>
  </si>
  <si>
    <t>Lauerwald, R; Bastos, A; McGrath, MJ; Petrescu, AMR; Ritter, F; Andrew, RM; Berchet, A; Broquet, G; Brunner, D; Chevallier, F; Cescatti, A; Filipek, S; Fortems-Cheiney, A; Forzieri, G; Friedlingstein, P; Fuchs, R; Gerbig, C; Houweling, S; Ke, P; Lerink, BJW; Li, WJ; Li, W; Li, XJ; Luijkx, I; Monteil, G; Munassar, S; Nabuurs, GJ; Patra, PK; Peylin, P; Pongratz, J; Regnier, P; Saunois, M; Schelhaas, MJ; Scholze, M; Sitch, S; Thompson, RL; Tian, HQ; Tsuruta, A; Wilson, C; Wigneron, JP; Yao, YT; Zaehle, S; Ciais, P</t>
  </si>
  <si>
    <t>Lauerwald, Ronny; Bastos, Ana; McGrath, Matthew J.; Petrescu, Ana Maria Roxana; Ritter, Francois; Andrew, Robbie M.; Berchet, Antoine; Broquet, Gregoire; Brunner, Dominik; Chevallier, Frederic; Cescatti, Alessandro; Filipek, Sara; Fortems-Cheiney, Audrey; Forzieri, Giovanni; Friedlingstein, Pierre; Fuchs, Richard; Gerbig, Christoph; Houweling, Sander; Ke, Piyu; Lerink, Bas J. W.; Li, Wanjing; Li, Wei; Li, Xiaojun; Luijkx, Ingrid; Monteil, Guillaume; Munassar, Saqr; Nabuurs, Gert-Jan; Patra, Prabir K.; Peylin, Philippe; Pongratz, Julia; Regnier, Pierre; Saunois, Marielle; Schelhaas, Mart-Jan; Scholze, Marko; Sitch, Stephen; Thompson, Rona L.; Tian, Hanqin; Tsuruta, Aki; Wilson, Chris; Wigneron, Jean-Pierre; Yao, Yitong; Zaehle, Soenke; Ciais, Philippe</t>
  </si>
  <si>
    <t>Carbon and Greenhouse Gas Budgets of Europe: Trends, Interannual and Spatial Variability, and Their Drivers</t>
  </si>
  <si>
    <t>GLOBAL BIOGEOCHEMICAL CYCLES</t>
  </si>
  <si>
    <t>carbon dioxide; methane; nitrous oxide; carbon; greenhouse gas; Europe</t>
  </si>
  <si>
    <t>CO2 EMISSIONS; LAND-USE; REPORTED HARVESTS; N2O EMISSIONS; FLUXES; FORESTS; UNION; CH4; PRODUCTIVITY; DISTURBANCES</t>
  </si>
  <si>
    <t>In the framework of the RECCAP2 initiative, we present the greenhouse gas (GHG) and carbon (C) budget of Europe. For the decade of the 2010s, we present a bottom-up (BU) estimate of GHG net-emissions of 3.9 Pg CO2-eq. yr-1 (using a global warming potential on a 100 years horizon), which are largely dominated by fossil fuel emissions. In this decade, terrestrial ecosystems acted as a net GHG sink of 0.9 Pg CO2-eq. yr-1, dominated by a CO2 sink that was partially counterbalanced by net emissions of CH4 and N2O. For CH4 and N2O, we find good agreement between BU and top-down (TD) estimates from atmospheric inversions. However, our BU land CO2 sink is significantly higher than the TD estimates. We further show that decadal averages of GHG net-emissions have declined by 1.2 Pg CO2-eq. yr-1 since the 1990s, mainly due to a reduction in fossil fuel emissions. In addition, based on both data driven BU and TD estimates, we also find that the land CO2 sink has weakened over the past two decades. A large part of the European CO2 and C sinks is located in Northern Europe. At the same time, we find a decreasing trend in sink strength in Scandinavia, which can be attributed to an increase in forest management intensity. These are partly offset by increasing CO2 sinks in parts of Eastern Europe and Northern Spain, attributed in part to land use change. Extensive regions of high CH4 and N2O emissions are mainly attributed to agricultural activities and are found in Belgium, the Netherlands and the southern UK. We further analyzed interannual variability in the GHG budgets. The drought year of 2003 shows the highest net-emissions of CO2 and of all GHGs combined. We have synthesized the European budgets of carbon and the greenhouse gases (GHG) carbon dioxide, methane and nitrous oxide. This synthesis includes estimates of direct emissions from fossil fuel burning, industrial production, waste management and agriculture, as well as of sources and sinks in the terrestrial biosphere. Summing up the sources and sinks of the three GHGs, we estimate for the decade of the 2010s an average annual net-emission of 3.9 billion tons of carbon dioxide equivalents. These net-emissions are dominated by carbon dioxide from fossil fuel emissions (4.1 billion tons of carbon dioxide). In contrast, the terrestrial biosphere acts as a net sink of carbon dioxide, the effect of which is only partly counterbalanced by net emissions of methane and nitrous oxide. The net-effect of the terrestrial biosphere's GHG budget is a sink of 0.9 billion tons of carbon dioxide equivalents per year. Over the last three decades, European GHG emissions have declined by 1.2 billion tons carbon dioxide equivalents per year, mainly due to reductions in fossil fuel emissions. However, the sink capacity of the terrestrial biosphere has diminished since the 2000s. We provide a bottom-up estimate of CO2, CH4, N2O emissions of 3.9 Pg CO2-eq. yr-1 over Europe, 2010-2019 Terrestrial ecosystems acted as a greenhouse gas net sink of 0.9 Pg CO2-eq. yr-1, dominated by CO2 sink Net-greenhouse gas emissions decreased by similar to 1/4 since the 1990s, but land carbon sink is weakening since the 2000s</t>
  </si>
  <si>
    <t>[Lauerwald, Ronny] Univ Paris Saclay, INRAE, AgroParisTech, UMR EcoSys, Palaiseau, France; [Bastos, Ana; Gerbig, Christoph; Munassar, Saqr; Zaehle, Soenke] Max Planck Inst Biogeochem, Jena, Germany; [McGrath, Matthew J.; Ritter, Francois; Berchet, Antoine; Broquet, Gregoire; Chevallier, Frederic; Fortems-Cheiney, Audrey; Peylin, Philippe; Saunois, Marielle; Yao, Yitong; Ciais, Philippe] Univ Paris Saclay, CEA CNRS UVSQ, Lab Sci Climat &amp; Environm, Gif Sur Yvette, France; [Petrescu, Ana Maria Roxana; Houweling, Sander] Vrije Univ Amsterdam, Dept Earth Sci, Amsterdam, Netherlands; [Andrew, Robbie M.] CICERO Ctr Int Climate Res, Oslo, Norway; [Brunner, Dominik] EMPA, Swiss Fed Labs Mat Sci &amp; Technol, Dubendorf, Switzerland; [Cescatti, Alessandro] European Commiss, Joint Res Ctr JRC, Ispra, Italy; [Filipek, Sara; Lerink, Bas J. W.; Nabuurs, Gert-Jan; Schelhaas, Mart-Jan] Wageningen Univ &amp; Res WUR, Wageningen Environm Res, Wageningen, Netherlands; [Fortems-Cheiney, Audrey] Sci Partners, Paris, France; [Forzieri, Giovanni] Univ Florence, Dept Civil &amp; Environm Engn DICEA, Via Santa Marta 3, I-50139 Florence, Italy; [Friedlingstein, Pierre; Ke, Piyu; Sitch, Stephen] Univ Exeter, Fac Environm Sci &amp; Econ, Exeter, England; [Friedlingstein, Pierre] Ecole Normale Super, Inst Pierre Simon Laplace, CNRS ENS UPMC X, Lab Meteorol Dynam,Dept Geosci, Paris, France; [Fuchs, Richard] Karlsruhe Inst Technol KIT, Land Use Change &amp; Climate Res Grp, IMK IFU, Garmisch Partenkirchen, Germany; [Ke, Piyu; Li, Wanjing; Li, Wei] Tsinghua Univ, Inst Global Change Studies, Dept Earth Syst Sci, Minist Educ,Key Lab Earth Syst Modeling, Beijing, Peoples R China; [Li, Xiaojun; Wigneron, Jean-Pierre] Univ Bordeaux, INRAE, UMR 1391, ISPA, Villenave Dornon, France; [Luijkx, Ingrid] Wageningen Univ, Meteorol &amp; Air Qual Grp, Wageningen, Netherlands; [Monteil, Guillaume; Scholze, Marko] Lund Univ, Dept Phys Geog &amp; Ecosyst Sci, Lund, Sweden; [Patra, Prabir K.] JAMSTEC, Res Inst Global Change, Yokohama, Japan; [Patra, Prabir K.] Res Inst Humanity &amp; Nat, Kyoto, Japan; [Pongratz, Julia] Ludwig Maximilians Univ Munchen, Dept Geog, Munich, Germany; [Pongratz, Julia] Max Planck Inst Meteorol, Hamburg, Germany; [Regnier, Pierre] Univ Libre Bruxelles, Dept Geosci Environm &amp; Soc BGEOSYS, Brussels, Belgium; [Thompson, Rona L.] Norwegian Inst Air Res NILU, Kjeller, Norway; [Tian, Hanqin] Boston Coll, Schiller Inst Integrated Sci, Ctr Earth Syst Sci &amp; Global Sustainabil, Dept Earth &amp; Environm Sci, Chestnut Hill, MA USA; [Tsuruta, Aki] Finnish Meteorol Inst, Helsinki, Finland; [Wilson, Chris] Univ Leeds, Natl Ctr Earth Observat, Leeds, England; [Wilson, Chris] Univ Leeds, Sch Earth &amp; Environm, Leeds, England</t>
  </si>
  <si>
    <t>INRAE; AgroParisTech; Universite Paris Saclay; Max Planck Society; CEA; Universite Paris Saclay; Vrije Universiteit Amsterdam; Swiss Federal Institutes of Technology Domain; Swiss Federal Laboratories for Materials Science &amp; Technology (EMPA); European Commission Joint Research Centre; EC JRC ISPRA Site; Wageningen University &amp; Research; University of Florence; University of Exeter; Centre National de la Recherche Scientifique (CNRS); CNRS - National Institute for Earth Sciences &amp; Astronomy (INSU); Universite PSL; Ecole Normale Superieure (ENS); Universite Paris Saclay; Sorbonne Universite; Institut Polytechnique de Paris; Ecole Polytechnique; Helmholtz Association; Karlsruhe Institute of Technology; Tsinghua University; INRAE; Universite de Bordeaux; Wageningen University &amp; Research; Lund University; Japan Agency for Marine-Earth Science &amp; Technology (JAMSTEC); Research Institute for Humanity &amp; Nature (RIHN); University of Munich; Max Planck Society; Universite Libre de Bruxelles; NILU; Boston College; Finnish Meteorological Institute; University of Leeds; University of Leeds</t>
  </si>
  <si>
    <t>Lauerwald, R (corresponding author), Univ Paris Saclay, INRAE, AgroParisTech, UMR EcoSys, Palaiseau, France.</t>
  </si>
  <si>
    <t>ronny.lauerwald@inrae.fr</t>
  </si>
  <si>
    <t>Tsuruta, Aki/A-7535-2015; Regnier, Pierre/HKF-6789-2023; Friedlingstein, Pierre/H-2700-2014; Schelhaas, Mart-Jan/I-4731-2012; Wilson, Chris/AGL-9477-2022; Tian, Hanqin/A-6484-2012; Lauerwald, Ronny/D-5338-2012; Pongratz, Julia/AAG-3274-2019; Scholze, Marko/N-4573-2014; Luijkx, Ingrid/G-9169-2011; Wigneron, Jean-Pierre/ABD-9939-2021; Li, Xiaojun/AFO-0620-2022; Saunois, Marielle/JYP-5156-2024; Patra, Prabir/B-5206-2009; Forzieri, Giovanni/OKR-6804-2025; Andrew, Robbie/B-4204-2008; Gerbig, Christoph/L-3532-2013; Ciais, Philippe/A-6840-2011; Cescatti, Alessandro/ABE-6319-2020; Nabuurs, Gert-Jan/D-8048-2015; Chevallier, Frederic/E-9608-2016; Bastos, Ana/G-2927-2013; Sitch, Stephen/F-8034-2015; Zaehle, Sönke/C-9528-2017; YAO, YITONG/MJB-2250-2025</t>
  </si>
  <si>
    <t>Tsuruta, Aki/0000-0002-9197-3005; Berchet, Antoine/0000-0001-6709-0125; Cescatti, Alessano/0000-0002-2769-2591; Winkler, Karina/0000-0002-2591-0620; Luijkx, Ingrid/0000-0002-3990-6737; Tian, Hanqin/0000-0002-1806-4091; Scholze, Marko/0000-0002-3474-5938; Lauerwald, Ronny/0000-0001-5554-0897; Houweling, Sander/0000-0002-6189-1009; Wilson, Chris/0000-0001-8494-0697; Bastos, Ana/0000-0002-7368-7806; Petrescu, A M Roxana/0000-0001-9441-3487; McGrath, Matthew/0000-0003-3431-8466;</t>
  </si>
  <si>
    <t>European Commission [776810, 958927, 101081322, 101081395]; European Space Agency Climate Change Initiative (ESA-CCI) Biomass project [ESA ESRIN/4000123662, ESA ESRIN/4000123002/18/I-NB]; Environmental Research and Technology Development Fund of the MOEJ and ERCA [JPMEERF21S20800]; Horizon Europe Project ECO2ADAPT [101059498]; Ministry Agriculture, Nature Management and Food Quality in Netherlands; Knowledge Bases programme; RESONATE project [101000574]; Horizon Europe Project SUPERB [101036849, 101084481]; Natural Environment Research Council [NE/R016518/1, NE/N018079/1]; HPC cluster Aether at the University of Bremen - DFG; FRS-FRNS PDR [T.0191.23 CH4]; Horizon Europe - Pillar II [101084481, 101081322, 101059498, 101081395] Funding Source: Horizon Europe - Pillar II; Natural Environment Research Council [nceo020004, NE/N018079/1, NE/R016518/1] Funding Source: researchfish</t>
  </si>
  <si>
    <t>European Commission(European Union (EU)European Commission Joint Research Centre); European Space Agency Climate Change Initiative (ESA-CCI) Biomass project; Environmental Research and Technology Development Fund of the MOEJ and ERCA; Horizon Europe Project ECO2ADAPT; Ministry Agriculture, Nature Management and Food Quality in Netherlands; Knowledge Bases programme; RESONATE project; Horizon Europe Project SUPERB; Natural Environment Research Council(UK Research &amp; Innovation (UKRI)Natural Environment Research Council (NERC)); HPC cluster Aether at the University of Bremen - DFG(German Research Foundation (DFG)); FRS-FRNS PDR; Horizon Europe - Pillar II(European Union (EU)Horizon Europe - Pillar II); Natural Environment Research Council(UK Research &amp; Innovation (UKRI)Natural Environment Research Council (NERC))</t>
  </si>
  <si>
    <t>R.L., P.C. and F.R acknowledge funding from French state aid managed by ANR under the Investissements d'avenir programme (ANR-16-CONV-0003) and R.L. from EU's Horizon Europe Research and Innovation Programme under Grant 101060423. A.B. was funded by the European Union (ERC StG, ForExD, Grant 101039567). Views and opinions expressed are however those of the authors only and do not necessarily reflect those of the European Union or the European Research Council. Neither the European Union nor the granting authority can be held responsible for them. AMRP, MJM, RMA, MJS, GJN, PC were supported by the European Commission, Horizon 2020 Framework Programme (VERIFY, Grant 776810), AMRP, MJM, RMA by Grant 958927 (CoCO2), AMRP by Grant 101081322 (AVENGERS) and RMA, PC and PP by Grant 101081395 (EYE-CLIMA). P.C. is partly supported by the European Space Agency Climate Change Initiative (ESA-CCI) Biomass project (ESA ESRIN/4000123662) and RECCAP2 project 1190 (ESA ESRIN/4000123002/18/I-NB). P.K.P. is partly supported by the Environmental Research and Technology Development Fund (JPMEERF21S20800) of the MOEJ and ERCA. G.F. was supported by the Horizon Europe Project ECO2ADAPT (Grant 101059498). MJS and GJN were partly funded by Ministry Agriculture, Nature Management and Food Quality in Netherlands and its Knowledge Bases programme. GJN acknowledges RESONATE project (H2020 Grant 101000574) and the Horizon Europe Project SUPERB (Grant 101036849) and FORWARDS (Grant 101084481). For the aggregated national forest inventory data behind the EFISCEN simulations MJS and GJN acknowledge the national forest inventories of 27 EU countries, CW was funded by the Natural Environment Research Council through its grants to the UK National Centre for Earth Observation (NCEO; NERC Grants NE/R016518/1 and NE/N018079/1). CTE2021 runs were supported by the HPC cluster Aether at the University of Bremen, financed by DFG within the scope of the Excellence Initiative. PR acknowledges funding from the FRS-FRNS PDR project T.0191.23 CH4-lakes.</t>
  </si>
  <si>
    <t>0886-6236</t>
  </si>
  <si>
    <t>1944-9224</t>
  </si>
  <si>
    <t>GLOBAL BIOGEOCHEM CY</t>
  </si>
  <si>
    <t>Glob. Biogeochem. Cycle</t>
  </si>
  <si>
    <t>e2024GB008141</t>
  </si>
  <si>
    <t>10.1029/2024GB008141</t>
  </si>
  <si>
    <t>A7Z1L</t>
  </si>
  <si>
    <t>WOS:001284671300001</t>
  </si>
  <si>
    <t>Xu, YY; Liu, X; Liu, ZY; Pan, T; Chen, F; Wang, JL; Huang, XF</t>
  </si>
  <si>
    <t>Xu, Yueyue; Liu, Xian; Liu, Zeyu; Pan, Ting; Chen, Fu; Wang, Juanling; Huang, Xuefang</t>
  </si>
  <si>
    <t>Effects of ridge-furrow mulching system and limited supplementary irrigation on soil microbial community structure, function and carbon emissions</t>
  </si>
  <si>
    <t>Dryland farming; Water-saving irrigation; Farmland microorganisms; Carbon cycling; Carbohydrate-active enzymes</t>
  </si>
  <si>
    <t>BACTERIAL COMMUNITIES; GREENHOUSE-GAS; LOESS PLATEAU; WATER; PRODUCTIVITY; RESPIRATION; MANAGEMENT; DRYLAND; FIELD</t>
  </si>
  <si>
    <t>Limited supplementary irrigation under the ridge-furrow mulching planting technology (R) is an important high-efficiency water-saving agricultural measure promoted in the dryland area. To systematically clarify the mechanism of R and supplementary irrigation on soil microorganisms and carbon emissions in farmland, this study investigated dryland farming systems under R with three irrigation amount, using traditional planting (T) as the control, the effects of different irrigation on soil microbial community structure, carbon cycle function gene diversity, carbohydrate-active enzymes and carbon emissions were explored. The results showed that R and supplementary irrigation significantly changed the carbon emission. R increased the CO2 emission and decreased the CH4 absorption. It increased the microbial richness but had no significant impact on species diversity, Sphingomonasy and Nocardioides were dominant bacterial groups in farmland. The functional gene diversity of carbon cycle and carbohydrate-active enzymes were studied, in the same irrigation treatment, the Ace and Shannon index of carbon cycle function genes in R increased by 0.05 %-4.85 % and 0.48 %-3.86 % compared with T. The abundance of GTs and GHs under R increased by 3.20 %-20.97 % and 0.68 %-14.00 %, while the CEs family decreased significantly by 34.72 %-36.31 %. Pearson analysis indicated that the cultivation patterns and supplementary irrigation mainly affected farmland carbon emissions by influencing shannon index of carbon cycle functional genes, bacterial Lysobacter, carbohydrate-active enzymes GH74 and PL22. The results of this study can provide a scientific basis for a deeper understanding of the microbial-mediated carbon cycle process under the R with limited supplementary irrigation in dryland farming areas.</t>
  </si>
  <si>
    <t>[Xu, Yueyue; Liu, Zeyu; Pan, Ting; Wang, Juanling; Huang, Xuefang] Shanxi Agr Univ, Shanxi Inst Organ Dryland Farming, Taiyuan 030031, Peoples R China; [Xu, Yueyue; Liu, Zeyu; Pan, Ting; Wang, Juanling; Huang, Xuefang] Minist Agr &amp; Rural Affairs, Coconstruct Minist &amp; Prov, Key Lab Sustainable Dryland Agr, Taiyuan 030031, Peoples R China; [Liu, Xian] Shanxi Normal Univ, Sch Geog Sci, Taiyuan 030031, Peoples R China; [Chen, Fu] China Agr Univ, Coll Agron &amp; Biotechnol, Beijing 100083, Peoples R China</t>
  </si>
  <si>
    <t>Shanxi Agricultural University; Shanxi Normal University; China Agricultural University</t>
  </si>
  <si>
    <t>Xu, YY; Huang, XF (corresponding author), Shanxi Agr Univ, Shanxi Inst Organ Dryland Farming, Taiyuan 030031, Peoples R China.</t>
  </si>
  <si>
    <t>xuyueyue@sxau.edu.cn; hxfwmf@163.com</t>
  </si>
  <si>
    <t>Major Science and Technology Special Project of Shanxi Province [202101140601026-1]; National Natural Science Foundation of China [32301963]; China Postdoctoral Science Foundation [2025M774023]; State's Key Project of Research and Development Plan [2021YFD1901101-1]; Natural Science Foundation of Shanxi Province [202203021212415]</t>
  </si>
  <si>
    <t>Major Science and Technology Special Project of Shanxi Province; National Natural Science Foundation of China(National Natural Science Foundation of China (NSFC)); China Postdoctoral Science Foundation(China Postdoctoral Science Foundation); State's Key Project of Research and Development Plan; Natural Science Foundation of Shanxi Province(Natural Science Foundation of Shanxi Province)</t>
  </si>
  <si>
    <t>This study was supported by Major Science and Technology Special Project of Shanxi Province (202101140601026-1) , National Natural Science Foundation of China (No.32301963) , China Postdoctoral Science Foundation (2025M774023) , State's Key Project of Research and Development Plan (No.2021YFD1901101-1) and Natural Science Foundation of Shanxi Province (No.202203021212415) .</t>
  </si>
  <si>
    <t>10.1016/j.agwat.2025.109897</t>
  </si>
  <si>
    <t>8WZ2Q</t>
  </si>
  <si>
    <t>WOS:001599329900002</t>
  </si>
  <si>
    <t>Lun, F; Canadell, JG; He, L; Yang, B; Liu, MC; Yuan, Z; Tian, M; Liu, JG; Li, WH</t>
  </si>
  <si>
    <t>Lun Fei; Canadell, Josep G.; He Lu; Yang Bo; Liu Mou-cheng; Yuan Zheng; Tian Mi; Liu Jun-guo; Li Wen-hua</t>
  </si>
  <si>
    <t>Estimating cropland carbon mitigation potentials in China affected by three improved cropland practices</t>
  </si>
  <si>
    <t>JOURNAL OF MOUNTAIN SCIENCE</t>
  </si>
  <si>
    <t>Cropland; Carbon mitigation potential; Cropland practices; Regional cooperation; China</t>
  </si>
  <si>
    <t>GREENHOUSE-GAS MITIGATION; TOPSOIL ORGANIC-CARBON; SOIL CARBON; AGRICULTURAL SOILS; FOOD SECURITY; STRAW RETURN; CO2 EMISSION; RICE PADDY; LAND-USE; SEQUESTRATION</t>
  </si>
  <si>
    <t>Agriculture is a large source of carbon emissions. The cropland practices of fertilizer substitution, crop straw and conservation tillage are beneficial and help to rebuild local soil carbon stocks and reduce soil carbon emissions, in addition to reducing the consumption of fertilizers and fossil fuels. These improved cropland practices can directly and indirectly mitigate carbon emissions, benefiting the sustainability of croplands. For these three improved practices, we estimated carbon mitigation potentials in rice, wheat and maize croplands in China. The combined contribution of these practices to carbon mitigation was 38.8 Tg C yr(-1), with fertilizer substitution, crop straw return, and conservation tillage contributing 26.6, 3.6 and 8.6 Tg C yr(-1), respectively. Rice, wheat and maize croplands had potentials to mitigate 13.4, 11.9 and 15.5 Tg C yr(-1), respectively, with the combined direct and indirect potential of 33.8 and 5.0 Tg C yr(-1). Because of differences in local climate and specific diets, the regional cropland carbon mitigation potentials differed greatly among provinces in China. In China, 18 provinces had a target surplus for which the carbon mitigation from these three practices was larger than the mitigation target set for 2020. At the national level, a net target surplus of 4.84 Tg C yr(-1) would be attained for Chinese croplands with full implementation of the three improved practices. Regional cooperation must be developed to achieve carbon mitigation targets using such measures as carbon trading, establishing regional associations, and strengthening research programs to improve practices.</t>
  </si>
  <si>
    <t>[Lun Fei; Liu Jun-guo] Beijing Forestry Univ, Sch Nat Conservat, Qinghua East Rd 35, Beijing 100083, Peoples R China; [Lun Fei] China Agr Univ, Coll Resources &amp; Environm Sci, Beijing 100193, Peoples R China; [Lun Fei] Ctr Land Policy &amp; Law, Beijing 100193, Peoples R China; [Canadell, Josep G.] CSIRO Marine &amp; Atmospher Res, Global Carbon Project, GPO Box 3023, Canberra, ACT 2601, Australia; [He Lu] Minist Housing &amp; Urban Rural, World Nat Heritage Conservat &amp; Res Ctr, 9 Sanlihe, Beijing 10085, Peoples R China; [Yang Bo] Beijing Acad Social Sci, 33 Beisihuanzhonglu, Beijing 100101, Peoples R China; [Liu Mou-cheng; Yuan Zheng; Tian Mi; Li Wen-hua] Chinese Acad Sci, Inst Geog Sci &amp; Nat Resources Res, 11A Datun Rd, Beijing 100101, Peoples R China; [Liu Jun-guo] South Univ Sci &amp; Technol China, Sch Environm Sci &amp; Engn, Shenzhen 518055, Peoples R China</t>
  </si>
  <si>
    <t>Beijing Forestry University; China Agricultural University; Commonwealth Scientific &amp; Industrial Research Organisation (CSIRO); Beijing Academy of Social Sciences; Chinese Academy of Sciences; Institute of Geographic Sciences &amp; Natural Resources Research, CAS; Southern University of Science &amp; Technology</t>
  </si>
  <si>
    <t>Liu, JG (corresponding author), Beijing Forestry Univ, Sch Nat Conservat, Qinghua East Rd 35, Beijing 100083, Peoples R China.;Liu, JG (corresponding author), South Univ Sci &amp; Technol China, Sch Environm Sci &amp; Engn, Shenzhen 518055, Peoples R China.</t>
  </si>
  <si>
    <t>rucallen_2008@hotmail.com; pep.canadell@csiro.au; 1518936543@qq.com; snihc-0626@163.com; liumc@igsnrr.ac.cn; yuanz.11b@igsnrr.ac.cn; yuanz.11b@igsnrr.ac.cn; liu_junguo@163.com; liwh@igsnrr.ac.cn</t>
  </si>
  <si>
    <t>Yuan, Zheng/ITT-0806-2023; Liu, Junguo/B-3021-2012; Canadell, Josep/E-9419-2010; Canadell, Josep G/E-9419-2010; Yang, Bo/F-1935-2015</t>
  </si>
  <si>
    <t>Liu, Junguo/0000-0002-5745-6311; Canadell, Josep G/0000-0002-8788-3218;</t>
  </si>
  <si>
    <t>National Science and Technology Major Project [2015ZX07203-005]; National Program for Support of Top-notch Young Professionals</t>
  </si>
  <si>
    <t>National Science and Technology Major Project; National Program for Support of Top-notch Young Professionals</t>
  </si>
  <si>
    <t>This study was supported by the National Science and Technology Major Project (2015ZX07203-005), the National Program for Support of Top-notch Young Professionals.</t>
  </si>
  <si>
    <t>1672-6316</t>
  </si>
  <si>
    <t>1993-0321</t>
  </si>
  <si>
    <t>J MT SCI-ENGL</t>
  </si>
  <si>
    <t>J Mt. Sci.</t>
  </si>
  <si>
    <t>10.1007/s11629-015-3813-2</t>
  </si>
  <si>
    <t>EA3KY</t>
  </si>
  <si>
    <t>WOS:000386502400012</t>
  </si>
  <si>
    <t>Gremmen, T; van Dijk, G; Postma, J; Colina, M; Domis, LND; Velthuis, M; van de Haterd, R; Kuipers, F; van Rossum, H; Smolders, AJP; Kosten, S</t>
  </si>
  <si>
    <t>Gremmen, Thomas; van Dijk, Gijs; Postma, Jaap; Colina, Maite; Domis, Lisette N. de Senerpont; Velthuis, Mandy; van de Haterd, Rob; Kuipers, Fred; van Rossum, Huibert; Smolders, Alfons J. P.; Kosten, Sarian</t>
  </si>
  <si>
    <t>Factors influencing submerged macrophyte presence in fresh and brackish eutrophic waters and their impact on carbon emissions</t>
  </si>
  <si>
    <t>AQUATIC BOTANY</t>
  </si>
  <si>
    <t>Drainage ditches; Methane; Carbon dioxide; Fish exclusion; Submerged macrophytes; Greenhouse gases; Salinity; Eutrophic</t>
  </si>
  <si>
    <t>MYRIOPHYLLUM-SPICATUM L; ELODEA-NUTTALLII; ORGANIC-MATTER; SHALLOW LAKES; REGIME SHIFTS; METHANE; SALINITY; SEDIMENT; MECHANISMS; CANADENSIS</t>
  </si>
  <si>
    <t>In agricultural landscapes of North-Western Europe, the majority of water bodies do not meet the targets set by the European Water Framework Directive due to a lack of submerged macrophytes and associated biodiversity. These eutrophic waters can also be a substantial source of methane (CH4) and carbon dioxide (CO2) to the at-mosphere. Here we present a two-year field experiment on the island of Goeree-Overflakkee (southwest Netherlands), conducted in six drainage ditches varying in salinity, where we monitored four permanent plots per ditch and varied the presence of both fish and macrophytes. We aimed to: 1) investigate factors limiting submerged macrophyte growth, focussing on exclusion of grazing pressure and bioturbation by fish; and 2) quantify the CO2 and CH4 emission under these conditions. Even in highly eutrophic, semi turbid ditches with fluctuating salinity levels and sulphide presence in the root zone, submerged macrophytes established success-fully after introduction when the influence of grazing and bioturbation by fish was excluded. In the exclosures, diffusive CH4 and CO2 emissions, but not ebullitive CH4 emissions were significantly reduced. The spontaneous development of submerged macrophytes in the exclosures without macrophyte introduction underlined the effect of grazing and bioturbation by fish and suggest that abiotic conditions did not hamper submerged macrophyte development. Our results provide important insights into the influential factors for submerged macrophyte development and potential for future management practices. Large-scale fish removal may stimulate submerged macrophyte growth and reduce methane emissions, albeit that the macrophyte diversity will likely stay low in our study region due to fluctuating salinity and eutrophic conditions.</t>
  </si>
  <si>
    <t>[Gremmen, Thomas; van Dijk, Gijs; Smolders, Alfons J. P.] B WARE Res Ctr, POB 6558, NL-6503 GB Nijmegen, Netherlands; [Gremmen, Thomas; van Dijk, Gijs; Colina, Maite; Velthuis, Mandy; Smolders, Alfons J. P.; Kosten, Sarian] Radboud Univ Nijmegen, Radboud Inst Biol &amp; Environm Sci, Dept Aquat Ecol &amp; Environm Biol, POB 9010, NL-6500 GL Nijmegen, Netherlands; [Postma, Jaap] Ecofide, Rauwenhoffweg, NL-58162 PK Epe, Netherlands; [Colina, Maite] Univ Republ, Ctr Univ Reg Este, Dept Ecol &amp; Gest Ambiental, Tacuarembo S-N, Maldonado 20000, Uruguay; [Domis, Lisette N. de Senerpont; Velthuis, Mandy] Netherlands Inst Ecol NIOO KNAW, Dept Aquat Ecol, POB 50, NL-6708 PB Wageningen, Netherlands; [Domis, Lisette N. de Senerpont] Univ Twente, Fac Elect Engn Math &amp; Comp Sci, Fac Off POB 217, NL-7500 AE Enschede, Netherlands; [Domis, Lisette N. de Senerpont] Univ Twente, Fac ITC, POB 217, NL-7500 AE Enschede, Netherlands; [van de Haterd, Rob] Waardenburg Ecol, Varkensmarkt 9, NL-4101 CK Culemborg, Netherlands; [Kuipers, Fred] Waterschap Hollandse Delta, POB 4103, NL-2980 GC Ridderkerk, Netherlands; [van Rossum, Huibert] Oeverloos Advies, Karel Doormanstr 31, NL-3262 PB Oud Beijerland, Netherlands</t>
  </si>
  <si>
    <t>Radboud University Nijmegen; Universidad de la Republica, Uruguay; Royal Netherlands Academy of Arts &amp; Sciences; Netherlands Institute of Ecology (NIOO-KNAW); University of Twente; University of Twente</t>
  </si>
  <si>
    <t>Gremmen, T (corresponding author), B WARE Res Ctr, POB 6558, NL-6503 GB Nijmegen, Netherlands.</t>
  </si>
  <si>
    <t>t.gremmen@b-ware.eu</t>
  </si>
  <si>
    <t>Velthuis, Mandy/J-2566-2013; Domis, Lisette N. de/C-2902-2008; Colina, Maite/AAI-1807-2020; De Senerpont Domis, Lisette Nicole/C-2902-2008; Kosten, Sarian/D-7550-2011; Smolders, Alfons/H-2583-2012</t>
  </si>
  <si>
    <t>Gremmen, Thomas/0000-0002-7521-4658; De Senerpont Domis, Lisette Nicole/0000-0001-7509-9541;</t>
  </si>
  <si>
    <t>Waterschap Hollandse Delta; NWO-VENI [NWO-VIDI 203.098]; [202.053]</t>
  </si>
  <si>
    <t>Waterschap Hollandse Delta; NWO-VENI(Netherlands Organization for Scientific Research (NWO));</t>
  </si>
  <si>
    <t>The authors thank all volunteers for supporting the practical work, and Sebastian Krosse of B -WARE Research Centre and the General Instrumentation of the Radboud University for help with the chemical analysis. Jeroen Graafland, Marco Dubbeldam, Daan van Pul, Renske Vroom, Anton Pranger, Sven Teurlincx, Bart Grutters and Miriam Schutter for help with fieldwork and data analysis. We thank the tech- nical and scientific staff of the NIOO-KNAW for designing and con- structing the exclosures. We would like to thank Waterschap Hollandse Delta for funding the present research and providing access to moni- toring data and field relevant information. We are grateful to all farmers and land owners adjacent to the experimental plots for allowing us to carry out the experiment. SK was partially financed by NWO-VIDI 203.098. The work of MV is funded by NWO-VENI 202.053.</t>
  </si>
  <si>
    <t>0304-3770</t>
  </si>
  <si>
    <t>1879-1522</t>
  </si>
  <si>
    <t>AQUAT BOT</t>
  </si>
  <si>
    <t>Aquat. Bot.</t>
  </si>
  <si>
    <t>10.1016/j.aquabot.2023.103645</t>
  </si>
  <si>
    <t>MAR 2023</t>
  </si>
  <si>
    <t>Plant Sciences; Marine &amp; Freshwater Biology</t>
  </si>
  <si>
    <t>D5GN8</t>
  </si>
  <si>
    <t>WOS:000969018100001</t>
  </si>
  <si>
    <t>Baudron, F; Misiko, M; Getnet, B; Nazare, R; Sariah, J; Kaumbutho, P</t>
  </si>
  <si>
    <t>Baudron, Frederic; Misiko, Michael; Getnet, Bisrat; Nazare, Raymond; Sariah, John; Kaumbutho, Pascal</t>
  </si>
  <si>
    <t>A farm-level assessment of labor and mechanization in Eastern and Southern Africa</t>
  </si>
  <si>
    <t>Agricultural intensification; Drudgery; Gender gap; Land consolidation</t>
  </si>
  <si>
    <t>CONSERVATION AGRICULTURE; CONSTRAINTS; TRACTORS</t>
  </si>
  <si>
    <t>Once again, agricultural mechanization is top on the policy, research, and development agendas in sub-Saharan Africa. However, whether labor is limiting in this regionand mechanization is in demandremains debated. The hypothesis of this study is that labor is a major limiting factor to the productivity of most farming systems in Africa. We used farm-level data (including detailed labor data) from eight sites dominated by smallholder agriculture and spanning four countries in Eastern and Southern Africa, and analyzed this unique dataset using multivariate methods (generalized linear models, boundary line analysis, and binary classification and regression trees). Labor and/or other sources of farm power (draught power or tractor power) were found to limit land productivity in all study sites. We also found that the overall contribution of female labor to farming was much lower than commonly statedbetween 7 and 35%and that the labor intensity experienced by women in agriculture was dependent to a large degree on men's tasks. Our results reveal a much higher demand for mechanization than previously found by macroeconomic analyses, and point to a problem of access rather than demand. Our results also add to recent evidence debunking the persistent myth that women provide the bulk of the farming labor, and demonstrate that reducing labor intensity experienced by women in farming depends to a large degree upon understanding labor intensity experienced by men, rather than poorly founded generalizations about how women are overworked. This is the first time farm-level data containing detailed labor assessment and spanning four countries are used to assess mechanization demand in Africa. This paper also plays a pioneering role in debunking a number of myths related to labor in African smallholder agriculture, with implications for the mechanization agenda of the region.</t>
  </si>
  <si>
    <t>[Baudron, Frederic] CIMMYT Int Maize &amp; Wheat Improvement Ctr, 12-5 Km Peg Mazowe Rd, Harare, Zimbabwe; [Misiko, Michael] CIMMYT, Nairobi, Kenya; [Getnet, Bisrat] Ethiopian Inst Agr Res, Addis Ababa, Ethiopia; [Nazare, Raymond] Univ Zimbabwe, Harare, Zimbabwe; [Sariah, John] Selian Agr Res Inst, Arusha, Tanzania; [Kaumbutho, Pascal] Kenya Network Disseminat Agr Technol, Nairobi, Kenya</t>
  </si>
  <si>
    <t>Ethiopian Institute of Agricultural Research (EIAR); University of Zimbabwe</t>
  </si>
  <si>
    <t>Baudron, F (corresponding author), CIMMYT Int Maize &amp; Wheat Improvement Ctr, 12-5 Km Peg Mazowe Rd, Harare, Zimbabwe.</t>
  </si>
  <si>
    <t>f.baudron@cgiar.org; m.misiko@cgiar.org; bisrat.get@gmail.com; rnazare2003@gmail.com; jsariah@yahoo.com; pascalgk@agrimechafrica.co.ke</t>
  </si>
  <si>
    <t>; AWOKE, BISRAT/KGK-7449-2024</t>
  </si>
  <si>
    <t>Awoke, Bisrat Getnet/0000-0002-2777-3041; Bauon, Frédéric/0000-0002-5648-2083;</t>
  </si>
  <si>
    <t>Australian Centre for International Agricultural Research (ACIAR) [FSC/2012/047]; CRP MAIZE; CRP WHEAT</t>
  </si>
  <si>
    <t>Australian Centre for International Agricultural Research (ACIAR); CRP MAIZE; CRP WHEAT</t>
  </si>
  <si>
    <t>This study was funded by the Australian Centre for International Agricultural Research (ACIAR) (grant number FSC/2012/047) with additional support from CRP MAIZE and CRP WHEAT.</t>
  </si>
  <si>
    <t>10.1007/s13593-019-0563-5</t>
  </si>
  <si>
    <t>HN9FN</t>
  </si>
  <si>
    <t>WOS:000460505300002</t>
  </si>
  <si>
    <t>Jha, P; Lakaria, BL; Biswas, AK; Saha, R; Mahapatra, P; Agrawal, BK; Sahi, DK; Wanjari, RH; Lal, R; Singh, M; Rao, AS</t>
  </si>
  <si>
    <t>Jha, Pramod; Lakaria, Brij Lal; Biswas, A. K.; Saha, R.; Mahapatra, P.; Agrawal, B. K.; Sahi, D. K.; Wanjari, R. H.; Lal, R.; Singh, Muneshwar; Rao, A. Subba</t>
  </si>
  <si>
    <t>Effects of carbon input on soil carbon stability and nitrogen dynamics</t>
  </si>
  <si>
    <t>Chemical fertilization; Integrated nutrient management; Carbon pools; Carbon stability; Nitrogen dynamics</t>
  </si>
  <si>
    <t>ORGANIC-MATTER; STABILIZATION MECHANISMS; IMPACT; FOREST; POOLS; SEQUESTRATION; RECALCITRANT; FERTILIZERS; ADDITIONS; TURNOVER</t>
  </si>
  <si>
    <t>Improved understanding of the process of carbon (C) stabilization is critical to managing emissions from agricultural soils and optimizing crop yield. We assessed soil organic C (SOC) stability and nitrogen (N) dynamics in a long-term fertilization experiment (started in 1972) conducted at three different locations in India (Jabalpur-Vertisol, Palampur-Alfisol and Ranchi-Alfisol). We measured soil organic C (SOC), C pools and stocks in the treatments of no fertilization as control, inorganic fertilization as NPK and integrated fertilization as NPK + farm yard manure (FYM). Quantification of different SOC pools was done by a procedure of acid hydrolysis followed by a long-term (247 days) incubation study. Based on crop yield and C storage, NPK + FYM was the best treatment for improving crop productivity and SOC sequestration. Integrated fertilization for 38 years increased SOC across sites. In the NPK treatment, additional C input (3-9 times higher) in the form of root biomass did not significantly change C pools. Application of FYM in addition to NPK enhanced the acid non-hydrolysable fraction of SOC across sites. Stability of SOC significantly influenced N dynamics in soil and the availability of N in soil is correlated with the amount of C in the acid-hydrolysable pool (R-2 = 0.64, p = 0.01) but not with SOC (R-2 = 0.12, p = 0.01). Long-term use of chemical fertilizers did not significantly affect soil total N content. (C) 2014 Elsevier B.V. All rights reserved.</t>
  </si>
  <si>
    <t>[Jha, Pramod; Lakaria, Brij Lal; Biswas, A. K.; Saha, R.; Wanjari, R. H.; Singh, Muneshwar; Rao, A. Subba] Indian Inst Soil Sci, Bhopal 462038, India; [Mahapatra, P.; Agrawal, B. K.; Sahi, D. K.] Birsa Agr Univ, Ranchi Agr Coll, Ranchi 834006, Bihar, India; [Lal, R.] Ohio State Univ, Sch Environm &amp; Nat Resources, Columbus, OH 43210 USA</t>
  </si>
  <si>
    <t>Indian Council of Agricultural Research (ICAR); ICAR - Indian Institute of Soil Sciences; Birsa Agricultural University; University System of Ohio; Ohio State University</t>
  </si>
  <si>
    <t>Jha, P (corresponding author), Ohio State Univ, C MASC, Columbus, OH 43210 USA.</t>
  </si>
  <si>
    <t>jha_iari@yahoo.com</t>
  </si>
  <si>
    <t>Lal, Rattan/D-2505-2013; Jha, Pramod/AAL-6777-2020; Rao, Srinivasa/R-1577-2016</t>
  </si>
  <si>
    <t>Jha, Pramod/0000-0002-0432-4745;</t>
  </si>
  <si>
    <t>10.1016/j.agee.2014.03.019</t>
  </si>
  <si>
    <t>AI4FN</t>
  </si>
  <si>
    <t>WOS:000336821200005</t>
  </si>
  <si>
    <t>Mu, L; Wu, WT; Huang, JL; Peng, H; Song, YJ; Tao, JY; Chen, GY</t>
  </si>
  <si>
    <t>Mu, Lan; Wu, Wanting; Huang, Jialiang; Peng, Hao; Song, Yingjin; Tao, Junyu; Chen, Guanyi</t>
  </si>
  <si>
    <t>Simultaneous synthesis of carbon quantum dots and hydrothermal biochar from corn straw through hydrothermal treatment</t>
  </si>
  <si>
    <t>Corn straw; Hydrothermal carbonization; Carbon quantum dots; Hydrothermal biochar</t>
  </si>
  <si>
    <t>FE3+ IONS; BIOMASS; CARBONIZATION</t>
  </si>
  <si>
    <t>In the realm of efficient agricultural production, the conversion of large volumes of agroforestry waste into sustainable, high-value materials is imperative to address pollution, curb carbon dioxide emissions, and alleviate the burden of costly waste disposal. This study endeavored to address these challenges by concurrently synthesizing carbon quantum dots fluorescent nanomaterials and hydrothermal biochar through hydrothermal carbonization (HTC), employing corn straw (CS) as the primary precursor material. The synthesized CS-based carbon quantum dots (CS-CDs) exhibited a typical graphite structure, with a uniform particle size distribution and a particle size average of 2.28 +/- 0.5 nm. Notably, CS-CDs displayed excitation-dependent photoluminescence (PL) behavior, remarkable water solubility, high fluorescence stability, and specific recognition capabilities for Fe3+ detection. The detection range of CS-CDs for Fe3+ spanned from 50 to 2000 mu M, with a limit of detection (LOD) of 5.32 mu M. Meanwhile, during the HTC process, the solid fraction yielded hydrothermal biochar (HC) at a rate of 57.60 %. HC was enriched with essential elements and held promise as an organic carbon fertilizer or premium-quality fuel, thereby realizing the multifaceted utilization potential of CS resources. This study offers valuable insights and innovative strategies for the high-value and multifunctional utilization of agroforestry resources, contributing to the promotion of sustainable agricultural practices.</t>
  </si>
  <si>
    <t>[Mu, Lan; Tao, Junyu; Chen, Guanyi] Tianjin Univ Commerce, Sch Mech Engn, Tianjin 300134, Peoples R China; [Wu, Wanting; Huang, Jialiang] Tianjin Univ Commerce, Sch Biotechnol &amp; Food Sci, Tianjin 300134, Peoples R China; [Peng, Hao; Song, Yingjin] Tianjin Univ, Sch Environm Sci &amp; Engn, Tianjin 300350, Peoples R China</t>
  </si>
  <si>
    <t>Tianjin University of Commerce; Tianjin University of Commerce; Tianjin University</t>
  </si>
  <si>
    <t>Tao, JY (corresponding author), Tianjin Univ Commerce, Sch Mech Engn, Tianjin 300134, Peoples R China.</t>
  </si>
  <si>
    <t>taojunyu@tjcu.edu.cn</t>
  </si>
  <si>
    <t>陶, 俊宇/AAO-1069-2021</t>
  </si>
  <si>
    <t>National Natural Science Foundation of China [52200169]</t>
  </si>
  <si>
    <t>This work was financially supported by the National Natural Science Foundation of China (52200169) .</t>
  </si>
  <si>
    <t>10.1016/j.indcrop.2024.119026</t>
  </si>
  <si>
    <t>XU3X3</t>
  </si>
  <si>
    <t>WOS:001264162400001</t>
  </si>
  <si>
    <t>Liu, TJ; Marlier, ME; Karambelas, A; Jain, M; Singh, S; Singh, MK; Gautam, R; DeFries, RS</t>
  </si>
  <si>
    <t>Liu, Tianjia; Marlier, Miriam E.; Karambelas, Alexandra; Jain, Meha; Singh, Sukhwinder; Singh, Manoj K.; Gautam, Ritesh; DeFries, Ruth S.</t>
  </si>
  <si>
    <t>Missing emissions from post-monsoon agricultural fires in northwestern India: regional limitations of MODIS burned area and active fire products</t>
  </si>
  <si>
    <t>ENVIRONMENTAL RESEARCH COMMUNICATIONS</t>
  </si>
  <si>
    <t>India; burned area; active fires; crop residue burning; MODIS; Landsat</t>
  </si>
  <si>
    <t>RESIDUE; HARYANA; IMPACT; PUNJAB; VIIRS; DISTRICTS; SYSTEM; WHEAT</t>
  </si>
  <si>
    <t>A rising source of outdoor emissions in northwestern India is crop residue burning, occurring after the monsoon (kharif) and winter (rabi) crop harvests. In particular, post-monsoon rice residue burning, which occurs annually from October to November and is linked to increasing mechanization, coincides with meteorological conditions that enhance short-term air quality degradation. Here we examine the Global Fire Emissions Database (GFED), whose bottom-up emissions are based on the 500-m burned area product, MCD64A1, derived from Moderate Resolution Imaging Spectroradiometer (MODIS) observations. Using a household survey from 2016, we find that MCD64A1 tends to underestimate burned area in many surveyed villages, leading to poor representation of small, scattered fires and consequent spatial biases in model results. To more accurately allocate such small fires and resolve sub-village heterogeneity, we use an experimental hybrid MODIS-Landsat method (ModL2T) to map burned area at 30-m spatial resolution, which results in 44 21% higher burned area than MCD64A1 and up to 105 52% increase in dry matter emissions over GFEDv4s. In our validation and assessments, we find that ModL2T performs better relative to MCD64A1 in terms of bias and omission error, but may introduce commission error due to conflation of burning with harvest and still underestimate burned area due to Landsat's coarse temporal resolution (every 16 days). We conclude that while MODIS and Landsat provide more than two decades worth of observations, their spatio-temporal resolution is too coarse to overcome several region-specific challenges: small median landholding size (1-3 ha), quick harvest-to-sowing turnover period, prevalence of partial burning, and increasing haziness. To further constrain agricultural fire emissions in northwestern India and improve model estimates of associated public health impacts, integration of finer resolution imagery, as well as better understanding of the spatial patterns in burn rates, burn practices, and fuel loading, is requisite.</t>
  </si>
  <si>
    <t>[Liu, Tianjia] Columbia Univ, Dept Earth &amp; Environm Sci, New York, NY 10027 USA; [Liu, Tianjia] Harvard Univ, Dept Earth &amp; Planetary Sci, 20 Oxford St, Cambridge, MA 02138 USA; [Marlier, Miriam E.; DeFries, Ruth S.] Columbia Univ, Dept Ecol Evolut &amp; Environm Biol, New York, NY 10027 USA; [Karambelas, Alexandra] Columbia Univ, Earth Inst, New York, NY USA; [Jain, Meha; Singh, Sukhwinder] Univ Michigan, Sch Environm &amp; Sustainabil, Ann Arbor, MI 48109 USA; [Singh, Manoj K.] Univ Petr &amp; Energy Studies, Sch Engn, Dehra Dun, Uttarakhand, India; [Gautam, Ritesh] Environm Def Fund, Washington, DC USA</t>
  </si>
  <si>
    <t>Columbia University; Harvard University; Columbia University; Columbia University; University of Michigan System; University of Michigan; University of Petroleum &amp; Energy Studies (UPES); Environmental Defense Fund</t>
  </si>
  <si>
    <t>Liu, TJ (corresponding author), Columbia Univ, Dept Earth &amp; Environm Sci, New York, NY 10027 USA.;Liu, TJ (corresponding author), Harvard Univ, Dept Earth &amp; Planetary Sci, 20 Oxford St, Cambridge, MA 02138 USA.</t>
  </si>
  <si>
    <t>tianjialiu@g.harvard.edu</t>
  </si>
  <si>
    <t>; Liu, Tianjia/AAF-7106-2020; DeFries, Ruth/AFJ-8022-2022; Singh, Manoj/AAP-3714-2020; Singh, Balwinder/R-9998-2019</t>
  </si>
  <si>
    <t>Liu, Tianjia/0000-0003-3129-0154; Marlier, Miriam/0000-0001-9333-8411; DeFries, Ruth/0000-0002-3332-4621; Jain, Meha/0000-0002-6821-473X</t>
  </si>
  <si>
    <t>Columbia University Department of Earth and Environmental Sciences Young Investigator Award; Earth Institute Research Assistantship program; National Science Foundation Graduate Research Fellowship [DGE1144152, DGE1745303]; NSF SEES Postdoctoral Fellowship [1415436]; Columbia University President's Global Innovation Fund; Divn Of Social and Economic Sciences; Direct For Social, Behav &amp; Economic Scie [1415436] Funding Source: National Science Foundation</t>
  </si>
  <si>
    <t>Columbia University Department of Earth and Environmental Sciences Young Investigator Award; Earth Institute Research Assistantship program; National Science Foundation Graduate Research Fellowship(National Science Foundation (NSF)); NSF SEES Postdoctoral Fellowship(National Science Foundation (NSF)NSF - Office of the Director (OD)); Columbia University President's Global Innovation Fund; Divn Of Social and Economic Sciences; Direct For Social, Behav &amp; Economic Scie(National Science Foundation (NSF)NSF - Directorate for Social, Behavioral &amp; Economic Sciences (SBE))</t>
  </si>
  <si>
    <t>We acknowledge the Columbia University Department of Earth and Environmental Sciences Young Investigator Award and Earth Institute Research Assistantship program for support for this work, as well as the Columbia University President's Global Innovation Fund. This work was also supported by a National Science Foundation Graduate Research Fellowship awarded to T L (Award Number DGE1144152 and DGE1745303). The household survey in 2016 was funded by a NSF SEES Postdoctoral Fellowship (Award Number 1415436) to MJWealso thank Dr Brent Holben, Dr Ramesh P Singh, and site managers for establishing and maintaining the AERONET Kanpur, India site and Dr Loretta Mickley for helpful comments regarding this manuscript. We acknowledge the Landsat and MODIS science teams for processing surface reflectance and fire datasets and making them available in the public domain through USGS EarthExplorer (https://earthexplorer.usgs.gov/) and NASA Earthdata (https://earthdata.nasa.gov/).</t>
  </si>
  <si>
    <t>2515-7620</t>
  </si>
  <si>
    <t>ENVIRON RES COMMUN</t>
  </si>
  <si>
    <t>Environ. Res. Commun.</t>
  </si>
  <si>
    <t>10.1088/2515-7620/ab056c</t>
  </si>
  <si>
    <t>NC7UU</t>
  </si>
  <si>
    <t>WOS:000561420900001</t>
  </si>
  <si>
    <t>Mirzaei, M; Shokrollahi, A; Yousefinejad, S; Ghaedi, M</t>
  </si>
  <si>
    <t>Mirzaei, Mehrdad; Shokrollahi, Ardeshir; Yousefinejad, Saeed; Ghaedi, Mehrorang</t>
  </si>
  <si>
    <t>Green photoluminescent carbon dots: sensitive and selective optical detection of aclonifen pesticide</t>
  </si>
  <si>
    <t>ENVIRONMENTAL SCIENCE-NANO</t>
  </si>
  <si>
    <t>QUANTUM DOTS; FLUORESCENT-PROBE; DESIGN; WATER; NANODOTS</t>
  </si>
  <si>
    <t>This research developed an innovative fluorescent sensor using green and aqua-soluble carbon dots (CDs) to detect the pesticide aclonifen (AFN) in agricultural samples. The sensor is based on the direct inner filter effect (d-IFE) mechanism, which confers high sensitivity and selectivity. Blue fluorescence N-Flavonoid-CDs were synthesized from green sources such as spinach and gelatin through a hydrothermal approach that exhibited emission at 430 nm when excited at 320 nm. The absorption spectra of AFN overlap with the fluorescence emission spectra of N-Flavonoid-CDs; therefore, a shield effect occurs by adding AFN to the N-Flavonoid-CDs, preventing excitation of the N-Flavonoid-CDs. This phenomenon causes fluorescence quenching, which increases with higher AFN concentrations. The characteristics of N-Flavonoid-CDs and the extent to which AFN diminished N-Flavonoid-CDs' fluorescence were fully explored. The proposed fluorescent sensor exhibits a highly sensitive detection capability for AFN, with an impressively low detection limit of 0.05 mu M and a linear response range spanning from 0.07 mu M to 6.67 mu M. Interferences, with similar structures to AFN and some other interference ions, were investigated, and the results confirmed the high selectivity, excellent accuracy, and recovery in detecting spikes in the suggested fluorescent sensor. This suggests that such fluorescent sensors can be effectively applied in food analysis and environmental detection.</t>
  </si>
  <si>
    <t>[Mirzaei, Mehrdad; Shokrollahi, Ardeshir; Ghaedi, Mehrorang] Univ Yasuj, Chem Dept, Yasuj 7591874831, Iran; [Yousefinejad, Saeed] Shiraz Univ Med Sci, Inst Hlth, Res Ctr Hlth Sci, Shiraz, Iran; [Yousefinejad, Saeed] Shiraz Univ Med Sci, Sch Hlth, Dept Occupat Hlth &amp; Safety Engn, Shiraz, Iran</t>
  </si>
  <si>
    <t>Yasouj University; Shiraz University of Medical Science; Shiraz University of Medical Science</t>
  </si>
  <si>
    <t>Shokrollahi, A (corresponding author), Univ Yasuj, Chem Dept, Yasuj 7591874831, Iran.;Yousefinejad, S (corresponding author), Shiraz Univ Med Sci, Inst Hlth, Res Ctr Hlth Sci, Shiraz, Iran.;Yousefinejad, S (corresponding author), Shiraz Univ Med Sci, Sch Hlth, Dept Occupat Hlth &amp; Safety Engn, Shiraz, Iran.</t>
  </si>
  <si>
    <t>ashokrollahi@yu.ac.ir; yousefisa@sums.ac.ir</t>
  </si>
  <si>
    <t>Yousefinejad, Saeed/L-1898-2016; ghaedi, Mehrorangm/AGM-4849-2022</t>
  </si>
  <si>
    <t>Yasouj University; Yasouj University; Central Lab of Yasouj University, Yasouj, Iran; Shiraz University of Medical Science, Shiraz, Iran</t>
  </si>
  <si>
    <t>Yasouj University(Yasouj University); Yasouj University(Yasouj University); Central Lab of Yasouj University, Yasouj, Iran; Shiraz University of Medical Science, Shiraz, Iran(Hamadan University of Medical Sciences)</t>
  </si>
  <si>
    <t>The authors gratefully acknowledge the financial support of Yasouj University and the Central Lab of Yasouj University, Yasouj, Iran, which conducted this research. They also gratefully acknowledge Dr. Rashedinia, Dr. Rezaei, Dr. Sadeghpour, and Ms. Saeidi at the Shiraz University of Medical Science, Shiraz, Iran.</t>
  </si>
  <si>
    <t>2051-8153</t>
  </si>
  <si>
    <t>2051-8161</t>
  </si>
  <si>
    <t>ENVIRON SCI-NANO</t>
  </si>
  <si>
    <t>Environ. Sci.-Nano</t>
  </si>
  <si>
    <t>NOV 6</t>
  </si>
  <si>
    <t>10.1039/d5en00594a</t>
  </si>
  <si>
    <t>Chemistry, Multidisciplinary; Environmental Sciences; Nanoscience &amp; Nanotechnology</t>
  </si>
  <si>
    <t>Chemistry; Environmental Sciences &amp; Ecology; Science &amp; Technology - Other Topics</t>
  </si>
  <si>
    <t>9KR1H</t>
  </si>
  <si>
    <t>WOS:001588861600001</t>
  </si>
  <si>
    <t>Lewandrowski, J; Kim, CS; Aillery, M</t>
  </si>
  <si>
    <t>Lewandrowski, Jan; Kim, C. S.; Aillery, Marcel</t>
  </si>
  <si>
    <t>Carbon sequestration through afforestation under uncertainty</t>
  </si>
  <si>
    <t>Afforestation; Carbon sequestration; Uncertainty; Fire risk; Pest risk; Dynamic optimal control</t>
  </si>
  <si>
    <t>WEIBULL FUNCTION; FIRE-PREVENTION; FOREST; MANAGEMENT; MODEL</t>
  </si>
  <si>
    <t>Economic studies have demonstrated that agricultural landowners could mitigate significant quantities of greenhouse gas (GHG) emissions through afforestation. The associated carbon, however, must remain stored in soils or biomass for several decades to achieve substantial mitigation benefits. Policies and programs to enhance carbon sequestration in forest systems must accommodate the possibility of premature carbon releases. We develop a dynamic nested optimal-control model of carbon sequestration through afforestation given uncertainties associated with fire and pest hazards. Our framework highlights a number of factors that affect landowner decisions to invest in fire or pest prevention measures. For fire, we show the net influence of these factors is to encourage investment in prevention measures when the probability of fire occurring is less than the ratio of expected net economic benefits to expected gross economic benefits of adopting fire prevention measures. For pests, we show that landowners will invest in prevention measures when the probability of fire is less than the ratio of the difference between net benefits before and after the discovery of tree pests to the difference between gross economic benefits before and after the discovery of pests. For both risks, landowners will over-invest in prevention if the other risk is ignored. Published by Elsevier B.V.</t>
  </si>
  <si>
    <t>[Lewandrowski, Jan] USDA, Climate Change Program Off, Washington, DC 20250 USA; [Kim, C. S.; Aillery, Marcel] USDA, Econ Res Serv, Washington, DC 20024 USA</t>
  </si>
  <si>
    <t>Lewandrowski, J (corresponding author), USDA, Climate Change Program Off, 1400 Independence Ave SW, Washington, DC 20250 USA.</t>
  </si>
  <si>
    <t>jlewandrowski@OCE.usda.gov; CKIM@ers.usda.gov; maillery@ers.usda.gov</t>
  </si>
  <si>
    <t>10.1016/j.forpol.2013.06.014</t>
  </si>
  <si>
    <t>AA0WZ</t>
  </si>
  <si>
    <t>WOS:000330819400012</t>
  </si>
  <si>
    <t>Núñez, HEH; Andrade, HJ; Salazar, JCS; Sánchez, JR; Gutiérrez, DR; García, GA; Trujillo, ET; Casanoves, F</t>
  </si>
  <si>
    <t>Hernandez Nunez, Hector Eduardo; Andrade, Hernan J.; Suarez Salazar, Juan Carlos; Sanchez A, Jose R.; Gutierrez S, David R.; Gutierrez Garcia, Gustavo Adolfo; Trujillo Trujillo, Edwin; Casanoves, Fernando</t>
  </si>
  <si>
    <t>Carbon storage in agroforestry systems in Colombia's Eastern Plains</t>
  </si>
  <si>
    <t>REVISTA DE BIOLOGIA TROPICAL</t>
  </si>
  <si>
    <t>Spanish</t>
  </si>
  <si>
    <t>forests; climate change; greenhouse effect; agriculture; livestock; mitigation</t>
  </si>
  <si>
    <t>SILVOPASTORAL SYSTEMS; CLIMATE-CHANGE; SOIL CARBON; STOCKS; FORESTS; BIOMASS; TOLIMA; SEQUESTRATION; ADAPTATION; LANDSCAPES</t>
  </si>
  <si>
    <t>Introduction: Coffee, cocoa crops and pastures for livestock are agricultural activities of economic interest in Colombia. When these activities are developed under agroforestry systems (AFS), they promote conservation and increase carbon fixation and, therefore, climate change mitigation. Objective: The study estimated carbon storage in aboveground biomass, necromass and soil organic carbon under SAF with cocoa (SAF cocoa), SAF with coffee (SAF coffee), silvopastoral systems (SPS) and forest in Mesetas, Meta (Colombia). Methods: Forty-four sampling plots were established, where dasometric measurements were taken from individuals with a trunk diameter at breast height (dbh) = 2.5 cm (saplings, trees and large trees), whose values were transformed to carbon with biomass models and a default carbon fraction. In the three agricultural systems, the number of cocoa and coffee trees and associated plants was counted, and the type of use (timber, food, combustion) was identified. Results: Carbon storage showed significant differences (P &lt; 0.0001) among land uses. The highest accumulation was found in forest, with 216.6 t C ha(-1), exceeding in 59, 72 and 73 % to SAF cocoa, SSP and SAF coffee, respectively. The botanical families Fabaceae, Lauraceae and Primulaceae presented the greatest carbon storage. In SAF cocoa, the greatest accumulation of carbon was found in species for human food; in SAF coffee and SSP, the greatest storage was presented by timber species. Conclusion: These results highlight the potential for carbon storage in the most important productive systems in the Meta department, which is important for designing strategies that allow for integrating actions to mitigate greenhouse gas emissions and to promote the local peasant economy.</t>
  </si>
  <si>
    <t>[Hernandez Nunez, Hector Eduardo; Suarez Salazar, Juan Carlos; Sanchez A, Jose R.; Gutierrez S, David R.; Gutierrez Garcia, Gustavo Adolfo; Trujillo Trujillo, Edwin] Univ Amazonia, Grp Invest Agroecosistemas &amp; Conservac Bosques Am, Caqueta, Colombia; [Hernandez Nunez, Hector Eduardo] Univ Tolima, Fac Agron, Ciencias Agr, Ibague, Colombia; [Andrade, Hernan J.] Univ Tolima, Fac Ingn Agron, Grp Invest Prod Ecoamigable Cult Trop, Tolima, Colombia; [Casanoves, Fernando] Ctr Agron Trop Invest &amp; Ensenanza, Turrialba 30501, Costa Rica</t>
  </si>
  <si>
    <t>Universidad del Tolima; Universidad del Tolima; CATIE - Centro Agronomico Tropical de Investigacion y Ensenanza</t>
  </si>
  <si>
    <t>Núñez, HEH (corresponding author), Univ Amazonia, Grp Invest Agroecosistemas &amp; Conservac Bosques Am, Caqueta, Colombia.;Núñez, HEH (corresponding author), Univ Tolima, Fac Agron, Ciencias Agr, Ibague, Colombia.</t>
  </si>
  <si>
    <t>heduardohn@gmail.com; hjandrade@ut.edu.co; juansuarez1@gmail.com; jr.sanchez@udla.edu.co; da.gutierrez@udla.edu.co; g.gutierrez@udla.edu.co; botanico_ua@yahoo.com; casanoves@catie.ac.cr</t>
  </si>
  <si>
    <t>suárez salazar, juan carlos/GXH-2202-2022; Casanoves, Fernando/I-3588-2016; Trujillo Trujillo, Edwin/M-1043-2017; Trujillo, Edwin/M-1043-2017</t>
  </si>
  <si>
    <t>Casanoves, Fernando/0000-0001-8765-9382; Trujillo Trujillo, Edwin/0000-0002-5601-540X; Hernández Núñez, Héctor Eduardo/0000-0003-1408-456X; Gutiérrez García, Gustavo Adolfo/0000-0001-7545-9308; GUTIERREZ SUAREZ, DAVID RICARDO/0000-0003-2399-0097; Suárez Salazar, Juan Carlos/0000-0001-5928-1837</t>
  </si>
  <si>
    <t>SAN JOSE</t>
  </si>
  <si>
    <t>UNIVERSIDAD DE COSTA RICA CIUDAD UNIVERSITARIA, SAN JOSE, 00000, COSTA RICA</t>
  </si>
  <si>
    <t>2215-2075</t>
  </si>
  <si>
    <t>REV BIOL TROP</t>
  </si>
  <si>
    <t>Rev. Biol. Trop.</t>
  </si>
  <si>
    <t>PQ9AU</t>
  </si>
  <si>
    <t>WOS:000606834900027</t>
  </si>
  <si>
    <t>Santana, DB; Rios, GD; Lense, GHE; Rubira, FG; Franceschi, FRA; Spalevic, V; Ayer, JEB; Mincato, RL</t>
  </si>
  <si>
    <t>Santana, Derielsen Brandao; da Silva Rios, Guilherme; Lense, Guilherme Henrique Expedito; Rubira, Felipe Gomes; Franceschi, Flavio Roberto Araujo; Spalevic, Velibor; Ayer, Joaquim Ernesto Bernardes; Mincato, Ronaldo Luiz</t>
  </si>
  <si>
    <t>Soil and organic carbon losses by water erosion in coffee production areas in southern Minas Gerais, Brazil</t>
  </si>
  <si>
    <t>TURKISH JOURNAL OF AGRICULTURE AND FORESTRY</t>
  </si>
  <si>
    <t>RUSLE; land use; soil organic matter; agricultural systems</t>
  </si>
  <si>
    <t>LAND-USE; CLIMATE; MODELS; BUDGET; USLE; AGRICULTURE; PLANTATION; SYSTEM; MATTER; RUSLE</t>
  </si>
  <si>
    <t>Organic carbon performs essential functions in soils, which act as sources or sinks of atmospheric organic carbon. Agricultural management affects the carbon cycle in the soil, with effects on climate change. One of the crops most vulnerable to climate change is coffee. Brazil is the world's largest coffee producer, with a predominance of management under a conventional system, with sloping terrain and the absence of conservationist practices. The absence of conservationist practices increases in soil loss rates due to water management and carbon emissions, as well as a reduction in coffee production. This paper intended to estimate soil and organic carbon losses by RUSLE in coffee farms in southern Minas Gerais, south-eastern Brazil. Data were obtained from fieldwork, laboratory analysis, and cartographic products. The results indicated, exclusively for coffee crops, soil and carbon losses between 7 and 32 Mg ha(-1) year(-1) ha year and 87 and 460kg ha(-1) year(-1), respectively. However, the highest soil losses occurred on sloping terrains with eucalyptus plantations kg h (-1) - located downhill, and the lowest losses occurred on flat land with native forests. Organic carbon losses were linked directly to soil A R x K LS C x P losses, as a result from the land practices, slope and agricultural management adopted. These results can be used for the planning A = R x K x LS x and priority definition of areas needing conservationist practices, such as green manuring, planting in contour and maintaining of Mg ha year Mg ha-1 year vegetation between coffee rows, which are already used in some sites of the study area.</t>
  </si>
  <si>
    <t>[Santana, Derielsen Brandao; da Silva Rios, Guilherme; Lense, Guilherme Henrique Expedito] Univ Fed Alfenas, Grad Program Environm Sci, Alfenas, MG, Brazil; [Rubira, Felipe Gomes; Mincato, Ronaldo Luiz] Univ Fed Alfenas, Inst Nat Sci, Alfenas, Brazil; [Franceschi, Flavio Roberto Araujo] Ipanema Coffees, Alfenas, Brazil; [Spalevic, Velibor] Univ Montenegro, Fac Philosophy, Dept Geog, Niksic, Montenegro; [Ayer, Joaquim Ernesto Bernardes] Univ Ctr Paulinia, Dept Chem, Paulinia, Brazil</t>
  </si>
  <si>
    <t>Universidade Federal de Alfenas; Universidade Federal de Alfenas; University of Montenegro</t>
  </si>
  <si>
    <t>Mincato, RL (corresponding author), Univ Fed Alfenas, Inst Nat Sci, Alfenas, Brazil.</t>
  </si>
  <si>
    <t>ronaldo.mincato@unifal-mg.edu.br</t>
  </si>
  <si>
    <t>Mincato, Ronaldo/H-9396-2016; Ayer, Joaquim Ernesto/HTR-5052-2023; Rubira, Felipe/M-5979-2015; Lense, Guilherme Henrique Expedito/HTP-5609-2023; Spalevic, Velibor/AAS-9304-2020</t>
  </si>
  <si>
    <t>Spalevic, Velibor/0000-0002-7800-2909</t>
  </si>
  <si>
    <t>Ipanema Coffees</t>
  </si>
  <si>
    <t>Ipanema Coffees provided the financial funds for carrying out this research.</t>
  </si>
  <si>
    <t>Tubitak Scientific &amp; Technological Research Council Turkey</t>
  </si>
  <si>
    <t>ANKARA</t>
  </si>
  <si>
    <t>ATATURK BULVARI NO 221, KAVAKLIDERE, TR-06100 ANKARA, TURKIYE</t>
  </si>
  <si>
    <t>1300-011X</t>
  </si>
  <si>
    <t>1303-6173</t>
  </si>
  <si>
    <t>TURK J AGRIC FOR</t>
  </si>
  <si>
    <t>Turk. J. Agric. For.</t>
  </si>
  <si>
    <t>10.55730/1300-011X.3184</t>
  </si>
  <si>
    <t>Agriculture, Multidisciplinary; Agronomy; Forestry</t>
  </si>
  <si>
    <t>US2S2</t>
  </si>
  <si>
    <t>WOS:001249988000001</t>
  </si>
  <si>
    <t>Wang, J; Zhao, T; Xu, XS; Zhang, XH</t>
  </si>
  <si>
    <t>Wang, Juan; Zhao, Tao; Xu, Xianshuo; Zhang, Xiaohu</t>
  </si>
  <si>
    <t>Exploring the changes of energy-related carbon intensity in China: an extended Divisia index decomposition</t>
  </si>
  <si>
    <t>NATURAL HAZARDS</t>
  </si>
  <si>
    <t>China; Carbon intensity; Decomposition analysis; Attribution analysis</t>
  </si>
  <si>
    <t>EMISSION REDUCTION; STRUCTURAL-CHANGE; ATTRIBUTION; EFFICIENCY; COUNTRIES; CONSUMPTION; INDUSTRY; TIANJIN</t>
  </si>
  <si>
    <t>To gain a better understanding of the changes in carbon intensity of China, this study firstly adopted logarithmic mean Divisia index decomposition analysis to decompose the carbon intensity into three driving factors, including emission coefficient effect, energy intensity effect and industrial structure effect. Then, the analysis was furtherly conducted to study the contributions of four economic sectors to the percent change in carbon intensity through each influencing factor by attribution analysis. The results illustrated that the carbon intensity dropped by 46.21 % from 1996 to 2012 mainly caused by the decrease in energy intensity, of which the industrial sector, transportation sector and commercial &amp; service sector were the dominant contributors. The emission coefficient effect and industrial structure effect were equally important in terms of increasing carbon intensity, which principally due to the industrial sector and commercial &amp; service sector. In addition, the energy efficiency of agricultural sector should be furtherly improved, and it is imperative to optimize the energy mix and industrial structure of the industrial sector and commercial &amp; service sector. Therefore, more differentiated policies are urgently required to be implemented in different economic sectors to mitigate the China's carbon intensity.</t>
  </si>
  <si>
    <t>[Wang, Juan; Zhao, Tao; Xu, Xianshuo] Tianjin Univ, Coll Management &amp; Econ, Tianjin 300072, Peoples R China; [Zhang, Xiaohu] Nanjing Univ Aeronaut &amp; Astronaut, Coll Civil Aviat, Nanjing 210016, Jiangsu, Peoples R China</t>
  </si>
  <si>
    <t>Tianjin University; Nanjing University of Aeronautics &amp; Astronautics</t>
  </si>
  <si>
    <t>Wang, J (corresponding author), Tianjin Univ, Coll Management &amp; Econ, Tianjin 300072, Peoples R China.</t>
  </si>
  <si>
    <t>wangjuan_tju@163.com</t>
  </si>
  <si>
    <t>Zhao, Tao/0009-0001-9164-8835</t>
  </si>
  <si>
    <t>Ministry of Education of Humanities and Social Science Research Fund Plan [15YJA790091]; Ministry of Education of Philosophy and Social Major Science Project [15JZD021]; National Natural Science Foundation of China [71373172]</t>
  </si>
  <si>
    <t>Ministry of Education of Humanities and Social Science Research Fund Plan; Ministry of Education of Philosophy and Social Major Science Project; National Natural Science Foundation of China(National Natural Science Foundation of China (NSFC))</t>
  </si>
  <si>
    <t>The authors gratefully acknowledge the anonymous reviewers for their valuable suggestions and comments on the earlier draft of our paper. This research is supported by the Ministry of Education of Humanities and Social Science Research Fund Plan (15YJA790091), the Ministry of Education of Philosophy and Social Major Science Project (15JZD021) and the National Natural Science Foundation of China (71373172).</t>
  </si>
  <si>
    <t>0921-030X</t>
  </si>
  <si>
    <t>1573-0840</t>
  </si>
  <si>
    <t>NAT HAZARDS</t>
  </si>
  <si>
    <t>Nat. Hazards</t>
  </si>
  <si>
    <t>10.1007/s11069-016-2326-9</t>
  </si>
  <si>
    <t>Geosciences, Multidisciplinary; Meteorology &amp; Atmospheric Sciences; Water Resources</t>
  </si>
  <si>
    <t>Geology; Meteorology &amp; Atmospheric Sciences; Water Resources</t>
  </si>
  <si>
    <t>DQ8ZU</t>
  </si>
  <si>
    <t>WOS:000379501000025</t>
  </si>
  <si>
    <t>Bai, X; Fernandez, IJ</t>
  </si>
  <si>
    <t>Bai, Xue; Fernandez, Ivan J.</t>
  </si>
  <si>
    <t>Comparing publicly available databases to evaluate soil organic carbon in Maine, USA</t>
  </si>
  <si>
    <t>CHEMICAL-COMPOSITION; NITROGEN STOCKS; DRAINAGE CLASS; FOREST SOILS; CLIMATE; MATTER; DEEP; DYNAMICS; STORAGE; LAND</t>
  </si>
  <si>
    <t>Elevated greenhouse gas (GHG) emissions have resulted in growing societal interest in natural climate solutions that include enhancing soil organic carbon (SOC). This study evaluated SOC from three USDA soil databases for Maine, a state that is nearly 90% forested. These databases were: (1) Forest Inventory and Analysis (FIA), (2) NRCS Soil Survey Geographic (SSURGO), and (3) Rapid Carbon Assessment (RaCA). We compared estimates of SOC density and concentration among databases and analyzed relationships between key soil properties and SOC densities and concentrations. Estimates of SOC density to a 20 cm depth which allows comparison among all three databases were 77 +/- 1.2 Mg ha(-1), 95 +/- 0.3 Mg ha(-1), and 39 +/- 2.2 Mg ha(-1) for SSURGO, RaCA, and FIA, respectively. Significant differences existed among databases in SOC density at shallow depth increments, and marked differences existed among databases in the soil depths measured. Analysis of the influence of soil texture and drainage class on SOC highlighted the importance of silt and clay in SOC retention. A hypothetical increase in forest and agricultural SOC was compared to reported Maine GHG emissions to illustrate potential policy implications in the use of soil databases. We conclude that all three databases are valuable but not interchangeable. The database should be carefully chosen to match the objectives of the user.</t>
  </si>
  <si>
    <t>[Bai, Xue; Fernandez, Ivan J.] Univ Maine, Sch Forest Resources, Orono, ME 04469 USA; [Fernandez, Ivan J.] Univ Maine, Climate Change Inst, Orono, ME 04469 USA</t>
  </si>
  <si>
    <t>University of Maine System; University of Maine Orono; University of Maine System; University of Maine Orono</t>
  </si>
  <si>
    <t>Bai, X (corresponding author), Univ Maine, Sch Forest Resources, Orono, ME 04469 USA.</t>
  </si>
  <si>
    <t>xue.bai@maine.edu</t>
  </si>
  <si>
    <t>Fernandez, Ivan/0000-0002-7220-2205; Bai, Xue/0000-0002-3827-1557</t>
  </si>
  <si>
    <t>USDANational Institute of Food and Agriculture, McIntire-Stennis Project through Maine Agricultural &amp; Forest Experiment Station [ME0-42007]</t>
  </si>
  <si>
    <t>USDANational Institute of Food and Agriculture, McIntire-Stennis Project through Maine Agricultural &amp; Forest Experiment Station</t>
  </si>
  <si>
    <t>We appreciate reviewers for their valuable comments and contributions to improve thismanuscript. We thank Maine Natural Resource Conservation Service staff for their assistance in the development of this project, particularly Lindsay Hodgman, Nicholas Butler, and Tony Jenkins. We also thank Jay Raymond and Cheryl Spencer for their constructive comments in the development of manuscript. This projectwas supported by the USDANational Institute of Food and Agriculture, McIntire-Stennis Project Number ME0-42007 through the Maine Agricultural &amp; Forest Experiment Station. Maine Agricultural and Forest Experiment Station Publication Number 3761.</t>
  </si>
  <si>
    <t>10.1002/saj2.20123</t>
  </si>
  <si>
    <t>OU9HY</t>
  </si>
  <si>
    <t>WOS:000591835400027</t>
  </si>
  <si>
    <t>Vijayanathan, J; Ishak, MF; Parlan, I; Omar, H; Haruna, AO; Lion, M; Hassan, MG; Jong, RM; Abu Samah, AK</t>
  </si>
  <si>
    <t>Vijayanathan, Jeyanny; Ishak, Mohammad Fakhri; Parlan, Ismail; Omar, Hamdan; Haruna, Ahmed Osumanu; Lion, Marryanna; Hassan, Mohd Ghazali; Jong, Regina Mariah; Abu Samah, Abdul Khalim</t>
  </si>
  <si>
    <t>Temporal patterns control carbon balance in forest and agricultural tropical peatlands in North Selangor, Malaysia</t>
  </si>
  <si>
    <t>IFOREST-BIOGEOSCIENCES AND FORESTRY</t>
  </si>
  <si>
    <t>Peat Characteristics; Carbon Storage; Carbon Dioxide Fluxes; Cash Crop Cultivation; Seasonal Variations</t>
  </si>
  <si>
    <t>OIL PALM; CO2 FLUX; EMISSIONS; FUTURE; STOCKS; SOILS; PEAT</t>
  </si>
  <si>
    <t>( )Tropical peat swamp forests can sequester significant amount of carbon (C). However, there is dearth of understanding on the tropical soils' C stocks and emissions because of the changes in peatland use, land use policies, and micro-climate. The objective of this study was to determine the C stocks and fluxes of two peat swamp forests and a peatland under mixed cropping in Selangor, Malaysia. Standard procedures were used to determine aboveground biomass, belowground biomass, selected peat soil physical, chemical, and biological properties, and environmental variables that are related to peat soil respirations. The mean C stocks for the peat swamp forest and mixed cropping sites were 1788.79 Mg C ha(-1) and 1023.57 Mg C ha(-1), respectively. The carbon dioxide emission rates of peat swamp forest and mixed cropping sites ranged from 7.20 to 73.13 tCO(2) ha(-1) year(-1) and 26.50 to 43.43 tCO(2) ha(-1) year(-1), respectively. These emissions are related to seasonal changes because the relative humidity, soil temperature, and ground water of the experimental sites had significant effects on soil respiration. Unlike the mixed cropping sites, the fluxes of the peat swamp forest were significantly higher in the dry season compared with the wet season. These findings suggest that peat soil respiration is controlled by relative humidity, temperature, and the changes in ground water table. Continued monitoring and conservation efforts to preserve stored C in peatlands are essential.</t>
  </si>
  <si>
    <t>[Vijayanathan, Jeyanny; Ishak, Mohammad Fakhri; Parlan, Ismail; Omar, Hamdan; Lion, Marryanna; Hassan, Mohd Ghazali] Forest Res Inst Malaysia FRIM, Kepong 52109, Selangor Darul, Malaysia; [Haruna, Ahmed Osumanu] UPM Bintulu, Fac Agr &amp; Forestry, POB 396, Sarawak 97008, Malaysia; [Haruna, Ahmed Osumanu] UPM Bintulu, Inst Ekosains Borneo, POB 396, Sarawak 97008, Malaysia; [Jong, Regina Mariah; Abu Samah, Abdul Khalim] Dept Peninsular Malaysia, Jalan Sultan Salahuddin, Kuala Lumpur 50660, Malaysia</t>
  </si>
  <si>
    <t>Institute Penyelidikan Perhutanan Malaysia</t>
  </si>
  <si>
    <t>Vijayanathan, J (corresponding author), Forest Res Inst Malaysia FRIM, Kepong 52109, Selangor Darul, Malaysia.</t>
  </si>
  <si>
    <t>jeyanny@frim.gov.my</t>
  </si>
  <si>
    <t>Parlan, Parlan/CAJ-4030-2022; Ahmed, Osumanu/ABH-1031-2021</t>
  </si>
  <si>
    <t>Parlan, Parlan/0000-0002-8857-074X</t>
  </si>
  <si>
    <t>Forestry Depart-ment of Selangor</t>
  </si>
  <si>
    <t>We are indebted to the Forestry Depart-ment of Selangor for providing the research funds and other assistance related to this research. We are also grateful to the personnel of the Global Environment Facility (GEF) for providing basic information on the experimental sites. The staff of Forest Research Institute of Malaysia (FRIM) are acknowledged for the field and laboratory assistance rendered.</t>
  </si>
  <si>
    <t>SISEF-SOC ITALIANA SELVICOLTURA ECOL FORESTALE</t>
  </si>
  <si>
    <t>POTENZA</t>
  </si>
  <si>
    <t>DEPT PROD VEGETALE, VIA ATENEO LUCANO 10, POTENZA, 85100, ITALY</t>
  </si>
  <si>
    <t>1971-7458</t>
  </si>
  <si>
    <t>IFOREST</t>
  </si>
  <si>
    <t>iForest</t>
  </si>
  <si>
    <t>10.3832/ifor3700-014</t>
  </si>
  <si>
    <t>UB8ZR</t>
  </si>
  <si>
    <t>WOS:000686127800009</t>
  </si>
  <si>
    <t>Liu, XY; Kwon, H; Northrup, D; Wang, MC</t>
  </si>
  <si>
    <t>Liu, Xinyu; Kwon, Hoyoung; Northrup, Daniel; Wang, Michael</t>
  </si>
  <si>
    <t>Shifting agricultural practices to produce sustainable, low carbon intensity feedstocks for biofuel production</t>
  </si>
  <si>
    <t>corn production; soil organic carbon; biofuel; regionalized life cycle analysis; cradle-to-farm-gate GHG emissions</t>
  </si>
  <si>
    <t>LIFE-CYCLE ASSESSMENT; GREENHOUSE-GAS EMISSIONS; ECOSYSTEM SERVICES; CROP-ROTATION; CORN; SOIL; TILLAGE</t>
  </si>
  <si>
    <t>The carbon intensity (CI) of biofuel's well-to-pump life cycle is calculated by life cycle analysis (LCA) to account for the energy/material inputs of the feedstock production and fuel conversion stages and the associated greenhouse gas (GHG) emissions during these stages. The LCA is used by the California Air Resources Board's Low Carbon Fuel Standard (LCFS) program to calculate CI and monetary credits are issued based on the difference between a given fuel's CI and a reference fuel's CI. Through the Tier 2 certification program under which individual fuel production facilities can submit their own CIs with their facility input data, the LCFS has driven innovative technologies to biofuel conversion facilities, resulting in substantial reductions in GHG emissions as compared to the baseline gasoline or diesel. A similar approach can be taken to allow feedstock petition in the LCFS so that lower-CI feedstock can be rewarded. Here we examined the potential for various agronomic practices to improve the GHG profiles of corn ethanol by performing feedstock-level CI analysis for the Midwestern United States. Our system boundary covers GHG emissions from the cradle-to-farm-gate activities (i.e. farm input manufacturing and feedstock production), along with the potential impacts of soil organic carbon change during feedstock production. We conducted scenario-based CI analysis of ethanol, coupled with regionalized inventory data, for various farming practices to manage corn fields, and identified key parameters affecting cradle-to-farm-gate GHG emissions. The results demonstrate large spatial variations in CI of ethanol due to farm input use and land management practices. In particular, adopting conservation tillage, reducing nitrogen fertilizer use, and implementing cover crops has the potential to reduce GHG emissions per unit corn produced when compared to a baseline scenario of corn-soybean rotation. This work shows a large potential emission offset opportunity by allowing feedstock producers a path to Tier 2 petitions that reward low-CI feedstocks and further reduce biofuels' CI. The prevalence of significant acreage that has not been optimized for CI suggests that policy changes that incentivize optimization of this parameter could provide significant additionality over current trends in farm efficiency and adoption of conservation practice.</t>
  </si>
  <si>
    <t>[Liu, Xinyu; Kwon, Hoyoung; Wang, Michael] Argonne Natl Lab, Syst Assessment Ctr, Div Energy Syst, Lemont, IL 60439 USA; [Northrup, Daniel] Booz Allen Hamilton Supporting Dept Energy, Adv Res Projects Agcy Energy, St Louis, MO USA; [Northrup, Daniel] Benson Hill, St Louis, MO USA</t>
  </si>
  <si>
    <t>United States Department of Energy (DOE); Argonne National Laboratory; Booz Allen Hamilton Holding Corporation</t>
  </si>
  <si>
    <t>Liu, XY (corresponding author), Argonne Natl Lab, Syst Assessment Ctr, Div Energy Syst, Lemont, IL 60439 USA.</t>
  </si>
  <si>
    <t>xinyu.liu@anl.gov</t>
  </si>
  <si>
    <t>Liu, Xinyu/AAA-7982-2020</t>
  </si>
  <si>
    <t>Kwon, Hoyoung/0000-0002-3421-9292; Liu, Xinyu/0000-0003-4683-0272</t>
  </si>
  <si>
    <t>US Department of Energy Advanced Research Projects Agency-Energy [18/CJ000/01/01]</t>
  </si>
  <si>
    <t>US Department of Energy Advanced Research Projects Agency-Energy(United States Department of Energy (DOE))</t>
  </si>
  <si>
    <t>This research was supported by the US Department of Energy Advanced Research Projects Agency-Energy under Contract No. 18/CJ000/01/01. The views and opinions of the authors expressed herein do not necessarily state or reflect those of the United States Government or any agency thereof.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t>
  </si>
  <si>
    <t>10.1088/1748-9326/ab794e</t>
  </si>
  <si>
    <t>MR3QG</t>
  </si>
  <si>
    <t>WOS:000553504400001</t>
  </si>
  <si>
    <t>Vijayanathan, J; Ishak, MF; Parlan, I; Omar, H; Haruna, AO; Lion, M; Hassan, MG; Jong, RM; Samah, AKA</t>
  </si>
  <si>
    <t>Vijayanathan, Jeyanny; Ishak, Mohammad Fakhri; Parlan, Ismail; Omar, Hamdan; Haruna, Ahmed Osumanu; Lion, Marryanna; Hassan, Mohd Ghazali; Jong, Regina Mariah; Samah, Abdul Khalim Abu</t>
  </si>
  <si>
    <t>Tropical peat swamp forests can sequester significant amount of carbon (C). However, there is dearth of understanding on the tropical soils' C stocks and emissions because of the changes in peatland use, land use policies, and micro-climate. The objective of this study was to determine the C stocks and fluxes of two peat swamp forests and a peatland under mixed cropping in Selangor, Malaysia. Standard procedures were used to determine aboveground biomass, belowground biomass, selected peat soil physical, chemical, and biological properties, and environmental variables that are related to peat soil respirations. The mean C stocks for the peat swamp forest and mixed cropping sites were 1788.79 Mg C ha(-1) and 1023.57 Mg C ha(-1), respectively. The carbon dioxide emission rates of peat swamp forest and mixed cropping sites ranged from 7.20 to 73.13 tCO(2) ha(-1) year(-1) and 26.50 to 43.43 tCO(2) ha(-1) year(-1), respectively. These emissions are related to seasonal changes because the relative humidity, soil temperature, and ground water of the experimental sites had significant effects on soil respiration. Unlike the mixed cropping sites, the fluxes of the peat swamp forest were significantly higher in the dry season compared with the wet season. These findings suggest that peat soil respiration is controlled by relative humidity, temperature, and the changes in ground water table. Continued monitoring and conservation efforts to preserve stored C in peatlands are essential.</t>
  </si>
  <si>
    <t>[Vijayanathan, Jeyanny; Ishak, Mohammad Fakhri; Parlan, Ismail; Omar, Hamdan; Lion, Marryanna; Hassan, Mohd Ghazali] Forest Res Inst Malaysia FRIM, Kepong 52109, Selangor Darul, Malaysia; [Haruna, Ahmed Osumanu] UPM Bintulu, Fac Agr &amp; Forestry, POB 396,Jalan Nyabau, Sarawak 97008, Malaysia; [Haruna, Ahmed Osumanu] UPM Bintulu, Inst Ekosains Borneo, POB 396,Jalan Nyabau, Sarawak 97008, Malaysia; [Jong, Regina Mariah; Samah, Abdul Khalim Abu] Forestry Dept Peninsular Malaysia, Jalan Sultan Salahuddin, Kuala Lumpur 50660, Malaysia</t>
  </si>
  <si>
    <t>Parlan, Parlan/CAJ-4030-2022; Ahmed, Osumanu/ABH-1031-2021; Vijayanathan, Jeyanny/O-1913-2016</t>
  </si>
  <si>
    <t>Forestry Department of Selangor</t>
  </si>
  <si>
    <t>We are indebted to the Forestry Department of Selangor for providing the research funds and other assistance related to this research. We are also grateful to the personnel of the Global Environment Facility (GEF) for providing basic information on the experimental sites. The staff of Forest Research Institute of Malaysia (FRIM) are acknowledged for the field and laboratory assistance rendered.</t>
  </si>
  <si>
    <t>10.103832/ifor3700014</t>
  </si>
  <si>
    <t>UC8FH</t>
  </si>
  <si>
    <t>WOS:000686757300005</t>
  </si>
  <si>
    <t>Pan, YC</t>
  </si>
  <si>
    <t>Pan, Yuchen</t>
  </si>
  <si>
    <t>OPTIMIZATION MODEL OF COLD CHAIN LOGISTICS COMMON DISTRIBUTION PATH FOR FRESH AGRICULTURAL PRODUCTS UNDER THE PERSPECTIVE OF LOW CARBON</t>
  </si>
  <si>
    <t>Carbon emission reduction; low-carbon perspective; cold chain logistics; A* algorithm; ant colony algorithm; path optimization; wolf colony algorithm</t>
  </si>
  <si>
    <t>VEHICLE-ROUTING PROBLEM; ANTALYA; AREAS</t>
  </si>
  <si>
    <t>Based on the concept of green logistics development, in order for companies to seek a win-win situation between the economy and the environment, this article integrates the cold chain logistics cost of fresh agricultural products from a low-carbon perspective into the path optimization problem and establishes a mathematical model of cold chain logistics path optimization of agricultural products Internet of Things with the minimum total cost as the research goal. First, a cold chain logistics vehicle path model including the fixed costs of cold chain distribution services, transportation costs, cargo damage costs, refrigeration costs, time penalty costs. carbon emissions costs, and IoT usage costs is established. Secondly, this paper uses the global convergence of the A* algorithm to combine with the ant colony algorithm, the initial pheromone, and uses the wolf colony algorithm principle to improve the pheromone in the ant colony algorithm to avoid falling into the local optimum. he improved ant colony algorithm is used to solve the optimal vehicle path of cold chain logistics. Finally, the simulation results show that the total cost of the cold chain logistics vehicle distribution without joint distribution is 6085.5 yuan, and the total transportation cost under the common distribution mode is 5740.7 yuan, and the total transportation cost is reduced by 6.01%. Compared with the genetic algorithm and the standard ant colony algorithm, the algorithm in this paper can improve the quality of the solution and the convergence speed of the algorithm, and can be applied to cold chain logistics and distribution.</t>
  </si>
  <si>
    <t>[Pan, Yuchen] Wuhan Univ, Sch Informat Management, Wuhan 430079, Hubei, Peoples R China</t>
  </si>
  <si>
    <t>Wuhan University</t>
  </si>
  <si>
    <t>Pan, YC (corresponding author), Wuhan Univ, Sch Informat Management, Wuhan 430079, Hubei, Peoples R China.</t>
  </si>
  <si>
    <t>yuchenpan@whu.edu.cn</t>
  </si>
  <si>
    <t>SN3CS</t>
  </si>
  <si>
    <t>WOS:000658171700040</t>
  </si>
  <si>
    <t>Chen, XY; Luan, XX; Cheng, P; Wang, WR; Zhu, XZ; Chen, J</t>
  </si>
  <si>
    <t>Chen, Xueyan; Luan, Xiaoxiao; Cheng, Peng; Wang, Weiren; Zhu, Xuzhe; Chen, Jing</t>
  </si>
  <si>
    <t>Microanalytical investigation of soil microbial shifts induced by low-carbon corn straw biochar amendment</t>
  </si>
  <si>
    <t>Corn straw biochar; Agricultural carbon emissions; Soil microorganism; Preparation of biochar</t>
  </si>
  <si>
    <t>MICROORGANISMS; RESPONSES</t>
  </si>
  <si>
    <t>This study aims to investigate the effects of different biochar application rates (a highly stable, porous, carbonrich material) on the metabolic function of farmland soil microorganisms, to provide a microbiological basis for agricultural carbon reduction strategies. In an indoor incubation experiment, three biochar addition rates (0 (CK), 20 (BC20), and 50 (BC50) mg/kg) are set. The Biolog EcoPlate technique is used to assess the average metabolic activity (AWCD) and functional diversity of the microbial community, and phospholipid fatty acid (PLFA) analysis is used to analyze changes in community structure. The results show that the soil microbial diversity index of 20mg/kg biochar is the lowest at 0.42, while the soil microbial diversity index of no biochar is the lowest at 0.63; in terms of diversity index, the soil microbial diversity index of 20mg/kg biochar is the lowest at 4.09, while the soil microbial diversity index of no biochar is the lowest at 5.53; in terms of relative abundance, the lowest relative abundance of soil microorganisms in the treatment with biochar is 81.54 % at 20mg/kg, and the lowest relative abundance of soil microorganisms in the treatment without biochar is 91.54 %. This suggests that adding biochar to soil can effectively reduce microbial species diversity and weaken their metabolic activity, thereby reducing soil carbon emissions and promoting the development of low-carbon agriculture.</t>
  </si>
  <si>
    <t>[Chen, Xueyan; Luan, Xiaoxiao; Cheng, Peng; Wang, Weiren; Zhu, Xuzhe] Inner Mongolia Minzu Univ, Coll Engn, Tongliao 028000, Inner Mongolia, Peoples R China; [Chen, Xueyan] Innovat Ctr Forage Intelligent Equipment Inner Mon, Tongliao 028000, Inner Mongolia, Peoples R China; [Chen, Jing] Liaoning Prov Inst Agr Mechanizat, Shenyang 110161, Liaoning, Peoples R China; [Chen, Jing] Key Lab Remanufacture &amp; Innovat Agr Machinery &amp; Eq, Shenyang 110161, Liaoning, Peoples R China</t>
  </si>
  <si>
    <t>Inner Mongolia Minzu University; Liaoning Academy of Agricultural Sciences</t>
  </si>
  <si>
    <t>Chen, J (corresponding author), Liaoning Prov Inst Agr Mechanizat, Shenyang 110161, Liaoning, Peoples R China.</t>
  </si>
  <si>
    <t>cj15942317888@163.com</t>
  </si>
  <si>
    <t>Key Research and Development and Achievement Transformation Project of the Inner Mongolia Autonomous Region [2025YFDZ0130]; Forage Intelligent Equipment Innovation Center [GXKY25Z053]; Special Fund for Science and Engineering-Engineering [251405]</t>
  </si>
  <si>
    <t>Key Research and Development and Achievement Transformation Project of the Inner Mongolia Autonomous Region; Forage Intelligent Equipment Innovation Center; Special Fund for Science and Engineering-Engineering</t>
  </si>
  <si>
    <t>This work was supported by Key Research and Development and Achievement Transformation Project of the Inner Mongolia Autonomous Region (2025YFDZ0130). This work was supported by Forage Intelligent Equipment Innovation Center (GXKY25Z053). This work was supported by Special Fund for Science and Engineering-Engineering (251405).</t>
  </si>
  <si>
    <t>10.1016/j.microc.2025.116025</t>
  </si>
  <si>
    <t>9YF6L</t>
  </si>
  <si>
    <t>WOS:001617870400001</t>
  </si>
  <si>
    <t>Bramble, DE; Gouveia, GA; Ramnarine, R; Farrell, RE</t>
  </si>
  <si>
    <t>Bramble, De Shorn E.; Gouveia, Gregory A.; Ramnarine, Ravindra; Farrell, Richard E.</t>
  </si>
  <si>
    <t>Organic residue and agricultural lime interactions on CO2emissions from two contrasting soils: implications for carbon management in acid soils</t>
  </si>
  <si>
    <t>JOURNAL OF SOILS AND SEDIMENTS</t>
  </si>
  <si>
    <t>Soil acidity; Calcium carbonate dissolution; Inorganic; and organic-derived CO2; Priming effects; Carbon sequestration; Emission factor</t>
  </si>
  <si>
    <t>MICROBIAL BIOMASS; AGGREGATE STABILITY; PLANT RESIDUES; CO2 EMISSION; MINERALIZATION; MATTER; DECOMPOSITION; MECHANISMS; DISSOLUTION; SUBSTRATE</t>
  </si>
  <si>
    <t>Purpose Agricultural lime (aglime) has been recognised to promote the production of CO(2)from acid soils. However, the role of organic residues in controlling the magnitude of these emissions is poorly understood. This study, therefore, investigated the interactive effects of aglime and organic residues on inorganic- and organic-derived CO(2)emissions from two contrasting acid soils. Materials and methods The experiment was carried out as a completely randomised 2 x 2 x 4 factorial design where two contrasting acid soils (Nariva clay series, Mollic Fluvaquents and Piarco loam series, Typic Kanhaplaquults) were amended with varying rates of(13)C-enriched aglime (0% w/w and 0.230% w/w (CaCO3,C)-C-13-C-13 5.99% atom abundance) and organic residues (0% w/w and 1% w/w corn stover, poultry litter, or glucose) to give a total of 16 treatment combinations. These treatments were triplicated, resulting in 48 experimental units that were incubated for 103 days in 1-L media bottles. Results and discussion The mineralisation of carbon (C) in the Piarco soil increased by 27% with aglime addition relative to the no-organic residue control but decreased (by as much as 13.2%) when applied to the organic residue-amended soils. This interaction was, however, not evident in the Nariva soil, which may be attributed to the fact that aglime-induced priming effects were negligible in this soil. Results also show that the rate of aglime-CO(2)emissions decreased with the application of poultry litter and corn stover, and increased with the application of glucose. This effect was particularly evident in the Piarco soil and is likely related to the organic residue-induced changes in the soil pH. Conclusions Overall, our results highlight the importance of considering organic residue addition when assessing the global warming effect associated with aglime use. In addition to crop nutrition benefits, our results further emphasise the need to optimise liming and organic residue management practices to enhance C sequestration in acid soils.</t>
  </si>
  <si>
    <t>[Bramble, De Shorn E.; Gouveia, Gregory A.; Ramnarine, Ravindra] Univ West Indies, Dept Food Prod, St Augustine, Trinidad Tobago; [Farrell, Richard E.] Univ Saskatchewan, Dept Soil Sci, Saskatoon, SK, Canada</t>
  </si>
  <si>
    <t>University West Indies Mona Jamaica; University West Indies Saint Augustine; University of Saskatchewan</t>
  </si>
  <si>
    <t>Bramble, DE (corresponding author), Univ West Indies, Dept Food Prod, St Augustine, Trinidad Tobago.</t>
  </si>
  <si>
    <t>debramble@gmail.com</t>
  </si>
  <si>
    <t>; Bramble, De Shorn/KVY-1550-2024</t>
  </si>
  <si>
    <t>Farrell, Richard/0000-0001-6365-3939; Bramble, De Shorn/0000-0002-1212-4575</t>
  </si>
  <si>
    <t>SG&amp;R, The UWI, St. Augustine's [CRP.5.MAR16.46]</t>
  </si>
  <si>
    <t>SG&amp;R, The UWI, St. Augustine's</t>
  </si>
  <si>
    <t>This research was financially supported by the SG&amp;R, The UWI, St. Augustine's grant #CRP.5.MAR16.46 that was awarded to Mr. Bramble and a grant that was awarded to Dr. Richard Farrell.</t>
  </si>
  <si>
    <t>1439-0108</t>
  </si>
  <si>
    <t>1614-7480</t>
  </si>
  <si>
    <t>J SOIL SEDIMENT</t>
  </si>
  <si>
    <t>J. Soils Sediments</t>
  </si>
  <si>
    <t>10.1007/s11368-020-02736-7</t>
  </si>
  <si>
    <t>JUL 2020</t>
  </si>
  <si>
    <t>PO2KM</t>
  </si>
  <si>
    <t>WOS:000553743900001</t>
  </si>
  <si>
    <t>Zhuang, S; Ding, JJ; Lin, W; Zheng, Q; Kou, XY; Li, QZ; Xu, CY; Mao, LL; Pan, YS; Gao, Y; Han, DF; Li, YZ</t>
  </si>
  <si>
    <t>Zhuang, Shan; Ding, Junjun; Lin, Wei; Zheng, Qian; Kou, Xinyue; Li, Qiaozhen; Xu, Chunying; Mao, Lili; Pan, Yanshuo; Gao, Ying; Han, Dongfei; Li, Yuzhong</t>
  </si>
  <si>
    <t>Transient anoxic conditions boost N2O emissions by stimulating denitrification capacity and decreasing N2O reduction ratio in soils with different carbon substrates</t>
  </si>
  <si>
    <t>Nitrous oxide; Transient anoxic conditions; Oxalic acid; Serine; Glucose; N2O reduction; Dual isotope mapping</t>
  </si>
  <si>
    <t>NITROUS-OXIDE EMISSIONS; NITRIFIER DENITRIFICATION; MICROBIAL COMMUNITIES; ELECTRON COMPETITION; PHOSPHORUS ADDITION; NITRATE; ROOT; WATER; NITRIFICATION; IRRIGATION</t>
  </si>
  <si>
    <t>Quantitative identification of the dominant N2O production and consumption processes following sudden shifts in soil aeration in well-aerated soils is limited, lagging the development of N2O mitigation strategies. Nitrous oxide emissions from agricultural soils, the largest source of anthropogenic N2O, are strongly influenced by lowmolecular-weight organic carbons from root exudates (RootEx). In this study, we conducted a laboratory incubation experiment to investigate the mechanisms of N2O emissions regulated by transient anoxic conditions under the effects of different carbon substrates. Three common components in RootEx, oxalic acid, serine, and glucose were individually added as carbon sources every 24 h to the sandy loam soil. The contribution of microbial processes to N2O production (fungal denitrification, nitrification, bacterial denitrification) and consumption (N2O reduction) was evaluated using a dual isotope mapping approach (SP/delta 18O MAP). The result indicated that transient anoxic conditions stimulated N2O production primarily through bacterial denitrification process facilitated by carbon substrates, and diminished the proportion of N2O reduction compared to oxic conditions. Among the three components of RootEx, serine and glucose induced higher N2O emissions and N2O reduction rates than oxalic acid during incubation. The differential effects of these three components on N2O emissions imply that the regulatory effect of carbon substrates on N2O reduction could not counterbalance the influence of transient anoxic conditions on N2O stimulation. Our findings provide a fundamental understanding of the effects of transient anoxic conditions and RootEx on N2O stimulation, facilitating the study of the spatial and temporal heterogeneity of N2O emissions in response to soil aeration changes in various upland soils.</t>
  </si>
  <si>
    <t>[Zhuang, Shan; Ding, Junjun; Kou, Xinyue; Li, Qiaozhen; Xu, Chunying; Mao, Lili; Pan, Yanshuo; Li, Yuzhong] Chinese Acad Agr Sci, Inst Environm &amp; Sustainable Dev Agr, Beijing 100081, Peoples R China; [Zhuang, Shan; Han, Dongfei] Suzhou Univ Sci &amp; Technol, Sch Environm Sci &amp; Engn, Suzhou 215009, Peoples R China; [Ding, Junjun; Li, Qiaozhen; Xu, Chunying; Mao, Lili; Li, Yuzhong] Chinese Acad Agr Sci, Environm Stable Isotope Lab, Beijing 100081, Peoples R China; [Lin, Wei] Chinese Acad Agr Sci, Inst Urban Agr, Chengdu 610213, Peoples R China; [Zheng, Qian] Southern Univ Sci &amp; Technol, Dept Ocean Sci &amp; Engn, Shenzhen 518055, Peoples R China; [Gao, Ying] Chinese Acad Forestry, Inst Ecol Conservat &amp; Restorat, Beijing 100091, Peoples R China; [Gao, Ying] Chinese Acad Forestry, Inst Desertificat Studies, Beijing 100091, Peoples R China; [Ding, Junjun; Han, Dongfei] State Key Lab Efficient Utilizat Arid &amp; Semi Arid, Beijing 100081, Peoples R China</t>
  </si>
  <si>
    <t>Chinese Academy of Agricultural Sciences; Institute of Environment &amp; Sustainable Development in Agriculture, CAAS; Suzhou University of Science &amp; Technology; Chinese Academy of Agricultural Sciences; Chinese Academy of Agricultural Sciences; Institute of Urban Agriculture, CAAS; Southern University of Science &amp; Technology; Chinese Academy of Forestry; Institute of Ecological Conservation &amp; Restoration, CAF; Chinese Academy of Forestry</t>
  </si>
  <si>
    <t>Li, YZ (corresponding author), Chinese Acad Agr Sci, Inst Environm &amp; Sustainable Dev Agr, Beijing 100081, Peoples R China.;Han, DF (corresponding author), Suzhou Univ Sci &amp; Technol, Sch Environm Sci &amp; Engn, Suzhou 215009, Peoples R China.;Han, DF (corresponding author), State Key Lab Efficient Utilizat Arid &amp; Semi Arid, Beijing 100081, Peoples R China.</t>
  </si>
  <si>
    <t>dongfeihan@usts.edu.cn; liyuzhong@caas.cn</t>
  </si>
  <si>
    <t>Lin, Wei/AAW-7797-2021; Li, Yuzhong/A-9091-2018; Yan, Pan/OJT-1920-2025; Ding, Junjun/F-8618-2015; Zuccon, Guido/AAI-6206-2021; Koopman, Bevan/AAF-3038-2021; Han, Dongfei/ABB-3352-2020</t>
  </si>
  <si>
    <t>Koopman, Bevan/0000-0001-5577-3391; Zhuang, Shengyao/0000-0002-6711-0955; Zuccon, Guido/0000-0003-0271-5563; Han, Dongfei/0000-0003-4007-8454</t>
  </si>
  <si>
    <t>Provincial Science and Technology Planning Project [BK20231516]; Science and Technology Program of Suzhou [SNG2023018]</t>
  </si>
  <si>
    <t>Provincial Science and Technology Planning Project; Science and Technology Program of Suzhou</t>
  </si>
  <si>
    <t>This study was supported by the Agricultural Science and Technology Innovation Program (ASTIP) of the Chinese Academy of Agricultural Sciences; the Open Project of State Key Laboratory of Efficient Utilization of Arid and Semi-arid Arable Land in Northern China, the Institute of Agricultural Resources and Regional Planning, Chinese Academy of Agricultural Sciences (EUAL-2023-6) and (EUAL-2023-3) ; the Jiangsu Provincial Science and Technology Planning Project (BK20231516) , and the Science and Technology Program of Suzhou (SNG2023018) .r Provincial Science and Technology Planning Project (BK20231516) , and the Science and Technology Program of Suzhou (SNG2023018) .</t>
  </si>
  <si>
    <t>10.1016/j.soilbio.2024.109351</t>
  </si>
  <si>
    <t>NI4I4</t>
  </si>
  <si>
    <t>WOS:001199807100001</t>
  </si>
  <si>
    <t>McHugh, N; Edmondson, JL; Gaston, KJ; Leake, JR; O'Sullivan, OS</t>
  </si>
  <si>
    <t>McHugh, Nicola; Edmondson, Jill L.; Gaston, Kevin J.; Leake, Jonathan R.; O'Sullivan, Odhran S.</t>
  </si>
  <si>
    <t>Modelling short-rotation coppice and tree planting for urban carbon management - a citywide analysis</t>
  </si>
  <si>
    <t>JOURNAL OF APPLIED ECOLOGY</t>
  </si>
  <si>
    <t>ecosystem services; GIS model; land-use; short-rotation coppice; urban biomass carbon; urban ecosystems; wood biofuel</t>
  </si>
  <si>
    <t>STORAGE; BIOENERGY; BIOMASS; LAND; SEQUESTRATION; VEGETATION; BENEFITS; BALANCE; STOCKS; COSTS</t>
  </si>
  <si>
    <t>The capacity of urban areas to deliver provisioning ecosystem services is commonly overlooked and underutilized. Urban populations have globally increased fivefold since 1950, and they disproportionately consume ecosystem services and contribute to carbon emissions, highlighting the need to increase urban sustainability and reduce environmental impacts of urban dwellers. Here, we investigated the potential for increasing carbon sequestration, and biomass fuel production, by planting trees and short-rotation coppice (SRC), respectively, in a mid-sized UK city as a contribution to meeting national commitments to reduce CO2 emissions. Iterative GIS models were developed using high-resolution spatial data. The models were applied to patches of public and privately owned urban greenspace suitable for planting trees and SRC, across the 73km(2) area of the city of Leicester. We modelled tree planting with a species mix based on the existing tree populations, and SRC with willow and poplar to calculate biomass production in new trees, and carbon sequestration into harvested biomass over 25years. An area of 11km(2) comprising 15% of the city met criteria for tree planting and had the potential over 25years to sequester 4200tonnes of carbon above-ground. Of this area, 58km(2) also met criteria for SRC planting and over the same period this could yield 71800tonnes of carbon in harvested biomass. The harvested biomass could supply energy to over 1566 domestic homes or 30 municipal buildings, resulting in avoided carbon emissions of 29236tonnes of carbon over 25years when compared to heating by natural gas. Together with the net carbon sequestration into trees, a total reduction of 33419 tonnes of carbon in the atmosphere could be achieved in 25years by combined SRC and tree planting across the city.Synthesis and applications. We demonstrate that urban greenspaces in a typical UK city are underutilized for provisioning ecosystem services by trees and especially SRC, which has high biomass production potential. For urban greenspace management, we recommend that planting SRC in urban areas can contribute to reducing food-fuel conflicts on agricultural land and produce renewable energy sources close to centres of population and demand. We demonstrate that urban greenspaces in a typical UK city are underutilized for provisioning ecosystem services by trees and especially SRC, which has high biomass production potential. For urban greenspace management, we recommend that planting SRC in urban areas can contribute to reducing food-fuel conflicts on agricultural land and produce renewable energy sources close to centres of population and demand.</t>
  </si>
  <si>
    <t>[McHugh, Nicola; Edmondson, Jill L.; Leake, Jonathan R.; O'Sullivan, Odhran S.] Univ Sheffield, Dept Anim &amp; Plant Sci, Western Bank, Sheffield S10 2TN, S Yorkshire, England; [Gaston, Kevin J.] Univ Exeter, Environm &amp; Sustainabil Inst, Penryn TR10 9FE, Cornwall, England</t>
  </si>
  <si>
    <t>University of Sheffield; University of Exeter</t>
  </si>
  <si>
    <t>Leake, JR (corresponding author), Univ Sheffield, Dept Anim &amp; Plant Sci, Western Bank, Alfred Denny Bldg, Sheffield S10 2TN, S Yorkshire, England.</t>
  </si>
  <si>
    <t>j.r.leake@sheffield.ac.uk</t>
  </si>
  <si>
    <t>Edmondson, Jill/IUP-0431-2023; McHugh, Noirin/R-4668-2016; Gaston, Kevin/AFK-1483-2022</t>
  </si>
  <si>
    <t>Edmondson, Jill/0000-0002-3623-4816; Gaston, Kevin J/0000-0002-7235-7928; Leake, Jonathan/0000-0001-8364-7616</t>
  </si>
  <si>
    <t>EPSRC [EP/F007604/1, EP/I002154/1]; Engineering and Physical Sciences Research Council [EP/F007604/2, EP/F007604/1, EP/I002154/1] Funding Source: researchfish; EPSRC [EP/F007604/2, EP/I002154/1, EP/F007604/1] Funding Source: UKRI</t>
  </si>
  <si>
    <t>EPSRC(UK Research &amp; Innovation (UKRI)Engineering &amp; Physical Sciences Research Council (EPSRC)); Engineering and Physical Sciences Research Council(UK Research &amp; Innovation (UKRI)Engineering &amp; Physical Sciences Research Council (EPSRC)); EPSRC(UK Research &amp; Innovation (UKRI)Engineering &amp; Physical Sciences Research Council (EPSRC))</t>
  </si>
  <si>
    <t>Funding was provided by EPSRC Sustainable Urban Environments grants EP/F007604/1 and EP/I002154/1. Infoterra kindly provided LandBase, and MasterMap was supplied by the Ordnance Survey. Leicester City Council provided GIS data delineating council land across the city, and J.J. Potter provided technical assistance.</t>
  </si>
  <si>
    <t>0021-8901</t>
  </si>
  <si>
    <t>1365-2664</t>
  </si>
  <si>
    <t>J APPL ECOL</t>
  </si>
  <si>
    <t>J. Appl. Ecol.</t>
  </si>
  <si>
    <t>10.1111/1365-2664.12491</t>
  </si>
  <si>
    <t>Biodiversity Conservation; Ecology</t>
  </si>
  <si>
    <t>CR2UP</t>
  </si>
  <si>
    <t>WOS:000361186500014</t>
  </si>
  <si>
    <t>Cui, GT; Wang, JY</t>
  </si>
  <si>
    <t>Cui, Guotao; Wang, Junye</t>
  </si>
  <si>
    <t>Improving the DNDC biogeochemistry model to simulate soil temperature and emissions of nitrous oxide and carbon dioxide in cold regions</t>
  </si>
  <si>
    <t>DNDC model; Cold region; Rain-snow partitioning; Soil temperature; Snowmelt; Optimization</t>
  </si>
  <si>
    <t>GREENHOUSE-GAS EMISSIONS; DENITRIFICATION DECOMPOSITION MODEL; N2O EMISSIONS; AGRICULTURAL SOILS; SNOW COVER; MANAGEMENT-PRACTICES; CORN; RESPIRATION; SYSTEMS; FLUXES</t>
  </si>
  <si>
    <t>The process-based DeNitrification-DeComposition (DNDC) model is widely used to quantify greenhouse gas (GHG) emissions. Soil temperature is an important environmental factor affecting nitrous oxide (N2O) and carbon dioxide (CO2) emissions, however, it is not well described in the original DNDC model due to seasonal snow cover in cold regions. This study aims to modify the original DNDC model with better representations of rain-snow partitioning, snow cover, and soil freeze-thaw cycle to predict soil temperature and GHG emissions in cold regions. Compared to the snow data in Canada, the modified DNDC model better captures snow accumulation and snowmelt with model efficiency EF of 0.64, increased from 0.14 of the original DNDC model. Soil temperature from the modified DNDC model is in good agreement with the measured data (RMSE 1.91 degrees C and R-2 0.97), particularly when snow cover is present in winter seasons because the modified DNDC model accounts for the snow insulation effect and snowfalls above 0 degrees C. To further improve the simulations, the modified DNDC model runs in a command-line user interface and uses an inverse approach of optimization with a spin-up period. This modeling setup increases the R-2 of CO2 emissions from 0.23 to 0.35 and the R-2 of N2O emissions from 0.12 to 0.36. Investigations on different modeling setups suggest that optimization and spin-up could improve modeling results and better capture snow processes and soil temperature dynamics in the snowy cold regions, which could contribute to reasonable subsequent assessments of GHG emissions. (C) 2019 Elsevier B.V. All rights reserved.</t>
  </si>
  <si>
    <t>[Cui, Guotao; Wang, Junye] Athabasca Univ, ARBRI, 1 Univ Dr, Athabasca, AB T9S 3A3, Canada</t>
  </si>
  <si>
    <t>Athabasca University</t>
  </si>
  <si>
    <t>Wang, JY (corresponding author), Athabasca Univ, ARBRI, 1 Univ Dr, Athabasca, AB T9S 3A3, Canada.</t>
  </si>
  <si>
    <t>junyew@athabascau.ca</t>
  </si>
  <si>
    <t>Wang, Junye/AAG-6657-2019; Cui, Guotao/H-4126-2019</t>
  </si>
  <si>
    <t>Wang, Junye/0000-0001-5562-1400; Cui, Guotao/0000-0001-8074-5544;</t>
  </si>
  <si>
    <t>Alberta Innovation and Advanced Education for Campus Alberta Innovation Program (CAIP) Research Chair [RCP-12-001-BCAIP]</t>
  </si>
  <si>
    <t>Alberta Innovation and Advanced Education for Campus Alberta Innovation Program (CAIP) Research Chair</t>
  </si>
  <si>
    <t>This research was supported by the Alberta Innovation and Advanced Education for Campus Alberta Innovation Program (CAIP) Research Chair (No. RCP-12-001-BCAIP). We thank Mr. Jim Sellers for proofreading of the manuscript. We appreciated comments of three anonymous reviewers and editor.</t>
  </si>
  <si>
    <t>10.1016/j.scitotenv.2019.06.054</t>
  </si>
  <si>
    <t>IP8SO</t>
  </si>
  <si>
    <t>WOS:000480316300008</t>
  </si>
  <si>
    <t>Liyanage, TDP; Maeda, M; Somura, H; Mori, M; Fujiwara, T</t>
  </si>
  <si>
    <t>Liyanage, Thanuja Deepani Panangala; Maeda, Morihiro; Somura, Hiroaki; Mori, Makito; Fujiwara, Taku</t>
  </si>
  <si>
    <t>Nitrous oxide and carbon dioxide emissions from two types of soil amended with manure compost at different ammonium nitrogen rates</t>
  </si>
  <si>
    <t>Carbon dioxide; compost; NH4+-N rate; nitrous oxide; osmotic stress</t>
  </si>
  <si>
    <t>N2O EMISSIONS; AGRICULTURAL SOILS; NITRIFICATION; WATER; TEMPERATURE; FERTILIZER; MOISTURE; HOKKAIDO; FLUXES; DENITRIFICATION</t>
  </si>
  <si>
    <t>Ammonium nitrogen (NH4+-N) content in soil is a key factor affecting nitrous oxide (N2O) emissions due to its role as a primary substrate of nitrification. This study aimed at investigating the effects of different application rates of NH4+-N on N2O and CO2 emissions from two different types of manure compost-amended soil, along with analysis of relative abundances of narG and nosZ genes under aerobic conditions. Laboratory experiments were conducted using Kochi and Ushimado soils amended with mixed compost (MC: mixture of cattle, poultry, and swine manure) or cattle manure compost (CC) at 3% (dry weight basis). In no compost- and compost-amended soils, (NH4)(2)SO4 was added as a solution equivalent to 160, 200, and 400 mg-N kg(-1) of soil. Soil samples were aerobically incubated at 70% water-holding capacity (WHC) and 25 degrees C. Emissions of N2O and CO2 were measured on days 0, 3, 7, 15, 21, 28, and 42. The abundances of narG and nosZ genes in Kochi (day 7) and Ushimado (day 21) soils were estimated using qPCR tests. Emissions of N2O and CO2 were higher in MC-amended soil because of higher mineral N content and lower C/N ratio of MC than those of CC, regardless of NH4+-N rates. Emissions of N2O and CO2 were higher in compost-amended Kochi soil due to higher mineral N, total N and C, and clay contents, and possibly because of higher water-filled pore spaces than those in Ushimado soil at the same WHC. In both soils with CC and no compost, raising NH4+-N rate from 160 to 200 increased N2O emissions due to stimulation of nitrification. In contrast, increasing NH4+-N rate from 200 to 400 decreased N2O and CO2 emissions except for N2O emissions in MC- and CO2 emissions in CC- and no compost-amended Ushimado soil possibly due to osmotic stress on microorganisms and limited C availability. Emissions of N2O were positively related to narG gene copy numbers in Kochi soil (R-2=0.78) due to high N and C contents. Our study revealed that NH4+-N rate 400 suppresses N2O and CO2 emissions from manure compost-amended soil under aerobic conditions.</t>
  </si>
  <si>
    <t>[Liyanage, Thanuja Deepani Panangala; Maeda, Morihiro; Somura, Hiroaki] Okayama Univ, Grad Sch Environm &amp; Life Sci, Kita Ku, 3-1-1 Tsushima Naka, Okayama 7008530, Japan; [Mori, Makito] Kochi Univ, Res &amp; Educ Fac, Agr Unit, 200 Monobe Otsu, Kochi 7838502, Japan; [Fujiwara, Taku] Kyoto Univ, Grad Sch Engn, C1-222 Kyoto Daigaku Katsura, Kyoto 6158530, Japan</t>
  </si>
  <si>
    <t>Somura, Hiroaki/R-4315-2019; Fujiwara, Taku/Y-8274-2019</t>
  </si>
  <si>
    <t>Fujiwara, Taku/0000-0003-4530-7906;</t>
  </si>
  <si>
    <t>Cabinet Office grant-in-aid, the Advanced Next-Generation Greenhouse Horticulture by IoP (Internet of Plants), Japan; Grants-in-Aid for Scientific Research [20KK0147, 21H04747] Funding Source: KAKEN</t>
  </si>
  <si>
    <t>Cabinet Office grant-in-aid, the Advanced Next-Generation Greenhouse Horticulture by IoP (Internet of Plants), Japan; Grants-in-Aid for Scientific Research(Ministry of Education, Culture, Sports, Science and Technology, Japan (MEXT)Japan Society for the Promotion of ScienceGrants-in-Aid for Scientific Research (KAKENHI))</t>
  </si>
  <si>
    <t>10.1080/00380768.2022.2087198</t>
  </si>
  <si>
    <t>WOS:000812125900001</t>
  </si>
  <si>
    <t>Lal, B; Gautam, P; Nayak, AK; Panda, BB; Bihari, P; Tripathi, R; Shahid, M; Guru, PK; Chatterjee, D; Kumar, U; Meena, BP</t>
  </si>
  <si>
    <t>Lal, B.; Gautam, Priyanka; Nayak, A. K.; Panda, B. B.; Bihari, P.; Tripathi, R.; Shahid, M.; Guru, P. K.; Chatterjee, D.; Kumar, U.; Meena, B. P.</t>
  </si>
  <si>
    <t>Energy and carbon budgeting of tillage for environmentally clean and resilient soil health of rice-maize cropping system</t>
  </si>
  <si>
    <t>Carbon foot prints; Energy; N2O flux; Residue mulching; Soil health; Zero tillage</t>
  </si>
  <si>
    <t>GREENHOUSE-GAS EMISSIONS; NITROUS-OXIDE EMISSIONS; LONG-TERM TILLAGE; MICROBIAL BIOMASS; NO-TILLAGE; ENZYME-ACTIVITIES; CONSERVATION TILLAGE; CONVENTIONAL TILLAGE; EXTRACTION METHOD; ORGANIC-CARBON</t>
  </si>
  <si>
    <t>Human interventions in the environment leading to higher green house gas emissions which are degrading the soil and environment quality. Traditional/conventional tillage systems following since inception and residue burning are accelerating the degradation of soil and environment leading to food insecurity. The present study was executed to evaluate energy budgeting, carbon foot prints, gaseous emission and soil health under conservation tillage with residue retention for identifying cleaner production technology in rice-maize system. The novelty of the study is that it examines the integrated effect of tillage, residue retention through mulching on GHG emission along with soil health, energy consumption and carbon footprints together as conservation effective measure for sustainable and clean agricultural production. Zero tillage reduced the energy consumption by 56% and carbon footprints by 39% and besides that N2O emission was 20% lower than conventional tillage. Apart from clean environment, soil health was also improved by adoption of zero tillage in terms of NPK status, labile pool of carbon and enzymatic activities; the population of all the microbiota was increased, which was around 21.3, 51.2 and 27.6% higher in bacteria, fungi and actinomycetes. Crop residue retention as residue mulching (rice straw) significantly improved the crop productivity, microbial biota and enzymatic activities of soil, but it increased the energy consumption and carbon footprints by around 10%. N2O emission was also enhanced by residue mulching, and higher the quantity of residue used as mulch, more was emission. Although in initial years some yield penalty (10-15%) was recorded but in long run zero tillage can be a step towards sustainability as it can be a valuable approach for resilient soil health and cleaner production of maize in rice-maize system. (C) 2019 Elsevier Ltd. All rights reserved.</t>
  </si>
  <si>
    <t>[Lal, B.; Gautam, Priyanka; Nayak, A. K.; Panda, B. B.; Bihari, P.; Tripathi, R.; Shahid, M.; Guru, P. K.; Chatterjee, D.; Kumar, U.] ICAR Natl Rice Res Inst, Cuttack 753006, Odisha, India; [Lal, B.] ICAR Cent Sheep &amp; Wool Res Inst, Avikanagar, Rajasthan, India; [Gautam, Priyanka] ICAR Natl Res Ctr Camel, Bikaner, Rajasthan, India; [Meena, B. P.] ICAR Indian Inst Soil Sci, Bhopal, MP, India</t>
  </si>
  <si>
    <t>Indian Council of Agricultural Research (ICAR); ICAR - National Rice Research Institute; Indian Council of Agricultural Research (ICAR); ICAR - Central Sheep &amp; Wool Research Institute; Indian Council of Agricultural Research (ICAR); ICAR - National Research Centre on Camel; Indian Council of Agricultural Research (ICAR); ICAR - Indian Institute of Soil Sciences</t>
  </si>
  <si>
    <t>Lal, B (corresponding author), ICAR Cent Sheep &amp; Wool Res Inst, Avikanagar, Rajasthan, India.</t>
  </si>
  <si>
    <t>blalsgnr@gmail.com</t>
  </si>
  <si>
    <t>Chatterjee, Dibyendu/I-7638-2019; TRIPATHI, RAHUL/CAA-5058-2022; Nayak, Amaresh/J-7647-2019; Shahid, Mohammad/F-4359-2015; Kumar, Upendra/AAK-9676-2021; Lal, B./ABC-1426-2020; Gautam, Priyanka/AAU-3483-2021</t>
  </si>
  <si>
    <t>Meena, Bharat Prakash/0000-0003-2056-8640; Kumar, Upena/0000-0002-9246-3920; Tripathi, Rahul/0000-0001-8826-9132; Nayak, A K/0000-0002-2257-3243; Chatterjee, Dibyendu/0000-0001-6539-0781; Shahid, Mohammad/0000-0001-6961-2708;</t>
  </si>
  <si>
    <t>Indian Council of Agricultural Research through project Consortium Research Platform on Conservation Agriculture</t>
  </si>
  <si>
    <t>Authors want to thank to Indian Council of Agricultural Research through project Consortium Research Platform on Conservation Agriculture which allowed this work to be carried out through the funds granted.</t>
  </si>
  <si>
    <t>10.1016/j.jclepro.2019.04.041</t>
  </si>
  <si>
    <t>IA9UA</t>
  </si>
  <si>
    <t>WOS:000469901200070</t>
  </si>
  <si>
    <t>Singh, S; Chaturvedi, S; Nayak, P; Dhyani, VC; Nandipamu, TMK; Singh, DK; Gudapaty, P; Mathyam, P; Srinivasrao, K; Govindaraju, K</t>
  </si>
  <si>
    <t>Singh, Shivvendra; Chaturvedi, Sumit; Nayak, Prayasi; Dhyani, Vipin Chandra; Nandipamu, Tony Manoj K.; Singh, Dhananjay Kumar; Gudapaty, Pratibha; Mathyam, Prabhakar; Srinivasrao, Kanchu; Govindaraju, Kasivelu</t>
  </si>
  <si>
    <t>Carbon offset potential of biochar based straw management under rice- wheat system along Indo-Gangetic Plains of India</t>
  </si>
  <si>
    <t>Biochar; Carbon offset; Greenhouse gas; carbon sequestration; Biochar based nutrient composites</t>
  </si>
  <si>
    <t>GREENHOUSE-GAS EMISSIONS; NITROUS-OXIDE EMISSIONS; FERTILIZER APPLICATION; METHANE EMISSIONS; N2O EMISSIONS; CROP RESIDUE; SOIL; CHINA; PRODUCTIVITY; MECHANISMS</t>
  </si>
  <si>
    <t>The Paris Agreement goal of a net-zero equation will require decarbonization technologies in agriculture. Agri-waste biochar offers huge potential for carbon abatement in agricultural soils. The present experiment was carried out to compare the effects of residue management, viz., no residue (NR), residue incorporation (RI), and biochar (BC), as well as nitrogen options for emission reduction and carbon capture under the rice-wheat cropping sequence (RWCS) of the Indo-Gangetic Plains (IGP), India. After two cycles of cropping pattern, the analysis revealed that the biochar application (BC) reduces the RWCS's annual CO2 emissions by 18.1 % over residue incorporation (RI), while CH4 and N2O emissions were reduced by 23 % and 20.6 % over RI and 11 % and 29.3 % over no residue (NR), respectively. The application of biochar-based nutrient composites with rice straw biourea (RSBU) at 100 % and 75 % significantly reduced greenhouse gases (CH4 and N2O) compared to commercial urea at 100 %. The global warming potential of cropping systems recorded with BC was 7 % and 19.3 % lower than NR and RI, respectively, while 6-15 % under RSBU over urea 100 %. The annual carbon footprint (CF) under BC and NR decreased by 37.2 % and 30.8 % over RI, respectively. The net CF under residue burning was estimated to be the highest (132.5 Tg CO2-Ce), followed by RI (55.3 Tg CO2-Ce), showing net positive emissions; however, net negative emissions were found under a biochar-based system. The estimated annual carbon offset potential of a complete biochar system over residue burning, incorporation, and partial biochar as calculated was 189,112, and 92 Tg CO2Ce yr-1, respectively. A biochar-based approach to managing rice straw had great carbon offset potential through a large drop in greenhouse gas emissions and an improved soil carbon pool under the rice wheat system along the IGP, India.</t>
  </si>
  <si>
    <t>[Singh, Shivvendra; Chaturvedi, Sumit; Nayak, Prayasi; Dhyani, Vipin Chandra; Nandipamu, Tony Manoj K.; Singh, Dhananjay Kumar] GB Pant Univ Agr &amp; Technol, Dept Agron, Pantnagar 263145, Uttaranchal, India; [Singh, Shivvendra] Graph Era Hill Univ, Sch Agr, Dehra Dun 248002, Uttaranchal, India; [Gudapaty, Pratibha; Mathyam, Prabhakar; Srinivasrao, Kanchu] Cent Res Inst Dryland Agr, ICAR, Hyderabad 500059, Telegana, India; [Govindaraju, Kasivelu] Sathyabama Inst Sci &amp; Technol, Ctr Ocean Res, Chennai 600119, India</t>
  </si>
  <si>
    <t>Govind Ballabh Pant University of Agriculture Technology; Indian Council of Agricultural Research (ICAR); ICAR - Central Research Institute of Dryland Agriculture; Sathyabama Institute of Science &amp; Technology</t>
  </si>
  <si>
    <t>Chaturvedi, S (corresponding author), GB Pant Univ Agr &amp; Technol, Dept Agron, Pantnagar 263145, Uttaranchal, India.</t>
  </si>
  <si>
    <t>sumitagronomy78@gmail.com</t>
  </si>
  <si>
    <t>Singh, Shiv Vendra/AAZ-3210-2021; Singh, Shiv Vena/AAZ-3210-2021; Nandipamu, Tony Manoj Kumar/IUN-0833-2023; Govindaraju, Kasivelu/F-4753-2017</t>
  </si>
  <si>
    <t>Singh, Shiv Vena/0000-0002-2640-4746; Nandipamu, Tony Manoj Kumar/0000-0003-4069-7845</t>
  </si>
  <si>
    <t>10.1016/j.scitotenv.2023.165176</t>
  </si>
  <si>
    <t>O6OX9</t>
  </si>
  <si>
    <t>WOS:001044989900001</t>
  </si>
  <si>
    <t>Wang, F; Wang, T; Gustave, W; Wang, JJ; Zhou, YH; Chen, JQ</t>
  </si>
  <si>
    <t>Wang, Fan; Wang, Tong; Gustave, Williamson; Wang, Jiaojiao; Zhou, Yuhang; Chen, Jiaqi</t>
  </si>
  <si>
    <t>Spatial-temporal patterns of organic carbon sequestration capacity after long-term coastal wetland reclamation</t>
  </si>
  <si>
    <t>Coastal wetland; Reclamation; SOC; Land -use types; Carbon sequestration</t>
  </si>
  <si>
    <t>LAND-USE CHANGE; SOIL PROPERTIES; PHYSICAL-PROPERTIES; ESTUARY; STOICHIOMETRY; STABILITY; PROVINCE; STORAGE</t>
  </si>
  <si>
    <t>Reclamation significantly affects the dynamics of soil carbon, including carbon sequestration, emissions, and storage. In this study, the impact of the reclamation time (exceeding 1000 years) and land-use types on the carbon sequestration capacity of soil in the coastal wetland of Hangzhou Bay was investigated. We found that both pH and electrical conductivity (EC) negatively correlated with reclamation time, which was closely related to the degree of maturation of the soil and its distance from the coastline. The total organic carbon (TOC) content of the surface soil exhibited an upward trend as reclamation time increased. Total nitrogen (TN) and TOC exhibited a positive correlation, with the maximum values observed during the reclamation period from 1000 to 1500 CE. The land-use type had a significant effect on the TOC content of the surface soil. Surface soil TOC concentrations in different land-use types, in ascending order, were reed land, wastelands, vegetable fields, woodlands. This pattern suggests that the TOC of agricultural soil was higher than that of the soil from other land-use types. This increase in agricultural soil TOC was attributed to long-term fertilization. Soil organic carbon (SOC) content generally decreased with increasing soil profile depth. Therefore, in the early stages of reclamation, reasonable land management methods should be adopted to reduce SOC loss.</t>
  </si>
  <si>
    <t>[Wang, Fan; Wang, Jiaojiao; Zhou, Yuhang; Chen, Jiaqi] Hangzhou Normal Univ, Coll Life &amp; Environm Sci, Hangzhou 311121, Peoples R China; [Wang, Fan] Hangzhou Normal Univ, Sch Engn, Hangzhou 311121, Peoples R China; [Wang, Tong] Zhejiang Univ, Coll Environm Nat Resource Sci, Zhejiang Prov Key Lab Agr Resources &amp; Environm, Hangzhou 310058, Peoples R China; [Gustave, Williamson] Univ Bahamas, Sch Chem Environm &amp; Life Sci, Nassau, New Providence, Bahamas; [Wang, Fan] 2318 Yuhangtang Rd, Hangzhou 311121, Peoples R China</t>
  </si>
  <si>
    <t>Hangzhou Normal University; Hangzhou Normal University; Zhejiang University</t>
  </si>
  <si>
    <t>Wang, F (corresponding author), Hangzhou Normal Univ, Sch Engn, Hangzhou 311121, Peoples R China.;Wang, F (corresponding author), 2318 Yuhangtang Rd, Hangzhou 311121, Peoples R China.</t>
  </si>
  <si>
    <t>wangfan@hznu.edu.cn</t>
  </si>
  <si>
    <t>Gustave, Williamson/AHD-6449-2022</t>
  </si>
  <si>
    <t>Natural Science Foundation of Zhejiang Province; Institute of Hydraulics and Estuary of Zhejiang Province; [LY15D010007]</t>
  </si>
  <si>
    <t>Natural Science Foundation of Zhejiang Province(Natural Science Foundation of Zhejiang Province); Institute of Hydraulics and Estuary of Zhejiang Province;</t>
  </si>
  <si>
    <t>This research was sponsored by the Natural Science Foundation of Zhejiang Province (LY15D010007) . The authors would like to thank Institute of Hydraulics and Estuary of Zhejiang Province for its support during sampling and providing reclamation information.</t>
  </si>
  <si>
    <t>10.1016/j.agee.2022.108209</t>
  </si>
  <si>
    <t>6L3KD</t>
  </si>
  <si>
    <t>WOS:000888084300007</t>
  </si>
  <si>
    <t>Chin, HW; Tee, TP; Tan, NP</t>
  </si>
  <si>
    <t>Chin, H. W.; Tee, T. P.; Tan, N. P.</t>
  </si>
  <si>
    <t>Life cycle assessment of greenhouse gas emissions and carbon mitigation methods in probiotic-fed broiler production</t>
  </si>
  <si>
    <t>biochar; emission intensity; greenhouse gas emission; life cycle assessment; Malaysia; mitigation; poultry manure; probiotic-fed broiler</t>
  </si>
  <si>
    <t>CLIMATE-CHANGE; POULTRY; LIVESTOCK; NITROGEN; BIOCHAR; PERFORMANCE; AMMONIA; PHOSPHORUS; RUMINANTS</t>
  </si>
  <si>
    <t>Context Livestock production contributes significantly to global anthropogenic greenhouse gas emissions. Probiotic-fed broiler production has been shown to reduce greenhouse emissions in other nations significantly, however, outcomes in Malaysia are unknown.Aims This study assesses the total greenhouse emissions of probiotic-fed broiler production from cradle to farm-gate using an accredited Life Cycle Assessment (LCA) tool, Greenhouse Accounting Framework (GAF). It determines the hotspot of greenhouse emissions and emission intensity of the farm in kg CO2-eq/kg liveweight. Three types of mitigation methods, i.e. selling untreated manure, composting, and conversion into biochar, were compared to identify their effectiveness.Methods The research involves three broiler houses with one production cycle. Fifty-four gas samples and 90 poultry litter samples were collected throughout the production cycle and analysed for the targeted gases - i.e. carbon dioxide, methane, nitrogen and volatile solid composition. Analysis results were used to estimate total greenhouse emissions from the farm using the LCA-GAF model. The mitigation efficiency achieved by selling untreated manure, composting, and biochar production is assessed by estimating the carbon stock mass.Key results A new LCA model based on probiotic-fed broiler production was generated, specifically using data obtained from the experiment. The experimental results indicated that energy consumption, i.e. electricity and fuel, have the highest greenhouse emissions (44%), followed by feed production with 40% of the total 53.51 t CO2-eq/house/cycle in the probiotic-fed broiler farm. The emissions intensity of the farm is 1.57 kg CO2-eq/kg liveweight. Estimates of the mitigation efficiency were compared among untreated manure, biochar, and compost.Conclusions Energy consumption, particularly electricity and fuel, contributed the highest greenhouse emissions in the probiotic-fed broiler production. The strategy of selling untreated poultry litter was the most effective carbon mitigation method. However, due to its adverse environmental and human health impacts, converting poultry litter into biochar is the preferable mitigation option.Implications This study is profound for the poultry industry and environmental sustainability. It highlights the crucial role of energy consumption in greenhouse emissions from the probiotic-fed broiler farm, and the necessity of addressing the environmental impacts. Implementing sustainable agricultural practices could lead to more ecological poultry production, contributing to global efforts in climate change mitigation. Livestock production plays a major role in global greenhouse gas emissions, and the impacts of using probiotics in broiler production is a new area of study in Malaysia. This research conducted on three broiler farms, reveals that energy consumption, particularly electricity and fuel, contributes significantly to greenhouse gas emissions. The findings highlight the potential of probiotics in reducing greenhouse gas emissions in broiler production and developing sustainable practices in the poultry industry to address environmental concerns.This article belongs to the Collection Sustainable Animal Agriculture for Developing Countries 2023.</t>
  </si>
  <si>
    <t>[Chin, H. W.; Tee, T. P.] Univ Putra Malaysia, Fac Agr, Dept Anim Sci, Upm Serdang 43400, Selangor, Malaysia; [Tan, N. P.] Univ Putra Malaysia, Fac Agr, Dept Land Management, Upm Serdang 43400, Selangor, Malaysia</t>
  </si>
  <si>
    <t>Tee, TP (corresponding author), Univ Putra Malaysia, Fac Agr, Dept Anim Sci, Upm Serdang 43400, Selangor, Malaysia.</t>
  </si>
  <si>
    <t>ttpoy@upm.edu.my</t>
  </si>
  <si>
    <t>; Tee, Tuan Poy/HLW-9387-2023</t>
  </si>
  <si>
    <t>Tan, Ngai Paing/0000-0002-1400-0154; Tee, Tuan Poy/0000-0003-4274-9178; , Chin Hui Ween/0009-0001-9481-777X</t>
  </si>
  <si>
    <t>Meng Kee Poultry (M) Sdn. Bhd</t>
  </si>
  <si>
    <t>This work was conducted with the support of Meng Kee Poultry (M) Sdn. Bhd, a member of Kee Song Group for financial support. No input was given to this project by the company beyond the provision of funds.</t>
  </si>
  <si>
    <t>AN24040</t>
  </si>
  <si>
    <t>10.1071/AN24040</t>
  </si>
  <si>
    <t>A4T2N</t>
  </si>
  <si>
    <t>WOS:001282467400001</t>
  </si>
  <si>
    <t>Fauvel, C; Fuhrman, J; Ou, Y; Shobe, W; Doney, S; McJeon, H; Clarens, A</t>
  </si>
  <si>
    <t>Fauvel, Chloe; Fuhrman, Jay; Ou, Yang; Shobe, William; Doney, Scott; McJeon, Haewon; Clarens, Andres</t>
  </si>
  <si>
    <t>Regional implications of carbon dioxide removal in meeting net zero targets for the United States</t>
  </si>
  <si>
    <t>negative emissions technologies; integrated assessment modeling; carbon dioxide removal; regional impacts</t>
  </si>
  <si>
    <t>CO2; FRAMEWORK; PLEDGES</t>
  </si>
  <si>
    <t>Net-zero greenhouse gas emission targets are central to current international efforts to stabilize global climate, and many of these plans rely on carbon dioxide removal (CDR) to meet mid-century goals. CDR can be performed via nature-based approaches, such as afforestation, or engineered approaches, such as direct air capture. Both will have large impacts in the regions where they are sited. We used the Global Change Analysis Model for the United States to analyze how regional resources will influence and be influenced by CDR deployment in service of United States national net-zero targets. Our modeling suggests that CDR will be deployed extensively, but unevenly, across the country. A number of US states have the resources, such as geologic carbon storage capacity and agricultural land, needed to become net exporters of negative emissions. But this will require reallocation of resources, such as natural gas and electricity, and dramatically increase water and fertilizer use in many places. Modeling these kinds of regional or sub-national impacts associated with CDR, as intrinsically uncertain as it is at this time, is critical for understanding its true potential in meeting decarbonization commitments.</t>
  </si>
  <si>
    <t>[Fauvel, Chloe; Clarens, Andres] Univ Virginia, Dept Civil &amp; Environm Engn, Charlottesville, VA 22904 USA; [Fuhrman, Jay; Ou, Yang] Univ Maryland &amp; Pacific Northwest Natl Lab, Joint Global Change Res Inst, College Pk, MD USA; [Shobe, William] Univ Virginia, Batten Sch Leadership &amp; Publ Policy, Charlottesville, VA USA; [Doney, Scott] Univ Virginia, Dept Environm Sci, Charlottesville, VA USA; [McJeon, Haewon] Korea Adv Inst Sci &amp; Technol, Daejeon, South Korea</t>
  </si>
  <si>
    <t>University of Virginia; University of Virginia; University of Virginia; Korea Advanced Institute of Science &amp; Technology (KAIST)</t>
  </si>
  <si>
    <t>Clarens, A (corresponding author), Univ Virginia, Dept Civil &amp; Environm Engn, Charlottesville, VA 22904 USA.</t>
  </si>
  <si>
    <t>andres@virginia.edu</t>
  </si>
  <si>
    <t>Shobe, William/B-2949-2008; McJeon, Haewon/OVZ-8721-2025; Ou, Yang/GMX-3718-2022; Doney, Scott/F-9247-2010</t>
  </si>
  <si>
    <t>Shobe, William/0000-0001-8818-0541; Clarens, Anes/0000-0002-0606-9717; Ou, Yang/0000-0002-1889-6218; McJeon, Haewon/0000-0003-0348-5704; Fuhrman, Jay/0000-0003-1853-6850; Doney, Scott/0000-0002-3683-2437</t>
  </si>
  <si>
    <t>University of Virginia Environmental Institute; US National Science Foundation [CBET-2215396]</t>
  </si>
  <si>
    <t>University of Virginia Environmental Institute(University of Virginia); US National Science Foundation(National Science Foundation (NSF))</t>
  </si>
  <si>
    <t>AcknowledgmentsThe authors acknowledge Katherine Holcomb of the UVA Advanced Research Computing Service for her assistance with setting up GCAM on UVA's High Performance Computing Cluster. The authors also acknowledge financial support from the University of Virginia Environmental Institute and the US National Science Foundation Grant Numbers CBET-2215396 to AC and BS Certain images in this publication have been obtained by the author(s) from the Wikimedia website, where they were made available under a Creative Commons license or stated to be in the public domain. Please see individual figure captions in this publication for details. To the extent that the law allows, IOP Publishing disclaim any liability that any person may suffer as a result of accessing, using or forwarding the image(s). Any reuse rights should be checked and permission should be sought if necessary from Wikimedia and/or the copyright owner (as appropriate) before using or forwarding the image(s).</t>
  </si>
  <si>
    <t>Bristol</t>
  </si>
  <si>
    <t>No.2 The Distillery, Glassfields, Avon Street, Bristol, ENGLAND</t>
  </si>
  <si>
    <t>10.1088/1748-9326/aced18</t>
  </si>
  <si>
    <t>P2KZ2</t>
  </si>
  <si>
    <t>WOS:001048992800001</t>
  </si>
  <si>
    <t>Pani, SK; Wang, SH; Lin, NH; Chantara, S; Lee, CT; Thepnuan, D</t>
  </si>
  <si>
    <t>Pani, Shantanu Kumar; Wang, Sheng-Hsiang; Lin, Neng-Huei; Chantara, Somporn; Lee, Chung-Te; Thepnuan, Duangduean</t>
  </si>
  <si>
    <t>Black carbon over an urban atmosphere in northern peninsular Southeast Asia: Characteristics, source apportionment, and associated health risks</t>
  </si>
  <si>
    <t>Biomass burning; Fossil fuel; Aethalometer model; Passive cigarette equivalence</t>
  </si>
  <si>
    <t>BIOMASS-BURNING AEROSOLS; LUNG-CANCER RISK; LIGHT-ABSORPTION MEASUREMENT; FOSSIL-FUEL CONTRIBUTION; SOLUBLE ORGANIC-CARBON; ELEMENTAL CARBON; OPTICAL-PROPERTIES; AIR-POLLUTION; PUBLIC-HEALTH; CHIANG-MAI</t>
  </si>
  <si>
    <t>Black carbon (BC) has been demonstrated to pose significant negative impacts on climate and human health. Equivalent BC (EBC) measurements were conducted using a 7-wavelength aethalometer, from March to May 2016, over an urban atmosphere, viz., Chiang Mai (98.957 degrees E, 18.795 degrees N, 373 m above sea level), Thailand in northern peninsular Southeast Asia. Daily variations in aerosol light absorption were mainly governed by open fire activities in the region. The mean mass-specific absorption cross-section (MAC) value of EBC at 880 nm was estimated to be 9.3 m(2) g(-1). The median EBC mass concentration was the highest in March (3.3 mu g m(-3)) due to biomass-burning (comprised of forest fire and agricultural burning) emissions accompanied by urban air pollution within the planetary boundary layer under favorable meteorological conditions. Daily mean absorption Angstrom exponent (AAE(470/950)) varied between 1.3 and 1.7 and could be due to variations in EBC emission sources and atmospheric mixing processes. EBC source apportionment results revealed that biomass-burning contributed significantly more to total EBC concentrations (34-92%) as compared to fossil-fuel (traffic emissions). Health risk estimates of EBC in relation to different health outcomes were assessed in terms of passive cigarette equivalence, highlighting the considerable health effects associated with exposure to EBC levels. As a necessary action, the reduction of EBC emissions would promote considerable climate and health co-benefits. (C) 2020 Elsevier Ltd. All rights reserved.</t>
  </si>
  <si>
    <t>[Pani, Shantanu Kumar; Wang, Sheng-Hsiang; Lin, Neng-Huei] Natl Cent Univ, Dept Atmospher Sci, Taoyuan 32001, Taiwan; [Lin, Neng-Huei] Natl Cent Univ, Ctr Environm Monitoring &amp; Technol, Taoyuan 32001, Taiwan; [Chantara, Somporn] Chiang Mai Univ, Fac Sci, Environm Sci Res Ctr, Chiang Mai 50200, Thailand; [Lee, Chung-Te] Natl Cent Univ, Grad Inst Environm Engn, Taoyuan 32001, Taiwan; [Thepnuan, Duangduean] Chiang Mai Univ, Fac Sci, Dept Chem, Environm Chem Res Lab, Chiang Mai 50200, Thailand</t>
  </si>
  <si>
    <t>National Central University; National Central University; Chiang Mai University; National Central University; Chiang Mai University</t>
  </si>
  <si>
    <t>Lin, NH (corresponding author), Natl Cent Univ, Dept Atmospher Sci, Taoyuan 32001, Taiwan.</t>
  </si>
  <si>
    <t>nhlin@cc.ncu.edu.tw</t>
  </si>
  <si>
    <t>Wang, Sheng-Hsiang/AAA-3905-2021; Pani, Shantanu Kumar/I-6908-2018; Wang, Sheng-Hsiang/F-4532-2010; Chantara, Somporn/C-2870-2016; Pani, Shantanu Kumar/I-6908-2018</t>
  </si>
  <si>
    <t>Pani, Shantanu Kumar/0000-0002-9949-2329; Wang, Sheng-Hsiang/0000-0001-9675-3135; Pani, Shantanu Kumar/0000-0002-9949-2329</t>
  </si>
  <si>
    <t>Ministry of Science and Technology, Taiwan [MOST 107-2811-M-008-2527, 108-2811-M-008-524]</t>
  </si>
  <si>
    <t>Ministry of Science and Technology, Taiwan(Ministry of Science and Technology, Taiwan)</t>
  </si>
  <si>
    <t>This work is supported by Ministry of Science and Technology, Taiwan (Project Number, MOST 107-2811-M-008-2527 and 108-2811-M-008-524). We thank Dr. Stephen M. Griffith for useful scientific discussions and proofreading the manuscript. We also thank the Editor and three anonymous reviewers for their insightful comments, which substantially improved the quality of the manuscript.</t>
  </si>
  <si>
    <t>10.1016/j.envpol.2019.113871</t>
  </si>
  <si>
    <t>LH1FH</t>
  </si>
  <si>
    <t>WOS:000528534600049</t>
  </si>
  <si>
    <t>Penazzi, S; Accorsi, R; Manzini, R</t>
  </si>
  <si>
    <t>Penazzi, Stefano; Accorsi, Riccardo; Manzini, Riccardo</t>
  </si>
  <si>
    <t>Planning low carbon urban-rural ecosystems: An integrated transport land-use model</t>
  </si>
  <si>
    <t>Transportation; Spatial-planning; Land-use; Food; Energy; Urban logistics</t>
  </si>
  <si>
    <t>ENVIRONMENTAL PERFORMANCE; ECOLOGICAL RELATIONSHIPS; RESIDENTIAL DENSITY; USE ALLOCATION; VEHICLE USAGE; METABOLISM; CITIES; CITY; FRAMEWORK; EMISSIONS</t>
  </si>
  <si>
    <t>As urbanization gradually modifies natural ecosystems and affects environmental sustainability, urban spatial planning can be used as a tool to address to Urban Metabolism and meet sustainable development targets. The concentration of people in urban areas makes these increasingly requiring for primary products and services as food and energy, and the fulfilment of such needs result in significant carbon emissions. The inclusion of spatial functions as agriculture and renewables in the urban planning can address to this environmental impact, but would require support-planning tools able to explore new land-use allocation strategies within an integrated urban-rural ecosystem. In this paper, we propose an optimization framework for the planning of low carbon urban-rural ecosystems that integrates transport and land-use planning and cope with urban metabolism, involving urban mobility, food transportation, energy supplies. This framework contributes to the literature as it formulates a network between urban, agricultural, energy, and carbon mitigation land-covers and optimizes the horizontal carbon fluxes within an integrated urban-rural environment. In order to minimize carbon emissions by mobility and resources (i.e. food) transportation, the framework aids identifying trade-offs between accessibility and density over the spatial distribution of resource-generating and resource-consuming land-covers. Proof of concept is provided with a realistic numerical example, propelled by real-world data from an Italian region. The land-use allocation solution makes the exemplifying urban-rural ecosystem behaving as carbon sink due to the established green areas and the configuration of the spatial uses. A sensitivity analysis is finally carried out to assess the impacts of mobility and resources transportation on the spatial urban-rural structure and associated carbon emissions. It comes out that the optimal urban configuration to mitigate carbon emissions from transportation integrates urban and rural uses and guarantees accessibility to several functions as cultivated areas, renewables and green covers, responsible to provide food, energy and air cleaning respectively to dwellers. (C) 2019 Elsevier Ltd. All rights reserved.</t>
  </si>
  <si>
    <t>[Accorsi, Riccardo; Manzini, Riccardo] Alma Mater Studiorum Univ Bologna, Dept Ind Engn, Viale Risorgimento 2, I-40136 Bologna, Italy; [Penazzi, Stefano] Univ Hull, Logist Inst, Kingston Upon Hull, N Humberside, England</t>
  </si>
  <si>
    <t>University of Bologna; University of Hull</t>
  </si>
  <si>
    <t>Accorsi, R (corresponding author), Alma Mater Studiorum Univ Bologna, Dept Ind Engn, Viale Risorgimento 2, I-40136 Bologna, Italy.</t>
  </si>
  <si>
    <t>riccardo.accorsi2@unibo.it</t>
  </si>
  <si>
    <t>; Manzini, Riccardo/I-9450-2012; Accorsi, Riccardo/AAV-9129-2020</t>
  </si>
  <si>
    <t>Accorsi, Riccardo/0000-0002-2958-923X; Penazzi, Stefano/0000-0001-6544-7979; MANZINI, RICCARDO/0000-0003-1142-9139;</t>
  </si>
  <si>
    <t>10.1016/j.jclepro.2019.06.252</t>
  </si>
  <si>
    <t>IS9TT</t>
  </si>
  <si>
    <t>WOS:000482491500009</t>
  </si>
  <si>
    <t>Liu, JW; Andersson, A; Zhong, GC; Geng, XF; Ding, P; Zhu, SY; Cheng, ZN; Zakaria, MP; Bong, CW; Li, J; Zheng, JY; Zhang, G; Gustafsson, Ö</t>
  </si>
  <si>
    <t>Liu, Junwen; Andersson, August; Zhong, Guangcai; Geng, Xiaofei; Ding, Ping; Zhu, Sanyuan; Cheng, Zhineng; Zakaria, Mohamad Pauzi; Bong, Chui Wei; Li, Jun; Zheng, Junyu; Zhang, Gan; Gustafsson, Orjan</t>
  </si>
  <si>
    <t>Isotope constraints of the strong influence of biomass burning to climate-forcing Black Carbon aerosols over Southeast Asia</t>
  </si>
  <si>
    <t>Black Carbon; Radiocarbon; Biomass burning; SE Asia</t>
  </si>
  <si>
    <t>ELEMENTAL CARBON; RADIATIVE ABSORPTION; HAZE EVENTS; RADIOCARBON; FOSSIL; C-14; GUANGZHOU; EMISSIONS; POLLUTION; EPISODE</t>
  </si>
  <si>
    <t>Black Carbon (BC) deteriorates air quality and contributes to climate warming, yet its regionally- and seasonally-varying emission sources are poorly constrained. Here we employ natural abundance radiocarbon (C-14) measurements of BC intercepted at a northern Malaysia regional receptor site, Bachok, to quantify the relative biomass vs. fossil source contributions of atmospheric BC, in a first year-round study for SE Asia (December 2015-December 2016). The annual average C-14 signature suggests as large contributions from biomass burning as from fossil fuel combustion. This is similar to findings from analogous measurements at S Asian receptors sites (similar to 50% biomass burning), while E Asia sites are dominated by fossil emission (similar to 20% biomass burning). The C-14-based source fingerprinting of BC in the dry spring season in SE Asia signals an even more elevated biomass burning contribution (similar to 70% or even higher), presumably from forest, shrub and agricultural fires. This is consistent with this period showing also elevated ratio of organic carbon to BC (up from similar to 5 to 30) and estimates of BC emissions from satellite fire data. Hence, the present study emphasizes the importance of mitigating dry season vegetation fires in SE Asia. (C) 2020 Elsevier B.V. All rights reserved.</t>
  </si>
  <si>
    <t>[Liu, Junwen; Zheng, Junyu] Jinan Univ, Inst Environm &amp; Climate Res, Guangzhou, Peoples R China; [Liu, Junwen; Zhong, Guangcai; Geng, Xiaofei; Zhu, Sanyuan; Cheng, Zhineng; Li, Jun; Zhang, Gan] Chinese Acad Sci, Guangzhou Inst Geochem, State Key Lab Organ Geochem, Guangzhou, Peoples R China; [Liu, Junwen; Andersson, August; Gustafsson, Orjan] Stockholm Univ, Dept Environm Sci, Bolin Ctr Climate Res, Stockholm, Sweden; [Ding, Ping] Chinese Acad Sci, Guangzhou Inst Geochem, State Key Lab Isotope Geochem, Guangzhou, Peoples R China; [Zakaria, Mohamad Pauzi; Bong, Chui Wei] Univ Malaya, Inst Ocean &amp; Earth Sci, Kuala Lumpur, Malaysia; [Liu, Junwen; Zheng, Junyu] Jinan Univ, Guangdong Hongkong Macau Joint Lab Collaborat Inn, Guangzhou, Peoples R China</t>
  </si>
  <si>
    <t>Jinan University; Chinese Academy of Sciences; Guangzhou Institute of Geochemistry, CAS; Stockholm University; Chinese Academy of Sciences; Guangzhou Institute of Geochemistry, CAS; Universiti Malaya; Jinan University</t>
  </si>
  <si>
    <t>Zhang, G (corresponding author), Chinese Acad Sci, Guangzhou Inst Geochem, State Key Lab Organ Geochem, Guangzhou, Peoples R China.;Gustafsson, Ö (corresponding author), Stockholm Univ, Dept Environm Sci, Bolin Ctr Climate Res, Stockholm, Sweden.</t>
  </si>
  <si>
    <t>zhanggan@gig.ac.cn; orjan.gustafsson@aces.su.se</t>
  </si>
  <si>
    <t>bong, chui wei/CAH-8709-2022; Li, Jun/C-4943-2012; Zhu, Sanyuan/B-9103-2014; Liu, Junwen/I-4451-2015; Cheng, Zhineng/E-2001-2011; li, jun/C-4943-2012; Zakaria, Mohamad/R-8652-2019; Zhang, Gan/C-3528-2012</t>
  </si>
  <si>
    <t>Li, Jun/0000-0002-3637-1642; Zakaria, Mohamed/0000-0002-2244-2139; Cheng, Zhineng/0000-0002-6598-849X; Zheng, Junyu/0000-0002-0134-9779; Huang, Zhijiong/0000-0003-4834-1763</t>
  </si>
  <si>
    <t>National Natural Science Foundation of China [41430645, 41877349]; International Partnership Program of the Chinese Academy of Sciences [132744KYSB20170002]; SKLOG Open Research Fund [SKLOG-201744]; Natural Science Foundation of Guangdong Province of China [2018A050501009]; Ministry of Higher Education, Malaysia (HiCoE Phase II Fund) [IOES-2014D]; Swedish Research Foundation VINNOVA [2016-04077]; Swedish Research Council (VR) project [2015-03279]; VR Distinguished Professorship Grant [2017-01601]; NASA Headquarters; Vinnova [2016-04077] Funding Source: Vinnova; Swedish Research Council [2016-04077, 2015-03279] Funding Source: Swedish Research Council</t>
  </si>
  <si>
    <t>National Natural Science Foundation of China(National Natural Science Foundation of China (NSFC)); International Partnership Program of the Chinese Academy of Sciences; SKLOG Open Research Fund; Natural Science Foundation of Guangdong Province of China(National Natural Science Foundation of Guangdong Province); Ministry of Higher Education, Malaysia (HiCoE Phase II Fund); Swedish Research Foundation VINNOVA(Vinnova); Swedish Research Council (VR) project(Swedish Research Council); VR Distinguished Professorship Grant; NASA Headquarters(National Aeronautics &amp; Space Administration (NASA)); Vinnova(Vinnova); Swedish Research Council(Swedish Research Council)</t>
  </si>
  <si>
    <t>This study was supported by the National Natural Science Foundation of China (grant numbers 41430645, 41877349), the International Partnership Program of the Chinese Academy of Sciences (Grant No. 132744KYSB20170002), the SKLOG Open Research Fund (SKLOG-201744), the Natural Science Foundation of Guangdong Province of China (2018A050501009), the Ministry of Higher Education, Malaysia (HiCoE Phase II Fund, grant IOES-2014D), the Swedish Research Foundation VINNOVA through grant VINNMERMarie Curie Incoming Fellow (2016-04077) as well as the Swedish Research Council (VR) project (#2015-03279) and a VR Distinguished Professorship Grant to O.G. (#2017-01601). We acknowledge the use of data products or imagery from the Land, Atmosphere Near real-time Capability for EOS (LANCE) system operated by NASA's Earth Science Data and Information System (ESDIS) with funding provided by NASA Headquarters.</t>
  </si>
  <si>
    <t>10.1016/j.scitotenv.2020.140359</t>
  </si>
  <si>
    <t>OC1VX</t>
  </si>
  <si>
    <t>WOS:000578951100001</t>
  </si>
  <si>
    <t>Wang, CA; Mao, QS; Wang, CW; Zhao, L; Ma, L; Duan, ZH; Che, DF</t>
  </si>
  <si>
    <t>Wang, Chang'an; Mao, Qisen; Wang, Chaowei; Zhao, Lin; Ma, Li; Duan, Zhonghui; Che, Defu</t>
  </si>
  <si>
    <t>Oxyfuel Cofiring Characteristics of Biomass with Ultralow Volatile Carbon-Based Fuels</t>
  </si>
  <si>
    <t>JOURNAL OF ENERGY ENGINEERING</t>
  </si>
  <si>
    <t>Carbon neutrality; Biomass; Oxyfuel combustion; Ultralow volatile carbon-based fuel (LVF)</t>
  </si>
  <si>
    <t>COMBUSTION CHARACTERISTICS; SEMI-COKE; FUSION CHARACTERISTICS; OIL-SHALE; COAL; ASH; KINETICS; BEHAVIOR; COCOMBUSTION; TEMPERATURE</t>
  </si>
  <si>
    <t>Biomass from agricultural production is a renewable energy source with a high-volatile content. Semicoke (SC) and gasification residual carbon, which are ultralow volatile carbon-based fuels (LVFs), are by-products of the coal chemical industry, which are over capacity and urgently need to be cleanly and effectively consumed. Biomass and LVFs exhibit complementary fuel characteristics, particularly the volatile content, which can potentially be coprocessed efficiently. Furthermore, oxyfuel combustion technology can not only realize carbon dioxide (CO2) capture and benefit from carbon neutrality, but also effectively reduce NOx emissions. The cocombustion of biomass and ultralow volatile fuel under oxyfuel conditions can both use individual benefits and effectively control pollutant emissions. However, the cofiring characteristics and interaction mechanisms of LVF with biomass in an oxyfuel atmosphere are yet to be fully understood. In this study, three ultralow volatile fuels and one typical biomass were selected to explore the oxyfuel cocombustion characteristics via thermogravimetric experiments. The experimental results indicated that blending with wheat straw (WS) improved the overall combustion performance, the ignition point was close to that of WS, and the burnout temperature was close to the average value of the two individual fuels. An increase in the oxygen content can effectively enhance the combustion feature of ultralow volatile fuels while it has little effect on the burnout performance of biomass. In the presence of high-content CO2, the decomposition of carbonate in ultralow volatile fuel is impeded and the decomposition temperature is slightly increased. The present investigation can promote the efficient co-utilization of inferior LVFs and biomass, which also benefits CO2 capture, carbon neutrality, and even negative carbon emissions. DOI: 10.1061/(ASCE)EY.19437897.0000876. (c) 2022 American Society of Civil Engineers.</t>
  </si>
  <si>
    <t>[Wang, Chang'an; Mao, Qisen; Wang, Chaowei; Zhao, Lin; Che, Defu] Xi An Jiao Tong Univ, Sch Energy &amp; Power Engn, State Key Lab Multiphase Flow Power Engn, Xian 710049, Peoples R China; [Ma, Li] Xi An Jiao Tong Univ, Sch Elect Engn, Xian 710049, Peoples R China; [Duan, Zhonghui] Shaanxi Prov Coal Geol Grp Co Ltd, Minist Nat &amp; Resources, Key Lab Coal Resources Explorat &amp; Comprehens Utili, Xian 710026, Peoples R China</t>
  </si>
  <si>
    <t>Xi'an Jiaotong University; Xi'an Jiaotong University; Ministry of Natural Resources of the People's Republic of China</t>
  </si>
  <si>
    <t>Wang, CA (corresponding author), Xi An Jiao Tong Univ, Sch Energy &amp; Power Engn, State Key Lab Multiphase Flow Power Engn, Xian 710049, Peoples R China.</t>
  </si>
  <si>
    <t>changanwang@mail.xjtu.edu.cn; 935990511@qq.com; 1009353563@qq.com; 1767624187@qq.com; mary248@163.com; 13679218995@163.com; dfche@mail.xjtu.edu.cn</t>
  </si>
  <si>
    <t>Qi, Mao/MTF-4984-2025; Wang, Chaowei/NFU-0717-2025</t>
  </si>
  <si>
    <t>National Natural Science Foundation of China; Shaanxi Provincial Coal Geology Group Co. Ltd.; [52176129]; [SMDZ-2020ZD-1-03]</t>
  </si>
  <si>
    <t>National Natural Science Foundation of China(National Natural Science Foundation of China (NSFC)); Shaanxi Provincial Coal Geology Group Co. Ltd.; ;</t>
  </si>
  <si>
    <t>AcknowledgmentsThe financial supports from the National Natural Science Foundation of China (No. 52176129) and the research project (SMDZ-2020ZD-1-03) of Shaanxi Provincial Coal Geology Group Co. Ltd. are greatly acknowledged.</t>
  </si>
  <si>
    <t>ASCE-AMER SOC CIVIL ENGINEERS</t>
  </si>
  <si>
    <t>RESTON</t>
  </si>
  <si>
    <t>1801 ALEXANDER BELL DR, RESTON, VA 20191-4400 USA</t>
  </si>
  <si>
    <t>0733-9402</t>
  </si>
  <si>
    <t>1943-7897</t>
  </si>
  <si>
    <t>J ENERG ENG</t>
  </si>
  <si>
    <t>J. Energy Eng.-ASCE</t>
  </si>
  <si>
    <t>10.1061/(ASCE)EY.1943-7897.0000876</t>
  </si>
  <si>
    <t>Energy &amp; Fuels; Engineering, Civil</t>
  </si>
  <si>
    <t>7B6PA</t>
  </si>
  <si>
    <t>WOS:000899251800018</t>
  </si>
  <si>
    <t>Kirschbaum, MUF; Zeng, G; Ximenes, F; Giltrap, DL; Zeldis, JR</t>
  </si>
  <si>
    <t>Kirschbaum, Miko U. F.; Zeng, Guang; Ximenes, Fabiano; Giltrap, Donna L.; Zeldis, John R.</t>
  </si>
  <si>
    <t>Towards a more complete quantification of the global carbon cycle</t>
  </si>
  <si>
    <t>AGRICULTURAL SOIL-EROSION; LAND-USE CHANGE; DIOXIDE EMISSIONS; ORGANIC-CARBON; CO2 CONCENTRATION; ATMOSPHERIC CO2; WOOD PRODUCTS; BLACK CARBON; TERRESTRIAL; LANDFILLS</t>
  </si>
  <si>
    <t>The main components of global carbon budget calculations are the emissions from burning fossil fuels, cement production, and net land-use change, partly balanced by ocean CO2 uptake and CO2 increase in the atmosphere. The difference between these terms is referred to as the residual sink, assumed to correspond to increasing carbon storage in the terrestrial biosphere through physiological plant responses to changing conditions (Delta B-phys). It is often used to constrain carbon exchange in global earth-system models. More broadly, it guides expectations of autonomous changes in global carbon stocks in response to climatic changes, including increasing CO2, that may add to, or subtract from, anthropogenic CO2 emissions. However, a budget with only these terms omits some important additional fluxes that are needed to correctly infer Delta B-phys. They are cement carbonation and fluxes into increasing pools of plastic, bitumen, harvested-wood products, and landfill deposition after disposal of these products, and carbon fluxes to the oceans via wind erosion and non-CO2 fluxes of the intermediate breakdown products of methane and other volatile organic compounds. While the global budget includes river transport of dissolved inorganic carbon, it omits river transport of dissolved and particulate organic carbon, and the deposition of carbon in inland water bodies. Each one of these terms is relatively small, but together they can constitute important additional fluxes that would significantly reduce the size of the inferred Delta B-phys. We estimate here that inclusion of these fluxes would reduce Delta B-phys from the currently reported 3.6 GtC yr(-1) down to about 2.1 GtC yr(-1) (excluding losses from land-use change). The implicit reduction in the size of Delta B-phys has important implications for the inferred magnitude of current-day biospheric net carbon uptake and the consequent potential of future biospheric feedbacks to amplify or negate net anthropogenic CO2 emissions.</t>
  </si>
  <si>
    <t>[Kirschbaum, Miko U. F.; Giltrap, Donna L.] Landcare Res Manaaki Whenua, Private Bag 11052, Palmerston North 4442, New Zealand; [Zeng, Guang] Natl Inst Water &amp; Atmospher Res, Private Bag 14901, Wellington 6021, New Zealand; [Ximenes, Fabiano] New South Wales Dept Primary Ind, Forest Sci Unit, Locked Bag 5123, Parramatta, NSW 2150, Australia; [Zeldis, John R.] Natl Inst Water &amp; Atmospher Res, POB 8602, Christchurch 8011, New Zealand</t>
  </si>
  <si>
    <t>Landcare Research - New Zealand; National Institute of Water &amp; Atmospheric Research (NIWA) - New Zealand; Department of Primary Industries &amp; Regional Development NSW; National Institute of Water &amp; Atmospheric Research (NIWA) - New Zealand</t>
  </si>
  <si>
    <t>Kirschbaum, MUF (corresponding author), Landcare Res Manaaki Whenua, Private Bag 11052, Palmerston North 4442, New Zealand.</t>
  </si>
  <si>
    <t>kirschbaumm@landcareresearch.co.nz</t>
  </si>
  <si>
    <t>; Giltrap, Donna/Q-2162-2019</t>
  </si>
  <si>
    <t>Zeng, Guang/0000-0002-9356-5021; Kirschbaum, Miko/0000-0002-5451-116X;</t>
  </si>
  <si>
    <t>New Zealand Government's Strategic Science Investment Fund (SSIF); UK Met Office for use of the MetUM; NeSI; New Zealand's MBIE's Research Infrastructure programme</t>
  </si>
  <si>
    <t>We acknowledge funding by the New Zealand Government's Strategic Science Investment Fund (SSIF), the UK Met Office for use of the MetUM, and the contribution of NeSI high-performance computing facilities funded jointly by NeSI's collaborator institutions and New Zealand's MBIE's Research Infrastructure programme (https://www.nesi.org.nz, last access: 28 January 2019).</t>
  </si>
  <si>
    <t>FEB 14</t>
  </si>
  <si>
    <t>10.5194/bg-16-831-2019</t>
  </si>
  <si>
    <t>HL3OW</t>
  </si>
  <si>
    <t>WOS:000458626400001</t>
  </si>
  <si>
    <t>Mishra, PK; Sharma, A; Prakash, A</t>
  </si>
  <si>
    <t>Mishra, Pramod Kumar; Sharma, Ankit; Prakash, Apoorv</t>
  </si>
  <si>
    <t>Current research and development in cotton harvesters: A review with application to Indian cotton production systems</t>
  </si>
  <si>
    <t>Cultivar; Defoliant; Ergonomic; Picker; Robots; Stripper</t>
  </si>
  <si>
    <t>PICKING; FEASIBILITY; QUALITY; PICKER</t>
  </si>
  <si>
    <t>High-quality cotton fiber begins with variety selection, continues with adherence to all production methods, and concludes with a well-planned and executed harvest. A potential strategy for harvesting cotton in developing nations is cotton harvesters. Even though there have been significant improvements in recent years, there are still difficulties with its implementation in developing countries. Cotton picking is entirely mechanical in developed nations. Mechanization in the agriculture business has intensified in emerging nations such as India due to rising labor prices and shortages. This review provides an overview of cotton harvesting technologies. Recent work on robotics in cotton-picking operations is discussed. The present study thoroughly discusses hand-held, self-propelled, tractor-mounted cotton harvester development and evaluation. Information in this review will fill a gap in cotton harvesting operation mechanization and may contribute to enhancing cotton-picking operation mechanization and improving picking/harvesting intelligence research.</t>
  </si>
  <si>
    <t>[Mishra, Pramod Kumar] Acharya Narendra Deva Univ Agr &amp; Technol, MCAET, Kumarganj,Ayodhya, Faizabad, Uttar Pradesh, India; [Sharma, Ankit; Prakash, Apoorv] Punjab Agr Univ, Dept Farm Machinery &amp; Power Engn, Ludhiana, Punjab, India</t>
  </si>
  <si>
    <t>Punjab Agricultural University</t>
  </si>
  <si>
    <t>Sharma, A (corresponding author), Punjab Agr Univ, Dept Farm Machinery &amp; Power Engn, Ludhiana, Punjab, India.</t>
  </si>
  <si>
    <t>ankitsharma@pau.edu</t>
  </si>
  <si>
    <t>Prakash, Apoorv/JPA-1030-2023; Mishra, Pramod/ACI-0761-2022; Sharma, Ankit/CAI-9118-2022</t>
  </si>
  <si>
    <t>Mishra, Pramod/0000-0003-2829-076X; Sharma, Ankit/0000-0002-7269-6575;</t>
  </si>
  <si>
    <t>e16124</t>
  </si>
  <si>
    <t>10.1016/j.heliyon.2023.e16124</t>
  </si>
  <si>
    <t>O2WO9</t>
  </si>
  <si>
    <t>WOS:001042476900001</t>
  </si>
  <si>
    <t>Saeed, Q; Zhang, AF; Mustafa, A; Sun, BH; Zhang, SL; Yang, XY</t>
  </si>
  <si>
    <t>Saeed, Qudsia; Zhang, Afeng; Mustafa, Adnan; Sun, Benhua; Zhang, Shulan; Yang, Xueyun</t>
  </si>
  <si>
    <t>Effect of long-term fertilization on greenhouse gas emissions and carbon footprints in northwest China: A field scale investigation using wheat-maize-fallow rotation cycles</t>
  </si>
  <si>
    <t>Carbon footprint; Nitrogen fertilization; Climate change; Organic supplements; Soil organic carbon sequestration</t>
  </si>
  <si>
    <t>NITROUS-OXIDE EMISSIONS; SOIL ORGANIC-CARBON; N2O EMISSIONS; WINTER-WHEAT; INORGANIC FERTILIZERS; PHYSICAL-PROPERTIES; AGRICULTURAL SOILS; CROPPING SYSTEMS; LOESS PLATEAU; SPRING WHEAT</t>
  </si>
  <si>
    <t>Improving agriculture intensity implies desirable crop productivity at a noteworthy environmental cost. A comprehensive comparative analysis of carbon footprint (CF) and greenhouse gases emissions (GHGs) of the two major and contrasting cropping systems is of paramount importance, which is rarely done. The life-cycle assessment (LCA) was performed to assess the alleviating potential, and differences in CF of wheat and maize crops within irrigated and rain-fed cropping systems. The two 25-year experiments included a winter wheatsummer maize cropping under irrigated conditions with five treatments: Control without fertilization (CK), combination of nitrogen and phosphorus (NP), NP plus potassium (NPK), NPK plus crop straw (S) (SNPK), and dairy manure (M) integrated with NPK (MNPK); and a winter wheat-summer fallow system under rain-fed conditions with four treatments as stated above except SNPK. Results showed that high N input increased total GHG emission and CF across cropping systems in question. The mean GHGs' emissions ranged from 2000.9 to 7586.7 kg ha(-1) for irrigated cropping system, and 192.5-1834.6 kg ha(-1) for rain-fed cropping system. Over the 25 years, without considering SOC gain, the mean CF values for irrigated and rainfed cropping systems ranged from 0.51 to 0.62 and 0.16-0.50 kg CO2 kg(-1) of grain, respectively. When SOC gains were involved in, the mean CF values for the two investigated cropping systems ranged from 0.22 to 0.42 and 0.26 to 0.29 kg CO2 kg(-1) of grain, respectively (in exclusion of SNPK). SOC sequestration played an important part in reduction of CF. Our research may provide valuable information to promote the optimization of agricultural practices and guide the design/choice of future farming systems in the region and where with similar environmental conditions.</t>
  </si>
  <si>
    <t>[Saeed, Qudsia; Zhang, Afeng; Sun, Benhua; Zhang, Shulan; Yang, Xueyun] Northwest A&amp;F Univ, Coll Nat Resources &amp; Environm, Yangling 712100, Shaanxi, Peoples R China; [Saeed, Qudsia; Zhang, Afeng; Sun, Benhua; Zhang, Shulan; Yang, Xueyun] Northwest A&amp;F Univ, Key Lab Plant Nutr &amp; Agri Environm Northwest Chin, Minist Agr &amp; Rural Affairs, Yangling 712100, Shaanxi, Peoples R China; [Mustafa, Adnan] Brno Univ Technol, Inst Chem &amp; Technol Environm Protect, Fac Chem, Purkynova 118, Brno 61200, Czech Republic; [Mustafa, Adnan] Mendel Univ Brno, Fac AgriSci, Dept Agrochem Soil Sci Microbiol &amp; Plant Nutr, Zemedelska 1, Brno 61300, Czech Republic</t>
  </si>
  <si>
    <t>Northwest A&amp;F University - China; Northwest A&amp;F University - China; Brno University of Technology; Mendel University in Brno</t>
  </si>
  <si>
    <t>Yang, XY (corresponding author), Northwest A&amp;F Univ, Coll Nat Resources &amp; Environm, Yangling 712100, Shaanxi, Peoples R China.</t>
  </si>
  <si>
    <t>xueyunyang@nwafu.edu.cn</t>
  </si>
  <si>
    <t>; Sun, Benhua/C-8420-2009; Saeed, Qudsia/AFV-9043-2022; Mustafa, Adnan/AAR-9332-2020</t>
  </si>
  <si>
    <t>Sun, Benhua/0000-0001-8490-3642; Mustafa, Adnan/0000-0003-2741-9672</t>
  </si>
  <si>
    <t>Ministry of Agriculture and Rural Affairs of China under Special funds for Operation and Maintenance of Scientific Research Facilities [G202010-2]</t>
  </si>
  <si>
    <t>Ministry of Agriculture and Rural Affairs of China under Special funds for Operation and Maintenance of Scientific Research Facilities</t>
  </si>
  <si>
    <t>The work was sponsored by the Ministry of Agriculture and Rural Affairs of China under Special funds for the Operation and Maintenance of Scientific Research Facilities (G202010-2) . We are incredibly grateful to all the staff involved in the running and managing the long-term experiments.</t>
  </si>
  <si>
    <t>10.1016/j.jclepro.2021.130075</t>
  </si>
  <si>
    <t>0G0VS</t>
  </si>
  <si>
    <t>WOS:000777773200005</t>
  </si>
  <si>
    <t>Yu, H; Zhang, Z; Zhang, Y; Song, QD; Fan, P; Xi, BD; Tan, WB</t>
  </si>
  <si>
    <t>Yu, Hong; Zhang, Zheng; Zhang, Ying; Song, Qidao; Fan, Ping; Xi, Beidou; Tan, Wenbing</t>
  </si>
  <si>
    <t>Effects of microplastics on soil organic carbon and greenhouse gas emissions in the context of straw incorporation: A comparison with different types of soil*</t>
  </si>
  <si>
    <t>Plastic mulching; Straw incorporation; Greenhouse gases; Soil organic carbon</t>
  </si>
  <si>
    <t>MICROBIAL COMMUNITY; PLASTIC FILM; MATTER; CROP; FRACTIONS; N2O; TEMPERATURE; AMENDMENT; DYNAMICS; GROWTH</t>
  </si>
  <si>
    <t>Plastic mulching and straw incorporation are common agricultural practices in China. Plastic mulching is suspected to be a significant source of microplastics in terrestrial environments. Straw incorporation has many effects on the storage of soil organic carbon (SOC) and greenhouse gas emissions, but these effects have not been studied in the presence of microplastic pollution. In this study, 365-day soil incubation experiments were conducted to assess the effects of maize straw and polyethylene microplastics on SOC fractions and carbon dioxide (CO2) and nitrous oxide (N2O) emissions in two different soils (fluvo-aquic and latosol). Against the background of straw incorporation, microplastics reduced the mineralization and decomposition of SOC, resulting in a microbially available SOC content decrease by 18.9%. In addition, microplastics were carbon-rich, but relatively stable and difficult to be used by microorganisms, thus increasing the mineral-associated SOC content by 52.5%. This indicated that microplastics had adverse effects on microbially available SOC and positive effects on mineral-associated SOC. Microplastics also decreased coarse particulate SOC ( 250 mu m), and increased nonaggregated silt and clay aggregated SOC (&lt;53 mu m). Furthermore, microplastics changed microbial community compositions, thereby reducing the CO2 and N2O emissions of straw incorporation by 26.5%-33.9% and 35.4%- 39.7%, respectively. These results showed that microplastics partially offset the increase of CO2 and N2O emissions induced by straw incorporation. Additionally, the inhibitory effect of microplastics on CO2 emissions in fluvo-aquic soil was lower than that in latosol soil, whereas the inhibitory effect on N2O emissions had the opposite trend.</t>
  </si>
  <si>
    <t>[Yu, Hong; Zhang, Ying; Xi, Beidou; Tan, Wenbing] Chinese Res Inst Environm Sci, State Key Lab Environm Criteria &amp; Risk Assessment, Beijing 100012, Peoples R China; [Yu, Hong; Zhang, Ying; Xi, Beidou; Tan, Wenbing] Chinese Res Inst Environm Sci, State Environm Protect Key Lab Simulat &amp; Control, Beijing 100012, Peoples R China; [Zhang, Zheng] Chinese Acad Environm Planning, Ctr Soil Environm Protect, Beijing 100012, Peoples R China; [Song, Qidao] Chinese Acad Trop Agr Sci, Inst Sci &amp; Tech Informat, Haikou 571101, Hainan, Peoples R China; [Fan, Ping] Nanchang Univ, Coll Environm &amp; Chem Engn, Nanchang 330031, Jiangxi, Peoples R China</t>
  </si>
  <si>
    <t>Chinese Research Academy of Environmental Sciences; Chinese Research Academy of Environmental Sciences; Chinese Academy of Environmental Planning; Chinese Academy of Tropical Agricultural Sciences; Nanchang University</t>
  </si>
  <si>
    <t>Xi, BD (corresponding author), Chinese Res Inst Environm Sci, State Key Lab Environm Criteria &amp; Risk Assessment, Beijing 100012, Peoples R China.;Xi, BD (corresponding author), Chinese Res Inst Environm Sci, State Environm Protect Key Lab Simulat &amp; Control, Beijing 100012, Peoples R China.</t>
  </si>
  <si>
    <t>xibeidou@yeah.net</t>
  </si>
  <si>
    <t>Tan, Wenbin/AAM-4661-2020; Xi, Beidou/KEE-8922-2024</t>
  </si>
  <si>
    <t>Beidou, Xi/0000-0002-1055-1581; Tan, Wenbing/0000-0001-9896-7604;</t>
  </si>
  <si>
    <t>National Key Research and Development Program of China [2020YFC1909502]; National Natural Science Foundation of China [41977030]; Joint Research Project for the Yangtze River Conservation (Phase I) [2019-LHYJ-01-0206]; Departmental Budget Project of Ministry of Ecology and Environment, The People's Republic of China [144026000000200026]</t>
  </si>
  <si>
    <t>National Key Research and Development Program of China(National Key Research &amp; Development Program of China); National Natural Science Foundation of China(National Natural Science Foundation of China (NSFC)); Joint Research Project for the Yangtze River Conservation (Phase I); Departmental Budget Project of Ministry of Ecology and Environment, The People's Republic of China</t>
  </si>
  <si>
    <t>This work was financially supported by the National Key Research and Development Program of China (No. 2020YFC1909502) , the Na-tional Natural Science Foundation of China (No. 41977030) , the Joint Research Project for the Yangtze River Conservation (Phase I) (No.2019-LHYJ-01-0206) , and the Departmental Budget Project of Ministry of Ecology and Environment, The People's Republic of China (No. 144026000000200026).</t>
  </si>
  <si>
    <t>10.1016/j.envpol.2021.117733</t>
  </si>
  <si>
    <t>UR9II</t>
  </si>
  <si>
    <t>WOS:000697053100001</t>
  </si>
  <si>
    <t>Liu, XY; Peñuelas, J; Sardans, J; Fang, YY; Wiesmeier, M; Wu, LQ; Chen, XX; Chen, YY; Jin, Q; Wang, WQ</t>
  </si>
  <si>
    <t>Liu, Xuyang; Penuelas, Josep; Sardans, Jordi; Fang, Yunying; Wiesmeier, Martin; Wu, Liangquan; Chen, Xiaoxuan; Chen, Youyang; Jin, Qiang; Wang, Weiqi</t>
  </si>
  <si>
    <t>Response of soil nutrient concentrations and stoichiometry, and greenhouse gas carbon emissions linked to change in land-use of paddy fields in China</t>
  </si>
  <si>
    <t>CO2 flux; CH4 flux; N2O flux; Global warming potential (GWP); Carbon; Nitrogen; Phosphorus; Elemental stoichiometry</t>
  </si>
  <si>
    <t>METHANE EMISSIONS; COMMUNITY STRUCTURE; CNP STOICHIOMETRY; SPECIES RICHNESS; RICE CULTIVATION; LOESS PLATEAU; NITROGEN; CO2; CONVERSION; CROPLAND</t>
  </si>
  <si>
    <t>The conversion of paddy cropping to vegetable production and other crops is a common agricultural practice, driven by economic benefits. However, soil carbon emissions and nutrient stoichiometric responses to this type of land-use change remain unclear. In this study, carbon dioxide (CO2), methane (CH4), and nitrous oxide (N2O) emissions, Soil Organic Carbon (SOC), total nitrogen (TN), and total phosphorus (TP) concentrations and their stoichiometric relationships were measured over one year, following conversion of paddy fields to vegetable and jasmine crops 10 years ago. Soil CO2 emissions increased by 1.16 and 2.35 times after conversion to vegetable and jasmine production, respectively, and soil CH4 and N2O emissions decreased by 52 and 66%, and 12.3 and 42.5%, respectively. Global warming potential increased by 0.81 and 1.67 times, respectively; the increases in total C emissions were associated with decreases in SOC concentrations. TN decreased by 27% in jasmine soils following conversion from paddy cropping, and TP concentrations increased by 11% in vegetable soils. Carbon soil stocks increased by 19% in vegetable soils and decreased by 11% in jasmine soils, due to changes in SOC concentration and bulk density. Soil CO2 and total C emissions were negatively correlated with soil TN concentration and C:P ratio (p &lt; 0.05), and CH4 emissions were positively correlated with SOC concentrations (p &lt; 0.05) and soil N:P and C:P ratios (p &lt; 0.01). Thus soil elemental stoichiometry was a good indicator of soil nutrient cycling and greenhouse gases emissions. Our findings suggest that the conversion of paddy cropping to vegetable and jasmine production increased C emissions and conversion to jasmine cropping does not lead to retention of soil nutrients, whereas TP concentration and SOC stocks increased following conversion to vegetable cropping. This study highlights that future conversion of paddy soils to vegetable or tree crops will have implications on carbon balances and global warming.</t>
  </si>
  <si>
    <t>[Liu, Xuyang; Chen, Xiaoxuan; Chen, Youyang; Jin, Qiang; Wang, Weiqi] Fujian Normal Univ, Key Lab Humid Subtrop Ecogeog Proc, Minist Educ, Fuzhou 350007, Peoples R China; [Liu, Xuyang; Chen, Xiaoxuan; Chen, Youyang; Jin, Qiang; Wang, Weiqi] Fujian Normal Univ, Inst Geog, Fuzhou 350007, Peoples R China; [Penuelas, Josep; Sardans, Jordi] UAB, Global Ecol Unit, CSIC, CREAF CSIC, Barcelona 08193, Spain; [Penuelas, Josep; Sardans, Jordi] CREAF, Catalonia 08193, Spain; [Sardans, Jordi] King Abdulaziz Univ, Fac Sci, Dept Math, Nonlinear Anal &amp; Appl Math NAAM Res Grp, POB 80257, Jeddah 21589, Saudi Arabia; [Fang, Yunying] Elizabeth Macarthur Agr Inst, NSW Dept Primary Ind, Menangle, NSW 2568, Australia; [Wiesmeier, Martin] Fujian Agr &amp; Forestry Univ, Coll Resources &amp; Environm, Int Magnesium Inst, Fuzhou 350002, Peoples R China; [Wu, Liangquan] Tech Univ Munich, TUM Sch Life Sci Weihenstephan, Chair Soil Sci, Freising Weihenstephan, Germany</t>
  </si>
  <si>
    <t>Fujian Normal University; Fujian Normal University; Centro de Investigacion Ecologica y Aplicaciones Forestales (CREAF-CERCA); Consejo Superior de Investigaciones Cientificas (CSIC); Autonomous University of Barcelona; Centro de Investigacion Ecologica y Aplicaciones Forestales (CREAF-CERCA); King Abdulaziz University; Department of Primary Industries &amp; Regional Development NSW; Fujian Agriculture &amp; Forestry University; Technical University of Munich</t>
  </si>
  <si>
    <t>Wang, WQ (corresponding author), Fujian Normal Univ, Key Lab Humid Subtrop Ecogeog Proc, Minist Educ, Fuzhou 350007, Peoples R China.;Sardans, J (corresponding author), UAB, Global Ecol, CSIC, CREAF CSIC, Barcelona 08193, Spain.</t>
  </si>
  <si>
    <t>j.sardans@creaf.uab.cat; wangweiai15@163.com</t>
  </si>
  <si>
    <t>Fang, Yunying/AAU-7401-2021; Penuelas, Josep/D-9704-2011; Sardans, Jordi/AEM-0228-2022; Penuelas, Josep/D-9704-2011; Wu, Liangquan/NIU-5156-2025; Wiesmeier, Martin/N-3066-2014; Liu, Xuyang/AAE-2499-2022; Wang, weiqi/AAN-8209-2020</t>
  </si>
  <si>
    <t>Penuelas, Josep/0000-0002-7215-0150; Fang, Yunying/0000-0001-6531-0657; Penuelas, Josep/0000-0002-7215-0150; wang, weiqi/0000-0001-8503-0978;</t>
  </si>
  <si>
    <t>National Science Foundation of China [42077086]; Spanish Government [PID2019-110521GB-I00]; European Research Council Synergy grant [ERC-SyG-2013-610028 IMBALANCE-P]; Catalan Government [SGR 2017-1005]</t>
  </si>
  <si>
    <t>National Science Foundation of China(National Natural Science Foundation of China (NSFC)); Spanish Government(Spanish Government); European Research Council Synergy grant(European Research Council (ERC)); Catalan Government</t>
  </si>
  <si>
    <t>The authors would like to thank Xingfu Lan, Xu Song, and Xiaoting Huang for their assistance with field sampling. Funding was provided by the National Science Foundation of China (42077086), Spanish Government grant PID2019-110521GB-I00, the European Research Council Synergy grant ERC-SyG-2013-610028 IMBALANCE-P, the Catalan Government grant SGR 2017-1005.</t>
  </si>
  <si>
    <t>10.1016/j.catena.2021.105326</t>
  </si>
  <si>
    <t>APR 2021</t>
  </si>
  <si>
    <t>SH8AF</t>
  </si>
  <si>
    <t>WOS:000654354000025</t>
  </si>
  <si>
    <t>Jerray, A; Rumpel, C; Le Roux, X; Massad, RS; Chabbi, A</t>
  </si>
  <si>
    <t>Jerray, A.; Rumpel, C.; Le Roux, X.; Massad, R. S.; Chabbi, A.</t>
  </si>
  <si>
    <t>N2O emissions from cropland and grassland management systems are determined by soil organic matter quality and soil physical parameters rather than carbon stock and denitrifier abundances</t>
  </si>
  <si>
    <t>N 2 O emissions; Temporary grassland management; Lignin monomers; Soil physical properties; Soil microbial ecology; Long-term field experiment</t>
  </si>
  <si>
    <t>NITROUS-OXIDE EMISSIONS; NITRIFIER DENITRIFICATION; CHEMICAL-COMPOSITION; GAS DIFFUSIVITY; PORE-SPACE; NOSZ GENES; LIGNIN; SEQUESTRATION; FERTILIZATION; COMMUNITY</t>
  </si>
  <si>
    <t>Understanding the relationship between soil organic carbon (SOC) storage and nitrous oxide (N2O) fluxes is crucial for sustainable land management. In this study, we examined this relationship in different cropping systems, including annual cropping systems with a legacy of varying durations (3 versus 6 years) of grasslands and continuous grassland. The aim was to investigate (1) the effect of contrasting management practices on SOC storage and N2O emissions under field conditions and (2) to elucidate the drivers of N2O emissions under controlled conditions. Our findings showed that despite the influence of management practices on SOC stocks, no trade-off was observed between SOC storage at two different depths (10 and 30 cm) and N2O emissions. Furthermore, we found that SOC chemical signature, soil physical characteristics, and denitrifier activity, rather than SOC content and denitrifier abundances, were the primary factors determining N2O emission potential. It is interesting to note that although functional gene abundances were related to denitrifier activities, they did not show a direct correlation with N2O emissions. This suggests that environmental factors and microbial activity play a more substantial role in determining N2O emissions than denitrifier abundances. The inclusion of temporary grassland in a crop rotation had a positive impact on SOC stocks, either by improving or maintaining their levels. However, as a trade-off the introduction of temporary grassland also led to higher N2O emissions. These increased emissions were not directly associated with the amount of SOC stored in soil but rather with changes in soil physical and chemical conditions. Our research emphasizes the importance of understanding the complex relationships among soil characteristics, management techniques, and N2O emissions to develop practical mitigation plans for building more sustainable agricultural systems.</t>
  </si>
  <si>
    <t>[Jerray, A.; Chabbi, A.] INRAE, UR P3F, F-86600 Lusignan, France; [Jerray, A.; Massad, R. S.; Chabbi, A.] Univ Paris Saclay, INRAE, AgroParisTech, UMR EcoSys, F-91120 Palaiseau, France; [Rumpel, C.] Sorbonne Univ, CNRS, IEES UMR, INRAE,IRD,UPEC, F-75005 Paris, France; [Le Roux, X.] Univ Lyon, Univ Lyon 1, INRAE, LEM UMR 1418,INRAE,CNRS, F-69622 Villeurbanne, France</t>
  </si>
  <si>
    <t>INRAE; Universite Paris Saclay; AgroParisTech; INRAE; Universite Paris-Est-Creteil-Val-de-Marne (UPEC); Institut de Recherche pour le Developpement (IRD); INRAE; Centre National de la Recherche Scientifique (CNRS); Sorbonne Universite; Universite Paris Cite; Centre National de la Recherche Scientifique (CNRS); Universite Claude Bernard Lyon 1; INRAE</t>
  </si>
  <si>
    <t>Chabbi, A (corresponding author), INRAE, UR P3F, F-86600 Lusignan, France.</t>
  </si>
  <si>
    <t>abad.chabbi@inrae.fr</t>
  </si>
  <si>
    <t>Massad, Raia/P-1430-2019; Rumpel, Cornelia/A-2001-2015</t>
  </si>
  <si>
    <t>CLAND project [ANR-16-CONV-0003]; Region Nouvelle-Aquitaine; AnaEE France [ANR-11-359 INBS-0001]</t>
  </si>
  <si>
    <t>CLAND project; Region Nouvelle-Aquitaine(Region Nouvelle-Aquitaine); AnaEE France</t>
  </si>
  <si>
    <t>The lead author, Asma Jerray (PhD) , was funded by the CLAND project (ANR-16-CONV-0003) and the Region Nouvelle-Aquitaine. The research leading to these results has also receivedprincipally from the AnaEE France (ANR-11-359 INBS-0001) .</t>
  </si>
  <si>
    <t>10.1016/j.soilbio.2023.109274</t>
  </si>
  <si>
    <t>GX6C6</t>
  </si>
  <si>
    <t>WOS:001156001500001</t>
  </si>
  <si>
    <t>Di Stefano, V; Di Domenico, G; Menta, M; Pontuale, E; Bianchini, L; Colantoni, A</t>
  </si>
  <si>
    <t>Di Stefano, Valerio; Di Domenico, Giorgia; Menta, Michele; Pontuale, Elisa; Bianchini, Leonardo; Colantoni, Andrea</t>
  </si>
  <si>
    <t>Comparison between Different Mechanization Systems: Economic Sustainability of Harvesting Poplar Plantations in Italy</t>
  </si>
  <si>
    <t>poplar cultivation; mechanization; harvesting systems; economic sustainability</t>
  </si>
  <si>
    <t>FINANCIAL ANALYSIS; ROTATION; CULTIVATION; PRODUCTIVITY; BIOENERGY; STORAGE; CROPS</t>
  </si>
  <si>
    <t>After a period of significant development, poplar cultivation in Italy has been in rapid decline since the 1980s. Because of its marked ductility, poplar is valuable for both wood furniture and energy production. Production could be increased through mechanization, because innovative machinery and equipment can reduce the exposure of forest workers to common risk factors, ensure greater and better productivity, increase the efficiency of operations, and reduce costs. There are various systems for the mechanization of poplar production (from traditional to advanced and pushed mechanization). We describe the range of possibilities (in terms of both the techniques adopted and the machines used) for planting, harvesting, and chopping poplar. Based on our analysis of operating costs, we conclude that mechanized poplar production could reduce the average cost per ton of wood chips (EUR/t) by 23% and the average gross cost per hectare of wood chips produced (EUR/ha) by 37%.</t>
  </si>
  <si>
    <t>[Di Stefano, Valerio; Di Domenico, Giorgia; Menta, Michele; Bianchini, Leonardo; Colantoni, Andrea] Univ Tuscia, Dept Agr &amp; Forest Sci DAFNE, Via S Camillo Lellis snc, I-01100 Viterbo, Italy; [Di Stefano, Valerio; Di Domenico, Giorgia; Pontuale, Elisa] Council Agr Res &amp; Econ, Res Ctr Forestry &amp; Wood, Via Valle Quist 27, I-00166 Rome, Italy</t>
  </si>
  <si>
    <t>Tuscia University; Consiglio per la Ricerca in Agricoltura e L'analisi Dell'economia Agraria (CREA)</t>
  </si>
  <si>
    <t>Di Domenico, G (corresponding author), Univ Tuscia, Dept Agr &amp; Forest Sci DAFNE, Via S Camillo Lellis snc, I-01100 Viterbo, Italy.;Di Domenico, G (corresponding author), Council Agr Res &amp; Econ, Res Ctr Forestry &amp; Wood, Via Valle Quist 27, I-00166 Rome, Italy.</t>
  </si>
  <si>
    <t>valerio.distefano@crea.gov.it; giorgia.didomenico@crea.gov.it; l.bianchini@unitus.it; colantoni@unitus.it</t>
  </si>
  <si>
    <t>; Di Stefano, Valerio/KDP-3348-2024</t>
  </si>
  <si>
    <t>Di Stefano, Valerio/0000-0002-7473-7297; Bianchini, Leonardo/0000-0002-0783-9883; Di Domenico, Giorgia/0009-0003-9890-6272</t>
  </si>
  <si>
    <t>Ministry for Education, University, and Research (MIUR) initiative [2023-27]</t>
  </si>
  <si>
    <t>Ministry for Education, University, and Research (MIUR) initiative</t>
  </si>
  <si>
    <t>This research was carried out within the framework of the Ministry for Education, University, and Research (MIUR) initiative, the Department of Excellence (Law 232/2016) DAFNE Project 2023-27, Digital, Intelligent, Green and Sustainable (acronym: D.I. Ver.So) and under the General Agreement between Council for Agricultural Research and Economics and University of Tuscia.</t>
  </si>
  <si>
    <t>10.3390/f15030397</t>
  </si>
  <si>
    <t>MC7K3</t>
  </si>
  <si>
    <t>WOS:001191491200001</t>
  </si>
  <si>
    <t>Lang, PV; Hay, N; Tam, DT; Han, NT</t>
  </si>
  <si>
    <t>Pham Van Lang; Nguyen Hay; Do Thi Tam; Nguyen Tien Han</t>
  </si>
  <si>
    <t>The Role of Agricultural Mechanization in the Process of Modernization of Agriculture in Vietnam - Contribution of Agricultural Engieering to Production After Years of Conducting Renovation</t>
  </si>
  <si>
    <t>Agricultural mechanization; Cobb-Douglas production function; Agricultural engineering and Machinery investment</t>
  </si>
  <si>
    <t>Agricultural Mechanization plays an important role in the production process that directly affects modernization of the agriculture in Vietnam. The higher the rate of operations being mechanized in production and post-harvest processing, the higher contribution level to job creation and income rising for labors in economic regions nationwide. In this paper, the regression analysis methodology based upon Cobb-Douglas production function has been applied in evaluating the results on application of agricultural engineering and machinery and identifying its relationship with production growth rate. Up to present, the agricultural mechanization in Vietnam has got significant achievements. The mechanized rate on land preparation reaches up approx. 68-70%; of sowing, planting and transplanting: 35%; crops care: 60-80%; rice harvesting: 60%; etc., Based upon the studies and analysis of current status, the contents have been made and approaches have been recommended aiming to promote agricultural mechanization in the forth coming period.</t>
  </si>
  <si>
    <t>[Pham Van Lang] Vietnam Inst Agr Engn &amp; Post Harvest Technol, Hanoi, Vietnam; [Nguyen Hay] Nong Lam Univ, Ho Chi Minh City, Vietnam; [Do Thi Tam] Thai Nguyen Univ Technol, Thai Nguyen, Vietnam; [Nguyen Tien Han] Univ Ind Hanoi, Hanoi, Vietnam</t>
  </si>
  <si>
    <t>Nong Lam University; Thai Nguyen University</t>
  </si>
  <si>
    <t>Lang, PV (corresponding author), Vietnam Inst Agr Engn &amp; Post Harvest Technol, Hanoi, Vietnam.</t>
  </si>
  <si>
    <t>langttcd16@gmail.com; nguyenhay@gmail.com</t>
  </si>
  <si>
    <t>Nguyễn, Tiến Hán/0000-0003-0536-5431; Nguyen, Hay/0000-0002-4068-9362</t>
  </si>
  <si>
    <t>JF2LG</t>
  </si>
  <si>
    <t>WOS:000491216300012</t>
  </si>
  <si>
    <t>Dudenhefner, A</t>
  </si>
  <si>
    <t>Dudenhefner, Andrej</t>
  </si>
  <si>
    <t>CONSTRUCTIVE MANY-ONE REDUCTION FROM THE HALTING PROBLEM TO SEMI-UNIFICATION (EXTENDED VERSION)</t>
  </si>
  <si>
    <t>LOGICAL METHODS IN COMPUTER SCIENCE</t>
  </si>
  <si>
    <t>constructive mathematics; computability theory; undecidability; semi-unification; mechanization; Coq</t>
  </si>
  <si>
    <t>UNDECIDABILITY; IMMORTALITY</t>
  </si>
  <si>
    <t>. Semi-unification is the combination of first-order unification and first-order matching. The undecidability of semi-unification has been proven by Kfoury, Tiuryn, and Urzyczyn in the 1990s by Turing reduction from Turing machine immortality (existence of a diverging configuration). The particular Turing reduction is intricate, uses noncomputational principles, and involves various intermediate models of computation. The present work gives a constructive many-one reduction from the Turing machine halting problem to semi-unification. This establishes RE-completeness of semi-unification under many-one reductions. Computability of the reduction function, constructivity of the argument, and correctness of the argument is witnessed by an axiom-free mechanization in the Coq proof assistant. Arguably, this serves as comprehensive, precise, and surveyable evidence for the result at hand. The mechanization is incorporated into the existing, wellmaintained Coq library of undecidability proofs. Notably, a variant of Hoop er's argument for the undecidability of Turing machine immortality is part of the mechanization.</t>
  </si>
  <si>
    <t>[Dudenhefner, Andrej] TU Dortmund Univ, Dortmund, Germany</t>
  </si>
  <si>
    <t>Dortmund University of Technology</t>
  </si>
  <si>
    <t>Dudenhefner, A (corresponding author), TU Dortmund Univ, Dortmund, Germany.</t>
  </si>
  <si>
    <t>andrej.dudenhefner@cs.tu-dortmund.de</t>
  </si>
  <si>
    <t>LOGICAL METHODS COMPUTER SCIENCE E V</t>
  </si>
  <si>
    <t>KLEISTSTR 22, BRAUNSCHWEIG, 38124, GERMANY</t>
  </si>
  <si>
    <t>1860-5974</t>
  </si>
  <si>
    <t>LOG METH COMPUT SCI</t>
  </si>
  <si>
    <t>Log. Meth. Comput. Sci.</t>
  </si>
  <si>
    <t>10.48550/arXiv.2208.13428</t>
  </si>
  <si>
    <t>Computer Science, Theory &amp; Methods; Logic</t>
  </si>
  <si>
    <t>Computer Science; Science &amp; Technology - Other Topics</t>
  </si>
  <si>
    <t>CI7H9</t>
  </si>
  <si>
    <t>WOS:001124684200001</t>
  </si>
  <si>
    <t>Gomes, VM; Miranda, MS Jr; Silva, LJ; Teixeira, MV; Teixeira, G; Schossler, K; de Freitas, DAF; Oliveira, DMD</t>
  </si>
  <si>
    <t>Gomes, Vanessa Matos; Miranda Junior, Marcos Santana; Silva, Liberio J.; Teixeira, Marcus Vinicius; Teixeira, Guilherme; Schossler, Karina; de Freitas, Diego Antonio Franca; Oliveira, Dener Marcio da Silva</t>
  </si>
  <si>
    <t>A Global Meta-Analysis of Soil Carbon Stock in Agroforestry Coffee Cultivation</t>
  </si>
  <si>
    <t>sustainable production; regenerative agriculture; climate change; soil quality; diversified systems; climate-smart agriculture</t>
  </si>
  <si>
    <t>ORGANIC-CARBON; CLIMATE-CHANGE; MINAS-GERAIS; SHADE TREES; SYSTEMS; SEQUESTRATION; STORAGE; MONOCULTURE; CERRADO; BIOMASS</t>
  </si>
  <si>
    <t>Given the climate crisis, the search for sustainable production with potential to reduce excess of carbon dioxide (CO2) in the atmosphere has been the subject of global agreements. Soils are fundamental carbon storage systems, with a relevant role in CO2 mitigation emissions. Considering coffee as an important commodity for several countries and agroforestry systems (AFSs) as important allies for mitigating greenhouse gases emitted by the agricultural sector, this study aimed to investigate the ability of coffee plantations in AFSs to mitigate greenhouse gas emissions, through soil carbon sequestration. For this purpose, we performed a meta-analysis of 45 AFSs, including simple and diversified ones, from a detailed literature search of scientific research investigating soil organic carbon in AFSs including coffee cultivation. Overall, no effect of AFSs on carbon stock change rates was found, but an increment of soil carbon storage was observed when comparing AFSs with conventional coffee cultivation. Generally, climatic variables and soil texture positively affect soil carbon stock. When comparing diversified and simple AFSs, the first had a positive effect on carbon stock change rates. Agroforestry coffee showed capacity to mitigate climate effects through carbon storage in the soil, especially when the system is diversified. This is a climate-smart strategy and should be implemented in preference to conventional coffee cultivation.</t>
  </si>
  <si>
    <t>[Gomes, Vanessa Matos; Miranda Junior, Marcos Santana; Silva, Liberio J.; Teixeira, Marcus Vinicius; Teixeira, Guilherme; Schossler, Karina; de Freitas, Diego Antonio Franca; Oliveira, Dener Marcio da Silva] Univ Fed Vicosa, Lab Manejo &amp; Conservacao Solo &amp; Agua, Inst Ciencias Agr, Campus Florestal, BR-35690000 Florestal, MG, Brazil; [Gomes, Vanessa Matos; Oliveira, Dener Marcio da Silva] Univ Sao Paulo, Res Ctr Gas Innovat, Escola Politecn, BR-05508900 Sao Paulo, SP, Brazil; [Miranda Junior, Marcos Santana; Schossler, Karina] Univ Fed Vicosa, Postgrad Program Manejo &amp; Conservacao Sistemas Nat, Campus Florestal, BR-35690000 Florestal, MG, Brazil</t>
  </si>
  <si>
    <t>Universidade Federal de Vicosa; Universidade de Sao Paulo; Universidade Federal de Vicosa</t>
  </si>
  <si>
    <t>Gomes, VM (corresponding author), Univ Fed Vicosa, Lab Manejo &amp; Conservacao Solo &amp; Agua, Inst Ciencias Agr, Campus Florestal, BR-35690000 Florestal, MG, Brazil.;Gomes, VM (corresponding author), Univ Sao Paulo, Res Ctr Gas Innovat, Escola Politecn, BR-05508900 Sao Paulo, SP, Brazil.</t>
  </si>
  <si>
    <t>vanessa.matos@ufv.br</t>
  </si>
  <si>
    <t>; OLIVEIRA, DENER/G-9878-2018; de Freitas, Diego/ABG-7078-2020; Silva, Libério/AHC-5655-2022; Gomes, Vanessa/HLG-3009-2023; , Dener/G-9878-2018</t>
  </si>
  <si>
    <t>Silva, Libério/0000-0002-6677-4645; , Dener/0000-0001-9514-9147; França de Freitas, Diego Antonio/0000-0003-2154-638X</t>
  </si>
  <si>
    <t>RCGI-Research Centre for Gas Innovation, hosted by the University of So Paulo (USP); FAPESP-So Paulo Research Foundation [2014/50279-4, 2020/15230-5]; ANP (Brazil's National Oil); ANP (Natural Gas); ANP (Biofuels Agency); Fundaco Agrisus [PA 3882/24]</t>
  </si>
  <si>
    <t>RCGI-Research Centre for Gas Innovation, hosted by the University of So Paulo (USP); FAPESP-So Paulo Research Foundation; ANP (Brazil's National Oil); ANP (Natural Gas); ANP (Biofuels Agency); Fundaco Agrisus</t>
  </si>
  <si>
    <t>This research was funded by the RCGI-Research Centre for Gas Innovation, hosted by the University of S &amp; atilde;o Paulo (USP) and sponsored by FAPESP-S &amp; atilde;o Paulo Research Foundation (2014/50279-4 and 2020/15230-5) and Shell Brasil; strategically supported by ANP (Brazil's National Oil, Natural Gas and Biofuels Agency) through the R&amp;D levy regulation; and also funded by the Fundac &amp; atilde;o Agrisus (PA 3882/24).</t>
  </si>
  <si>
    <t>10.3390/agronomy15020480</t>
  </si>
  <si>
    <t>Y1P3P</t>
  </si>
  <si>
    <t>WOS:001429928700001</t>
  </si>
  <si>
    <t>De Rosa, D; Ballabio, C; Lugato, E; Fasiolo, M; Jones, A; Panagos, P</t>
  </si>
  <si>
    <t>De Rosa, Daniele; Ballabio, Cristiano; Lugato, Emanuele; Fasiolo, Matteo; Jones, Arwyn; Panagos, Panos</t>
  </si>
  <si>
    <t>Soil organic carbon stocks in European croplands and grasslands: How much have we lost in the past decade?</t>
  </si>
  <si>
    <t>carbon sequestration; climate change; cropland; grassland; land use change; LUCAS; sustainability</t>
  </si>
  <si>
    <t>BULK-DENSITY; LAND-COVER; CLIMATE; SEQUESTRATION; MANAGEMENT; STORAGE; TOPSOIL; PRODUCTIVITY; UNCERTAINTY; STABILITY</t>
  </si>
  <si>
    <t>The EU Soil Strategy 2030 aims to increase soil organic carbon (SOC) in agricultural land to enhance soil health and support biodiversity as well as to offset greenhouse gas emissions through soil carbon sequestration. Therefore, the quantification of current SOC stocks and the spatial identification of the main drivers of SOC changes is paramount in the preparation of agricultural policies aimed at enhancing the resilience of agricultural systems in the EU. In this context, changes of SOC stocks (Delta SOCs) for the EU + UK between 2009 and 2018 were estimated by fitting a quantile generalized additive model (qGAM) on data obtained from the revisited points of the Land Use/Land Cover Area Frame Survey (LUCAS) performed in 2009, 2015 and 2018. The analysis of the partial effects derived from the fitted qGAM model shows that land use and land use change observed in the 2009, 2015 and 2018 LUCAS campaigns (i.e. continuous grassland [GGG] or cropland [CCC], conversion grassland to cropland (GGC or GCC) and vice versa [CGG or CCG]) was one of the main drivers of SOC changes. The CCC was the factor that contributed to the lowest negative change on Delta SOC with an estimated partial effect of -0.04 +/- 0.01 g C kg(-1) year(-1), while the GGG the highest positive change with an estimated partial effect of 0.49 +/- 0.02 g C kg(-1) year(-1). This confirms the C sequestration potential of converting cropland to grassland. However, it is important to consider that local soil and environmental conditions may either diminish or enhance the grassland's positive effect on soil C storage. In the EU + UK, the estimated current (2018) topsoil (0-20 cm) SOC stock in agricultural land below 1000 m a.s.l was 9.3 Gt, with a Delta SOC of -0.75% in the period 2009-2018. The highest estimated SOC losses were concentrated in central-northern countries, while marginal losses were observed in the southeast.</t>
  </si>
  <si>
    <t>[De Rosa, Daniele; Ballabio, Cristiano; Lugato, Emanuele; Jones, Arwyn; Panagos, Panos] Joint Res Ctr JRC, European Commiss, Ispra, Italy; [Fasiolo, Matteo] Univ Bristol, Sch Math, Bristol, England</t>
  </si>
  <si>
    <t>European Commission Joint Research Centre; EC JRC ISPRA Site; University of Bristol</t>
  </si>
  <si>
    <t>De Rosa, D (corresponding author), Joint Res Ctr JRC, European Commiss, Ispra, Italy.</t>
  </si>
  <si>
    <t>daniele.de-rosa@ec.europa.eu</t>
  </si>
  <si>
    <t>Ballabio, Cristiano/A-6142-2014; Panagos, Panos/F-1699-2011; lugato, emanuele/F-6947-2010; De Rosa, Daniele/ABI-4308-2020</t>
  </si>
  <si>
    <t>Fasiolo, Matteo/0000-0003-2335-5536; Panagos, Panos/0000-0003-1484-2738; lugato, emanuele/0000-0002-8947-352X; Jones, Arwyn/0000-0002-8552-6137; De Rosa, Daniele/0000-0002-0441-7722</t>
  </si>
  <si>
    <t>Directorate-General Climate Action (DG-CLIMA) of the European Commission; Directorate-General Environment (DG-ENV), Directorate-General Agriculture and Rural Development (DG-AGRI)</t>
  </si>
  <si>
    <t>The LUCAS Soil sample collection is supported by the Directorate-General Environment (DG-ENV), Directorate-General Agriculture and Rural Development (DG-AGRI) and Directorate-General Climate Action (DG-CLIMA) of the European Commission.</t>
  </si>
  <si>
    <t>10.1111/gcb.16992</t>
  </si>
  <si>
    <t>GF3O1</t>
  </si>
  <si>
    <t>WOS:001092415000001</t>
  </si>
  <si>
    <t>Karki, S; Elsgaard, L; Kandel, TP; Laerke, PE</t>
  </si>
  <si>
    <t>Karki, Sandhya; Elsgaard, Lars; Kandel, Tanka P.; Laerke, Poul Erik</t>
  </si>
  <si>
    <t>Carbon balance of rewetted and drained peat soils used for biomass production: a mesocosm study</t>
  </si>
  <si>
    <t>ecosystem respiration; gross primary production; groundwater level; methane; net ecosystem exchange; paludiculture; reed canary grass</t>
  </si>
  <si>
    <t>REED CANARY GRASS; GREENHOUSE-GAS EMISSIONS; CUT-AWAY PEATLAND; DISSOLVED ORGANIC-MATTER; PHRAGMITES-AUSTRALIS; CUTAWAY PEATLANDS; METHANE EMISSION; WATER-TABLE; CO2 FLUX; EXCHANGE</t>
  </si>
  <si>
    <t>Rewetting of drained peatlands has been recommended to reduce CO2 emissions and to restore the carbon sink function of peatlands. Recently, the combination of rewetting and biomass production (paludiculture) has gained interest as a possible land use option in peatlands for obtaining such benefits of lower CO2 emissions without losing agricultural land. This study quantified the carbon balance (CO2, CH4 and harvested biomass C) of rewetted and drained peat soils under intensively managed reed canary grass (RCG) cultivation. Mesocosms were maintained at five different groundwater levels (GWLs), that is 0, 10, 20cm below the soil surface, representing rewetted peat soils, and 30 and 40cm below the soil surface, representing drained peat soils. Net ecosystem exchange (NEE) of CO2 and CH4 emissions was measured during the growing period of RCG (May to September) using transparent and opaque closed chamber methods. The average dry biomass yield was significantly lower from rewetted peat soils (12Mgha(-1)) than drained peat soils (15Mgha(-1)). Also, CO2 fluxes of gross primary production (GPP) and ecosystem respiration (ER) from rewetted peat soils were significantly lower than from drained peat soils, but net uptake of CO2 was higher from rewetted peat soils. Cumulative CH4 emissions were negligible (0.01g CH(4)m(-2)) from drained peat soils but were significantly higher (4.9g CH(4)m(-2)) from rewetted peat soils during measurement period (01 May-15 September 2013). The extrapolated annual C balance was 0.03 and 0.68kg C m(-2) from rewetted and drained peat soils, respectively, indicating that rewetting and paludiculture can reduce the loss of carbon from peatlands.</t>
  </si>
  <si>
    <t>[Karki, Sandhya; Elsgaard, Lars; Kandel, Tanka P.; Laerke, Poul Erik] Aarhus Univ, Dept Agroecol, Blichers Alle 20, DK-8830 Aarhus, Denmark</t>
  </si>
  <si>
    <t>Aarhus University</t>
  </si>
  <si>
    <t>Karki, S (corresponding author), Aarhus Univ, Dept Agroecol, Blichers Alle 20, DK-8830 Aarhus, Denmark.</t>
  </si>
  <si>
    <t>sandhya.karki@agro.au.dk</t>
  </si>
  <si>
    <t>Kandel, Tanka/M-5764-2016; Lærke, Poul Erik/F-2954-2016; Karki, Sandhya/AAM-2131-2020; Elsgaard, Lars/A-7698-2013; Kandel, Tanka/AAG-1016-2020; Lærke, Poul/F-2954-2016</t>
  </si>
  <si>
    <t>Kandel, Tanka/0000-0003-2543-9602; Lærke, Poul Erik/0000-0002-2224-3893; Elsgaard, Lars/0000-0003-0058-7609; Karki, Sandhya/0000-0003-3178-4381;</t>
  </si>
  <si>
    <t>Danish Centre for Foodand Agriculture (DCA) as a part of the BioBase programme</t>
  </si>
  <si>
    <t>The study was partly supported by the Danish Centre for Foodand Agriculture (DCA) as a part of the BioBase programme. The authors would like to thank Morten Skov for the construction of the transparent chamber and Bodil Stensgaard, Finn Henning Christensen, Holger Bak, JOrgen M. Nielsen and Stig T. Rasmussen for their technical supports.</t>
  </si>
  <si>
    <t>10.1111/gcbb.12334</t>
  </si>
  <si>
    <t>DS6SR</t>
  </si>
  <si>
    <t>Green Published, gold</t>
  </si>
  <si>
    <t>WOS:000380913500010</t>
  </si>
  <si>
    <t>Tao, Z; Li, ZY; Li, SY; Zhao, LJ; Gregory, AS; Fan, XY; Liu, CC; Hu, C; Liu, Y</t>
  </si>
  <si>
    <t>Tao, Zhen; Li, Zhongyang; Li, Siyi; Zhao, Lijuan; Gregory, Andrew S.; Fan, Xiangyang; Liu, Chuncheng; Hu, Chao; Liu, Yuan</t>
  </si>
  <si>
    <t>Assessment of the influence of inhibitors on carbon dioxide and methane emissions from soils irrigated with alternative water resources</t>
  </si>
  <si>
    <t>IRRIGATION SCIENCE</t>
  </si>
  <si>
    <t>WHEAT-MAIZE ROTATION; WASTE-WATER; ORGANIC-MATTER; NITROUS-OXIDE; CO2 EFFLUX; NITRIFICATION; UREASE; FIELD; TERM; FRACTIONS</t>
  </si>
  <si>
    <t>The reduction of greenhouse gas releases from agricultural systems is of great significance in mitigating climate change. It is necessary to implement measures to mitigate carbon dioxide (CO2) and methane (CH4) emissions from soils irrigated using alternative waters, promoting the reuse of livestock wastewater and reclaimed water. The use of nitrapyrin, a nitrification inhibitor, and N-(N-butyl) thiophosphoric triamide, a urease inhibitor, has been explored to reduce greenhouse gas emissions. However, the impact of the inhibitor application on the soil carbon cycle as well as CO2 and CH4 emissions under alternative water irrigation remains unclear. To address this, a pot experiment with two consecutive cycles, irrigated with reclaimed water, livestock wastewater, and groundwater control was conducted. Nitrapyrin and/or N-(N-butyl) thiophosphoric triamide were applied to investigate the impacts of inhibitors on carbon cycle functional genes, soil properties, and CO2 and CH4 releases under alternative water irrigation. The results showed that inhibitor application increased the enrichment level of carbon degradation functional genes (xylA and cdh) and CO2 emission in the first cycle of this experiment, but had the opposite effect in the second cycle, regardless of the water type. The effects of increasing the relative abundance of methane-oxidizing genes (mmoX and mxaF) and lessening CH4 emissions were more pronounced when the nitrification inhibitor was applied alone. The combined application of inhibitors did not significantly promote the suppression of CO2 and CH4 emissions compared to a single application. Based on the structural equation model, soil NH4+-N and labile organic carbon were identified as key factors influencing the enrichment level of carbon cycle functional genes, as well as CO2 and CH4 emissions. This study suggests that soil labile organic carbon may influence the modulation of CO2 and CH4 releases by inhibitors and that multiple cycles of studies should be adopted when assessing the environmental impacts of inhibitors and alternative water irrigation.</t>
  </si>
  <si>
    <t>[Tao, Zhen; Li, Zhongyang; Li, Siyi; Zhao, Lijuan; Fan, Xiangyang; Liu, Chuncheng; Hu, Chao; Liu, Yuan] Inst Farmland Irrigat CAAS, Agr Water &amp; Soil Environm Field Sci Observat Res S, Xinxiang 453002, Peoples R China; [Li, Zhongyang] Natl Res &amp; Observat Stn Shangqiu Agroecol Syst, Shangqiu 476000, Peoples R China; [Gregory, Andrew S.] Rothamsted Res, Protecting Crops &amp; Environm, Harpenden AL5 2JQ, England</t>
  </si>
  <si>
    <t>UK Research &amp; Innovation (UKRI); Biotechnology and Biological Sciences Research Council (BBSRC); Rothamsted Research</t>
  </si>
  <si>
    <t>Liu, Y (corresponding author), Inst Farmland Irrigat CAAS, Agr Water &amp; Soil Environm Field Sci Observat Res S, Xinxiang 453002, Peoples R China.</t>
  </si>
  <si>
    <t>liuyuanfiri88@163.com</t>
  </si>
  <si>
    <t>Li, Zhongyang/AAL-7195-2020; Liu, Yuan/E-8918-2016; Liu, Yuan/E-8918-2016; Zhao, Lijuan/HNI-7241-2023</t>
  </si>
  <si>
    <t>Fan, Xiangyang/0000-0002-4049-8734; Liu, Yuan/0000-0001-8672-6301; Liu, Yuan/0000-0001-8672-6301; Gregory, Anew/0000-0001-7123-0784</t>
  </si>
  <si>
    <t>the National Key Research and Development Program of China [2021YFD1700900]; National Key Research and Development Program of China [242300420230]; Natural Science Foundation of Henan Province [NKYCQN-2021-028]; Talent Cultivation Program of Chinese Academy of Agricultural Sciences; Agricultural Science and Technology Innovation Program (ASTIP) of Chinese Academy of Agricultural Sciences</t>
  </si>
  <si>
    <t>the National Key Research and Development Program of China(National Key Research &amp; Development Program of China); National Key Research and Development Program of China(National Key Research &amp; Development Program of China); Natural Science Foundation of Henan Province; Talent Cultivation Program of Chinese Academy of Agricultural Sciences; Agricultural Science and Technology Innovation Program (ASTIP) of Chinese Academy of Agricultural Sciences</t>
  </si>
  <si>
    <t>This work was supported by the National Key Research and Development Program of China (2021YFD1700900), the Natural Science Foundation of Henan Province (242300420230), the Talent Cultivation Program of Chinese Academy of Agricultural Sciences (NKYCQN-2021-028) and the Agricultural Science and Technology Innovation Program (ASTIP) of Chinese Academy of Agricultural Sciences.</t>
  </si>
  <si>
    <t>0342-7188</t>
  </si>
  <si>
    <t>1432-1319</t>
  </si>
  <si>
    <t>IRRIGATION SCI</t>
  </si>
  <si>
    <t>Irrig. Sci.</t>
  </si>
  <si>
    <t>10.1007/s00271-024-00988-6</t>
  </si>
  <si>
    <t>2TQ3B</t>
  </si>
  <si>
    <t>WOS:001353785700001</t>
  </si>
  <si>
    <t>Andrade, HJ; Vega, A; Martínez-Salinas, A; Villanueva, C; Jiménez-Trujillo, JA; Betanzos-Simon, JE; Pérez , E; Ibrahim, M; Sepúlveda, LCJ</t>
  </si>
  <si>
    <t>Andrade, Hernan J.; Vega, Andres; Martinez-Salinas, Alejandra; Villanueva, Cristobal; Jimenez-Trujillo, Jose Antonio; Betanzos-Simon, Juan Edduardo; Perez, Edwin; Ibrahim, Muhammad; Sepulveda, Claudia J. L.</t>
  </si>
  <si>
    <t>The carbon footprint of livestock farms under conventional management and silvopastoral systems in Jalisco, Chiapas, and Campeche (Mexico)</t>
  </si>
  <si>
    <t>biomass; greenhouse gasses; mitigation; land use systems; carbon capture</t>
  </si>
  <si>
    <t>HUMID TROPICS; EMISSIONS; SOIL; SEQUESTRATION; AGROFORESTRY; ALLOCATION; BIOMASS</t>
  </si>
  <si>
    <t>Livestock production is one of the most important agricultural sources of greenhouses gasses (GHG). Transforming the livestock sector is a critical task to mitigate the effects of climate change, and the implementation of silvopastoral systems (SPS) may be a way to do so. Carbon footprint (CF) estimation was carried out for 131 conventional livestock farms (CONF) and SPS farms (SPSF) selected in the states of Jalisco, Chiapas and Campeche (Mexico). GHG emissions were estimated based on interviews with the farmers and farm monitoring to collect information about management, milk production and the live weight gain (LWG) of calves (for meat production) using national emission factors. Emissions from animals, fossil fuels, electricity and nitrogen fertilizers were estimated using Tier I and II criteria. Land use distribution was recorded for each farm, and their carbon fixation in total biomass and soils was estimated using studies from tropical Latin America. CF was estimated for area and for production of milk and the LWG of calves. SPSF had lower GHG emissions, higher carbon fixation rates and a better CF than CONF (5.7 vs. 8.0 t CO2e/ha/year; 6.9 vs. 5.5 t C/ha/year and - 5.0 vs. -2.9 t CO2e/ha/year, respectively). The CF of milk production and calf LWG were - 68.6 to -4.6 kg CO2e/kg and - 3.2 to -0.1 t CO2e/kg, respectively. Our results highlight the importance of implementing SPS to mitigate climate change in livestock production, given its contribution to GHG emissions and the importance of capturing atmospheric carbon in biomass and soils. National and regional policies should focus on promoting implementing SPS as an active and effective strategy for improving CF in livestock farms.</t>
  </si>
  <si>
    <t>[Andrade, Hernan J.] Univ Tolima, Fac Ingn Agron, Grp Invest PROECUT, Ibague, Colombia; [Vega, Andres; Villanueva, Cristobal; Jimenez-Trujillo, Jose Antonio; Betanzos-Simon, Juan Edduardo; Perez, Edwin; Ibrahim, Muhammad; Sepulveda, Claudia J. L.] Trop Agr Res &amp; Higher Educ Ctr CATIE, Livestock &amp; Environm Management Unit, Turrialba, Costa Rica; [Martinez-Salinas, Alejandra] Trop Agr Res &amp; Higher Educ Ctr CATIE, Forest &amp; Biodivers Prod Landscapes, Turrialba, Costa Rica</t>
  </si>
  <si>
    <t>Universidad del Tolima; CATIE - Centro Agronomico Tropical de Investigacion y Ensenanza; CATIE - Centro Agronomico Tropical de Investigacion y Ensenanza</t>
  </si>
  <si>
    <t>Andrade, HJ (corresponding author), Univ Tolima, Fac Ingn Agron, Grp Invest PROECUT, Ibague, Colombia.</t>
  </si>
  <si>
    <t>hjandrade@ut.edu.co</t>
  </si>
  <si>
    <t>MAY 24</t>
  </si>
  <si>
    <t>10.3389/fsufs.2024.1363994</t>
  </si>
  <si>
    <t>TM9I0</t>
  </si>
  <si>
    <t>WOS:001241794300001</t>
  </si>
  <si>
    <t>Núñez-Cárdenas, P; San Miguel, G; Báñales, B; Alvarez, S; Diezma, B; Correa, EC</t>
  </si>
  <si>
    <t>Nunez-Cardenas, Pablo; San Miguel, Guillermo; Banales, Brigitte; Alvarez, Sergio; Diezma, Belen; Cristina Correa, Eva</t>
  </si>
  <si>
    <t>The carbon footprint of stone fruit production: Comparing process-based life cycle assessment and environmentally extended input-output analysis</t>
  </si>
  <si>
    <t>Cost inventory; Material-energy inventory; Greenhouse gases emissions; Agricultural sustainability; Nectarine</t>
  </si>
  <si>
    <t>CONSUMPTION; EMISSIONS; IMPACT</t>
  </si>
  <si>
    <t>The development of sustainable products and practices must be supported by methodologies capable of evalu-ating their environmental performance in an objective and systematic manner. The most popular tool for carbon footprint (CF) assessment is arguably process-based life cycle assessment (pLCA). However, interest in tools such as environmentally extended input-output analysis (EEIOA) is growing rapidly due to the convenience of using economic-based inventories rather than material/energy-based ones. The objective of this investigation is to evaluate divergences between conventional pLCA and EEIOA in the analysis of CF using the production of stone fruits as a case study. The study uses a cradle to grave approach and it is based on a detailed economic, material and energy life cycle inventory of nectarines produced in Southeast Spain. The analyses yielded 1.07 kg CO2 eq./ kg for the EEIOA and 0.899 kg CO2 eq./kg for the pLCA. This difference, which might sound acceptable, is due to the compensation of larger opposing discrepancies in the various stages and processes that make up the product life cycle. Thus, pLCA yielded significantly higher total CF emissions than EEIOA (0.23 EEIOA/pLCA ratio) in the upstream stage (agricultural and packaging processes). The opposite is observed in the core stage, where EEIOA carbon emissions were significantly higher than those calculated by pLCA (4.38 EEIOA/pLCA ratio). Differences in the downstream stage (mainly distribution and storage, and EoL phase) were less notable (1.40 EEIOA/pLCA ratio). Economic-based inputs, used in EEIOA (such as labour and service costs) and unaccounted for in pLCA, may be partly responsible for such divergences, while others should be linked to differences in the impact assessment procedures followed by each of these methodologies. These results raise some doubts about the potential of EEIOA and calls for further research on the validity, complementarity and the application domains of these methodologies. In any case, both modelling approaches agree in identifying the distribution and storage life cycle stages as main contributors to carbon emissions, calling for the implementation of measures to promote the consumption of seasonal and local fruit.</t>
  </si>
  <si>
    <t>[Nunez-Cardenas, Pablo; Banales, Brigitte; Diezma, Belen; Cristina Correa, Eva] Univ Politecn Madrid, Lab Propiedades Fis &amp; Tecn Avanzadas Agroalimenta, Escuela Tecn Super Ingn Agron Alimentaria &amp; Biosi, Ave Puerta Hierro 2-4, Madrid 28040, Spain; [Nunez-Cardenas, Pablo] Univ Magallanes, Ctr Horticultura &amp; Floricultura, Inst Patagonia, Ave Manuel Bulnes 01890, Punta Arenas 6213029, Chile; [San Miguel, Guillermo] Univ Politecn Madrid, Dept Ingn Quim Ind &amp; Medio Ambiente, Escuela Tecn Super Ingn Ind ETSII, Grp Agroenerget, Calle Jose Gutierrez Abascal 2, Madrid 28006, Spain; [Alvarez, Sergio] Univ Politecn Madrid, Dept Ingn &amp; Morfol Terreno, Escuela Tecn Super Ingn Caminos Canales &amp; Puertos, Calle Prof Aranguren 3, Madrid 28040, Spain</t>
  </si>
  <si>
    <t>Universidad Politecnica de Madrid; Universidad de Magallanes; Universidad Politecnica de Madrid; Universidad Politecnica de Madrid</t>
  </si>
  <si>
    <t>Correa, EC (corresponding author), Univ Politecn Madrid, Lab Propiedades Fis &amp; Tecn Avanzadas Agroalimenta, Escuela Tecn Super Ingn Agron Alimentaria &amp; Biosi, Ave Puerta Hierro 2-4, Madrid 28040, Spain.;San Miguel, G (corresponding author), Univ Politecn Madrid, Dept Ingn Quim Ind &amp; Medio Ambiente, Escuela Tecn Super Ingn Ind ETSII, Grp Agroenerget, Calle Jose Gutierrez Abascal 2, Madrid 28006, Spain.</t>
  </si>
  <si>
    <t>g.sanmiguel@upm.es; evacristina.correa@upm.es</t>
  </si>
  <si>
    <t>Correa, Eva/F-8794-2016; Alvarez, Sergio/H-9727-2015; Alvarez, Sergio/H-9727-2015; DIEZMA IGLESIAS, BELEN/P-8624-2014; Belen, Diezma/P-8624-2014</t>
  </si>
  <si>
    <t>Correa, Eva/0000-0002-4508-5066; Núñez-Cárdenas, Pablo M/0000-0003-4004-8941; Alvarez, Sergio/0000-0001-7204-502X; Alvarez, Sergio/0000-0001-7204-502X; DIEZMA IGLESIAS, BELEN/0000-0001-6882-2842;</t>
  </si>
  <si>
    <t>ERDF a way of making Europe; Agencia Nacional de Investigacion y Desarrollo (Chile) /Becas Chile de Doctorado en el Extranjero 2019; Universidad de Magallanes from Chile; Frutas Esther S.A. (Spain); MCIN/AEI [RTI2018-099139-B-C22]; [72200450]</t>
  </si>
  <si>
    <t>ERDF a way of making Europe; Agencia Nacional de Investigacion y Desarrollo (Chile) /Becas Chile de Doctorado en el Extranjero 2019; Universidad de Magallanes from Chile; Frutas Esther S.A. (Spain); MCIN/AEI;</t>
  </si>
  <si>
    <t>The present study has been financially supported by: Spanish project RTI2018-099139-B-C22 funded by MCIN/AEI/10.13039/501100011033/and by ERDF a way of making Europe; by Agencia Nacional de Investigacion y Desarrollo (Chile) /Becas Chile de Doctorado en el Extranjero 2019 (n 72200450) ; and by Universidad de Magallanes from Chile. Besides, the authors would like to thank the cooperation of the company Frutas Esther S.A. (Spain) .</t>
  </si>
  <si>
    <t>DEC 25</t>
  </si>
  <si>
    <t>10.1016/j.jclepro.2022.135130</t>
  </si>
  <si>
    <t>6U0RG</t>
  </si>
  <si>
    <t>WOS:000894077700006</t>
  </si>
  <si>
    <t>López, MA; Correa, C; Hetz, EJ</t>
  </si>
  <si>
    <t>Lopez, Marco A.; Correa, Christian; Hetz, Edmundo J.</t>
  </si>
  <si>
    <t>Future Trends in the Chilean Agricultural Machinery Industry</t>
  </si>
  <si>
    <t>The principal objective of this work is to identify the future trends in the agricultural machinery industry according to the specific features of the Chilean production systems. These features are related to the different weather conditions along the country as well as the fragmentation degree of the agricultural productions, aimed mostly to the export market. Government policies support the mechanization of small farmers according to their requirements. The research on agricultural mechanizations is carried out by universities supported by enterprise or governmental funds, aimed to develop automated and robotics systems.</t>
  </si>
  <si>
    <t>[Lopez, Marco A.; Correa, Christian; Hetz, Edmundo J.] Univ Concepcion, Fac Agr Engn, Av V Mendez 595, Chillan, Chile</t>
  </si>
  <si>
    <t>Universidad de Concepcion</t>
  </si>
  <si>
    <t>Correa, C (corresponding author), Univ Concepcion, Fac Agr Engn, Av V Mendez 595, Chillan, Chile.</t>
  </si>
  <si>
    <t>malopez@udec.cl; ccorrea@udec.cl; ehetz@udec.cl</t>
  </si>
  <si>
    <t>Correa, Christian/AAP-1823-2020</t>
  </si>
  <si>
    <t>WOS:000481561000013</t>
  </si>
  <si>
    <t>O'Brien, D; Lanigan, G; Tresise, M; Wynn, S; Kealy, J; Ryan, P; Spink, J</t>
  </si>
  <si>
    <t>O'Brien, D.; Lanigan, G.; Tresise, M.; Wynn, S.; Kealy, J.; Ryan, P.; Spink, J.</t>
  </si>
  <si>
    <t>A life cycle assessment model of Irish grain cropping systems focused on carbon footprint</t>
  </si>
  <si>
    <t>IRISH JOURNAL OF AGRICULTURAL AND FOOD RESEARCH</t>
  </si>
  <si>
    <t>Climate change; crop yield; environment; nitrogen fertiliser; sustainable production</t>
  </si>
  <si>
    <t>GREENHOUSE-GAS EMISSIONS; IMPACT; FARM; MILK; TOOL</t>
  </si>
  <si>
    <t>Life cycle assessment (LCA) models are used to determine the carbon footprint of grain. Few have been adapted for Irish conditions. We developed an LCA for Irish grain that computed greenhouse gas emissions from cradle to farm-gate. It utilised national research to determine agricultural emissions and carbon sequestration in CO2 equivalents (CO2e). Gross and net emissions were quantified based on inputs levels and related to crop yield at standard moisture levels to derive carbon footprints. The model was applied to a random sample of large-scale Tirlan growers (n = 48). Approximately 95% of their output in 2022 was accounted for by six crops: winter wheat (WW), winter barley (WB), spring malting barley (SMB), winter oats (WO), winter oilseed rape (WOSR) and spring feed barley (SFB). In gross terms, WO, WW, WB and WOSR had mean carbon footprints of 207, 217, 229 and 384 kg CO(2)e/t, respectively. Spring crops' mean gross carbon footprints ranged from 207 kg CO2/t for oats to 238 kg CO2/t for SFB. Average gross carbon footprints for these large-scale growers were in the lower end of international estimates. Mean footprints for OSR were significantly greater than cereals or beans. However, in energy terms, net carbon footprint for OSR did not differ from other crops (excluding oats), which underscores the importance of footprint units. Net footprints were lower than gross footprints for oats, barley and OSR due to straw incorporation and were near net zero for WO. Further enhancing sequestration through management change will support the sector achieve net zero.</t>
  </si>
  <si>
    <t>[O'Brien, D.; Lanigan, G.] Teagasc, Soils &amp; Environm Res Ctr, Johnstown Castle, Co Wexford, Ireland; [Tresise, M.; Wynn, S.] ADAS Climate &amp; Sustainabil, Battlegate Rd, Cambridge, England; [Kealy, J.; Ryan, P.] Tirlan, Headquarters &amp; Collaborat Hub, Kilkenny, Ireland; [Spink, J.] Teagasc, Crops Res Ctr, Carlow, Ireland</t>
  </si>
  <si>
    <t>Teagasc; Teagasc; United States Department of Energy (DOE); Oak Ridge National Laboratory</t>
  </si>
  <si>
    <t>O'Brien, D (corresponding author), Teagasc, Soils &amp; Environm Res Ctr, Johnstown Castle, Co Wexford, Ireland.</t>
  </si>
  <si>
    <t>donal.mobrien@teagasc.ie</t>
  </si>
  <si>
    <t>Kealy, John/H-9900-2014; Tresise, Megan/HHS-6173-2022</t>
  </si>
  <si>
    <t>Tirlan co-operative</t>
  </si>
  <si>
    <t>The authors are grateful for the financial support provided by Tirlan co-operative. Special thanks to the growers who participated in the study and for sharing farm activity data with the project team. We acknowledge John Hogan for meticulously recording farm information and thank the Tirlan grain team for assisting with the identification and selection of growers. The authors also wish to thank the anonymous reviewers for their thoughtful comments and suggestions.</t>
  </si>
  <si>
    <t>TEAGASC</t>
  </si>
  <si>
    <t>CARLOW</t>
  </si>
  <si>
    <t>OAK PARK, CARLOW 00000, IRELAND</t>
  </si>
  <si>
    <t>0791-6833</t>
  </si>
  <si>
    <t>2009-9029</t>
  </si>
  <si>
    <t>IRISH J AGR FOOD RES</t>
  </si>
  <si>
    <t>Irish J. Agr. Food Res.</t>
  </si>
  <si>
    <t>10.15212/ijafr-2024-0008</t>
  </si>
  <si>
    <t>Agriculture, Multidisciplinary; Food Science &amp; Technology</t>
  </si>
  <si>
    <t>8EM1K</t>
  </si>
  <si>
    <t>WOS:001586739300001</t>
  </si>
  <si>
    <t>Van Hoof, S</t>
  </si>
  <si>
    <t>Van Hoof, Sam</t>
  </si>
  <si>
    <t>Climate Change Mitigation in Agriculture: Barriers to the Adoption of Carbon Farming Policies in the EU</t>
  </si>
  <si>
    <t>agriculture; carbon farming; climate change mitigation; food system; sustainability</t>
  </si>
  <si>
    <t>FRAMEWORK; OPTIONS</t>
  </si>
  <si>
    <t>Climate change mitigation in the agricultural sector is essential to keep the goal of limiting global warming to 1.5 &amp; DEG;C within reach. This article explores why there has been a limited adoption of carbon farming policies in the EU, despite the potential for emissions reductions and carbon sequestration at the farm level. Desk research revealed that EU Member States are increasingly setting sectoral climate targets for agriculture, but there is a lack of policies addressing carbon farming. Governments have largely refrained from using laws and regulatory instruments, with strategies and plans representing the large majority of carbon farming policies in the EU. Moreover, interviews with policymakers and other stakeholders revealed that the main barriers to the adoption of carbon farming policies are concerns over carbon leakage and competitive advantage, the need for a just transition, and structural issues in the food value chain. Despite being regarded by researchers as a main barrier to carbon farming, the agricultural lobby is not perceived as a barrier by policymakers, who emphasise the importance of involving farmers in the policy process. A key implication of these findings is that carbon farming policies need to form part of a wider food system transformation in order to successfully contribute to climate change mitigation.</t>
  </si>
  <si>
    <t>[Van Hoof, Sam] London Sch Econ &amp; Polit Sci, Dept Geog &amp; Environm, London, England</t>
  </si>
  <si>
    <t>University of London; London School Economics &amp; Political Science</t>
  </si>
  <si>
    <t>Van Hoof, S (corresponding author), London Sch Econ &amp; Polit Sci, Dept Geog &amp; Environm, London, England.</t>
  </si>
  <si>
    <t>sam.vanhoof@alumni.lse.ac.uk</t>
  </si>
  <si>
    <t>; Van Hoof, Sam/JXX-5187-2024</t>
  </si>
  <si>
    <t>Van Hoof, Sam/0009-0009-1043-8122;</t>
  </si>
  <si>
    <t>10.3390/su151310452</t>
  </si>
  <si>
    <t>M2CB2</t>
  </si>
  <si>
    <t>WOS:001028301600001</t>
  </si>
  <si>
    <t>Karpavicius, LM; Elofsson, K; Levin, G; Taghizadeh-Toosi, A</t>
  </si>
  <si>
    <t>Karpavicius, Luiza M.; Elofsson, Katarina; Levin, Gregor; Taghizadeh-Toosi, Arezoo</t>
  </si>
  <si>
    <t>The role of transaction costs for the optimal supply of carbon sequestration from cover crops in Denmark</t>
  </si>
  <si>
    <t>Agriculture; carbon sequestration; cost-effectiveness; cover crops; transaction costs</t>
  </si>
  <si>
    <t>AGRICULTURAL SOILS; SEQUESTERING CARBON; POLICY INSTRUMENTS; ADOPTION; GROWTH; UNCERTAINTY; MITIGATION; EFFICIENCY; ABATEMENT; TIME</t>
  </si>
  <si>
    <t>Climate change suggests the use of carbon dioxide removal technologies, such as soil carbon sequestration in agriculture, to complement mitigation efforts. However, there could be challenges with implementing sequestration measures due to transaction costs, such as farm expenses for research, information, and planning. The purpose of this study is to investigate how transaction costs affect the cost-effective supply of carbon sequestration from cover crops in Denmark. We develop a model of the optimal adoption of cover crops, accounting for farm spatial heterogeneity and potentially nonlinear transaction costs to adoption. In the presence of transaction costs and at a carbon price of 220 /tCO2e (suggested as an appropriate level of a CO2e tax for Danish agriculture) increased cover crop cultivation will only offset 15.4 tCO2e per year, corresponding to 0.002% of the Danish agricultural emissions reduction target. Assuming zero transaction costs overestimates the annual sequestration supply at the given price by 13,030 tCO2e. Total abatement and transaction costs for cover cropping are on average 78 per ha and transaction costs can represent up to 90% of total costs for low carbon prices. Transaction costs also alter the cost-effective distribution of carbon sequestration across space and farm size groups.</t>
  </si>
  <si>
    <t>[Karpavicius, Luiza M.; Elofsson, Katarina; Levin, Gregor] Aarhus Univ, iCLIMATE Aarhus Univ Interdisciplinary Ctr Climate, Dept Environm Sci, Sect Environm Social Sci &amp; Geog ENVS ESGO, Aarhus, Denmark; [Elofsson, Katarina] Sodertorn Univ, Dept Social Sci, Huddinge, Sweden; [Taghizadeh-Toosi, Arezoo] Danish Technol Inst DTI, Taastrup, Denmark; [Taghizadeh-Toosi, Arezoo] UK Ctr Ecol &amp; Hydrol, Lancaster, England</t>
  </si>
  <si>
    <t>Aarhus University; Sodertorn University; Danish Technological Institute; UK Centre for Ecology &amp; Hydrology (UKCEH)</t>
  </si>
  <si>
    <t>Karpavicius, LM (corresponding author), Aarhus Univ, Dept Environm Sci, Sect Environm Social Sci &amp; Geog ENVS ESGO, Frederiksborgvej 399, DK-4000 Roskilde, Denmark.;Karpavicius, LM (corresponding author), Aarhus Univ, iCLIMATE Aarhus Univ Interdisciplinary Ctr Climate, Frederiksborgvej 399, DK-4000 Roskilde, Denmark.</t>
  </si>
  <si>
    <t>luiza.karpavicius@envs.au.dk</t>
  </si>
  <si>
    <t>; Taghizadeh-Toosi, Arezoo/C-2858-2016</t>
  </si>
  <si>
    <t>Karpavicius, Luiza Martins/0000-0003-4596-5052; Elofsson, Katarina/0000-0003-1653-3437; Levin, Gregor/0000-0002-5223-914X</t>
  </si>
  <si>
    <t>Independent Research Fund Denmark [0217-00124B]; EU Horizon project MARVIC [101112942]</t>
  </si>
  <si>
    <t>Independent Research Fund Denmark(Det Frie Forskningsrad (DFF)); EU Horizon project MARVIC</t>
  </si>
  <si>
    <t>This work was funded by the Independent Research Fund Denmark [grant # 0217-00124B] and the EU Horizon project MARVIC [grant # 101112942].</t>
  </si>
  <si>
    <t>10.1080/17583004.2025.2497870</t>
  </si>
  <si>
    <t>2FW1E</t>
  </si>
  <si>
    <t>WOS:001481667000001</t>
  </si>
  <si>
    <t>Ren, ZL; Dong, Y; Lin, D; Zhang, LJ; Fan, YL; Xia, XH</t>
  </si>
  <si>
    <t>Ren, Zhiling; Dong, Yun; Lin, Dong; Zhang, Lijun; Fan, Yuling; Xia, Xiaohua</t>
  </si>
  <si>
    <t>Managing energy-water-carbon-food nexus for cleaner agricultural greenhouse production: A control system approach</t>
  </si>
  <si>
    <t>Greenhouse; Energy-water-carbon-food nexus; Carbon emissions; Social cost of carbon; Sensitivity analysis</t>
  </si>
  <si>
    <t>PREDICTIVE CONTROL; CLIMATE; COST; OPTIMIZATION; STRATEGIES; ENRICHMENT; DIOXIDE; MODEL</t>
  </si>
  <si>
    <t>Poverty, food insecurity and climate change arc global issues facing humanity, threatening social, economic and environmental sustainability. Greenhouse cultivation provides a potential solution to these challenges. l lowever, some greenhouses operate inefficiently and need to be optimized for more economical and cleaner crop production. In this paper, an economic model predictive control (EMPC) method for a greenhouse is proposed. The goal is to manage the energy-water-carbon-food nexus for cleaner production and sustainable development. First, an optimization model that minimizes the greenhouse's operating costs, including costs associated with greenhouse heating/cooling, ventilation, irrigation, carbon dioxide (CO2) supply and carbon emissions taking into account both the CO2 equivalent (CO2-eq) emissions caused by electrical energy consumption and the negative emissions caused by crop photosynthesis, is developed and solved. Then, a sensitivity analysis is carried out to study the impact of electricity price, supplied CO2 price and social cost of carbon (SCC) on the optimization results. Finally, a model predictive control (MPC) controller is designed to track the optimal temperature, relative humidity, CO2 concentration and incoming radiation power in presence of system disturbances. Simulation results show that the proposed approach increases the operating costs by R186 (R denotes the South African currency, Rand) but reduces the total cost by R827 and the carbon emissions by 1.16 tons when compared with a baseline method that minimizes operating costs only. The total cost is more sensitive to changes in SCC than that in electricity price and supplied CO2 price. The MPC controller has good tracking performance under different levels of system disturbances. Greenhouse environmental factors are kept within specified ranges suitable for crop growth, which increases crop yields. This study can provide effective guidance for growers' decision-making to achieve sustainable development goals.</t>
  </si>
  <si>
    <t>[Ren, Zhiling; Dong, Yun; Lin, Dong] Liaoning Tech Univ, Fac Elect &amp; Control Engn, Huludao 125100, Peoples R China; [Lin, Dong; Xia, Xiaohua] Univ Pretoria, Dept Elect Elect &amp; Comp Engn, ZA-0002 Pretoria, South Africa; [Zhang, Lijun] Huazhong Univ Sci &amp; Technol, Sch Artificial Intelligence &amp; Automat, Wuhan 430074, Peoples R China; [Fan, Yuling] Huazhong Agr Univ, Coll Informat, Wuhan 430074, Peoples R China</t>
  </si>
  <si>
    <t>Liaoning Technical University; University of Pretoria; Huazhong University of Science &amp; Technology; Huazhong Agricultural University</t>
  </si>
  <si>
    <t>Lin, D (corresponding author), Liaoning Tech Univ, Fac Elect &amp; Control Engn, Huludao 125100, Peoples R China.</t>
  </si>
  <si>
    <t>donglin0705@gmail.com</t>
  </si>
  <si>
    <t>Lin, Dong/GRS-7320-2022; Zhang, Lijun/R-3152-2016; Dong, Yun/LJL-8919-2024</t>
  </si>
  <si>
    <t>Dong, Yun/0009-0002-5377-6841;</t>
  </si>
  <si>
    <t>Liaoning Province Educational Department [LJKZ0332]; National Natural Science Foundation of China [61903149]</t>
  </si>
  <si>
    <t>Liaoning Province Educational Department; National Natural Science Foundation of China(National Natural Science Foundation of China (NSFC))</t>
  </si>
  <si>
    <t>The authors would like to thank the operator of the website (https:// www.fl aticon.com /) for providing copyright -free vector icons used in Figs. 2 and 3. This work is supported by the Liaoning Province Educational Department (Grant No. LJKZ0332) and the National Natural Science Foun- dation of China (Grant No. 61903149) .</t>
  </si>
  <si>
    <t>10.1016/j.scitotenv.2022.157756</t>
  </si>
  <si>
    <t>5F7CT</t>
  </si>
  <si>
    <t>WOS:000866470300013</t>
  </si>
  <si>
    <t>Mu, Y; Huang, Y; Li, D; Zhu, ZY; Yu, SR; Xie, F</t>
  </si>
  <si>
    <t>Mu, Yu; Huang, Ying; Li, Dong; Zhu, Zhiyu; Yu, Shirui; Xie, Feng</t>
  </si>
  <si>
    <t>Revealing the comprehensive effect of mechanization on sauce-flavor Daqu through high-throughput sequencing and multi-dimensional metabolite profiling</t>
  </si>
  <si>
    <t>FOOD RESEARCH INTERNATIONAL</t>
  </si>
  <si>
    <t>Sauce-flavor Daqu; Mechanization; Microbial community; Metabolomics; Multivariate statistical analysis</t>
  </si>
  <si>
    <t>MICROBIAL COMMUNITY; FERMENTATION; DIVERSITY; SYSTEMS; ACID</t>
  </si>
  <si>
    <t>Mechanization has emerged as a focal point in the modernization of traditional enterprises, offering standardized production and labor reduction benefits. However, little is known about how mechanization affects the microbiota and metabolite profiles of Daqu . To address this gap, we conducted a comprehensive comparison between traditional and mechanical sauce-flavor Daqu using a multi-omics approach. Results showed that mechanical Daqu exhibited higher acidity, amino acid nitrogen and enzyme activity, alongside lower fat and moisture levels. Following mechanization, lactic acid bacteria (LAB), Staphylococcus , Aspergillus and Saccharomycopsis were enriched and identified as biomarkers, whereas Oceanobacillus , Monascus and Scopulariopsis were notably decreased. Furthermore, significant disparities in metabolic profiles were observed between the two types of Daqu based on GC -MS, GC-IMS, and LC-MS/MS analyses. The content of volatile compounds was significantly higher in mechanical Daqu (332.82 +/- 22.69 mg/kg), while that of non-volatile compounds was higher in traditional Daqu (753.44 +/- 41.82 mg/kg). Moreover, OPLS-DA models identified 44 volatile and 31 non-volatile compounds as differential metabolites. Multivariate statistical analysis indicated that bacteria and fungi primarily contributed to protease and saccharification activities, respectively. Additionally, the co-occurrence network revealed that Oceanobacillus and Scopulariopsis were closely associated with non-volatile compound formation, while LAB and Rhizopus significantly influenced volatile compound production. These findings elucidate the multi-dimensional relationship between mechanization and Daqu quality, offering insights to advance the modernization of traditional industries.</t>
  </si>
  <si>
    <t>[Mu, Yu; Li, Dong; Yu, Shirui; Xie, Feng] Moutai Inst, Dept Food Sci &amp; Engn, Renhuai 564507, Peoples R China; [Mu, Yu; Li, Dong; Yu, Shirui; Xie, Feng] Moutai Inst, Guizhou Hlth Wine Brewing Technol Engn Res Ctr, Renhuai 564507, Peoples R China; [Huang, Ying] Moutai Inst, Dept Brewing Engn, Renhuai 564507, Peoples R China; [Zhu, Zhiyu] Kweichow Moutai Co Ltd, Renhuai 564501, Peoples R China</t>
  </si>
  <si>
    <t>Moutai Institute; Moutai Institute; Moutai Institute</t>
  </si>
  <si>
    <t>Yu, SR; Xie, F (corresponding author), Moutai Inst, Dept Food Sci &amp; Engn, Renhuai 564507, Peoples R China.</t>
  </si>
  <si>
    <t>ysr312004@126.com; xiefeng@mtxy.edu.cn</t>
  </si>
  <si>
    <t>; XIE, Feng/OAL-1484-2025; mu, yu/KJM-2653-2024; Zhu, Zhiyu/HTL-5544-2023; MU, YU/LQJ-0599-2024</t>
  </si>
  <si>
    <t>LI, dong/0009-0005-5455-5276; MU, YU/0000-0002-0697-6229</t>
  </si>
  <si>
    <t>The Special Funds for Local Scientific and Technological Development - Central Government [[2019] 4006]; Guizhou Science and Technology Department; Guizhou Provincial Education Department [KY [2020] 022]; Zunyi Technology and Big Data Bureau, Moutai Institute Joint Science and Technology Research and Development Project [ZSKHHZ [2021] 308]; Research Foundation for Scientific Scholars of Moutai Institute [mygccrc [2022] 087, mygccrc [2022] 096]</t>
  </si>
  <si>
    <t>The Special Funds for Local Scientific and Technological Development - Central Government; Guizhou Science and Technology Department; Guizhou Provincial Education Department; Zunyi Technology and Big Data Bureau, Moutai Institute Joint Science and Technology Research and Development Project; Research Foundation for Scientific Scholars of Moutai Institute</t>
  </si>
  <si>
    <t>This research was supported by The Special Funds for Local Scientific and Technological Development Guided by the Central Government ( [2019] 4006) from Guizhou Science and Technology Department for financial supports, Engineering Research Center supported by Guizhou Provincial Education Department (KY [2020] 022), Zunyi Technology and Big Data Bureau, Moutai Institute Joint Science and Technology Research and Development Project (ZSKHHZ [2021] 308), and Research Foundation for Scientific Scholars of Moutai Institute (mygccrc [2022] 087, mygccrc [2022] 096).</t>
  </si>
  <si>
    <t>0963-9969</t>
  </si>
  <si>
    <t>1873-7145</t>
  </si>
  <si>
    <t>FOOD RES INT</t>
  </si>
  <si>
    <t>Food Res. Int.</t>
  </si>
  <si>
    <t>10.1016/j.foodres.2024.114645</t>
  </si>
  <si>
    <t>XI9R3</t>
  </si>
  <si>
    <t>WOS:001261178000001</t>
  </si>
  <si>
    <t>Brassard, P; Godbout, S; Raghavan, V; Palacios, JH; Grenier, M; Zegan, D</t>
  </si>
  <si>
    <t>Brassard, Patrick; Godbout, Stephane; Raghavan, Vijaya; Palacios, Joahnn H.; Grenier, Michele; Zegan, Dan</t>
  </si>
  <si>
    <t>The Production of Engineered Biochars in a Vertical Auger Pyrolysis Reactor for Carbon Sequestration</t>
  </si>
  <si>
    <t>pyrolysis; auger reactor; engineered biochar; forest residues; agricultural biomass; response surface methodology</t>
  </si>
  <si>
    <t>TEMPERATURE; RECALCITRANCE; STABILITY; AMENDMENT; CELLULOSE; PARTICLE; KEY</t>
  </si>
  <si>
    <t>Biomass pyrolysis and the valorization of co-products (biochar, bio-oil, syngas) could be a sustainable management solution for agricultural and forest residues. Depending on its properties, biochar amended to soil could improve fertility. Moreover, biochar is expected to mitigate climate change by reducing soil greenhouse gas emissions, if its C/N ratio is lower than 30, and sequestrating carbon if its O/C-org and H/C-org ratios are lower than 0.2 and 0.7, respectively. However, the yield and properties of biochar are influenced by biomass feedstock and pyrolysis operating parameters. The objective of this research study was to validate an approach based on the response surface methodology, to identify the optimal pyrolysis operating parameters (temperature, solid residence time, and carrier gas flowrate), in order to produce engineered biochars for carbon sequestration. The pyrolysis of forest residues, switchgrass, and the solid fraction of pig manure, was carried out in a vertical auger reactor following a Box-Behnken design, in order to develop response surface models. The optimal pyrolysis operating parameters were estimated to obtain biochar with the lowest H/C-org and O/C-org ratios. Validation pyrolysis experiments confirmed that the selected approach can be used to accurately predict the optimal operating parameters for producing biochar with the desired properties to sequester carbon.</t>
  </si>
  <si>
    <t>[Brassard, Patrick; Godbout, Stephane; Palacios, Joahnn H.; Grenier, Michele; Zegan, Dan] Res &amp; Dev Inst Agrienvironm IRDA, 2700 Einstein St, Quebec City, PQ G1P 3W8, Canada; [Brassard, Patrick; Raghavan, Vijaya] McGill Univ, Dept Bioresource Engn, MacDonald Campus,2111 Lakeshore, Ste Anne De Bellevue, PQ H9X 3V9, Canada</t>
  </si>
  <si>
    <t>Brassard, P (corresponding author), Res &amp; Dev Inst Agrienvironm IRDA, 2700 Einstein St, Quebec City, PQ G1P 3W8, Canada.;Brassard, P (corresponding author), McGill Univ, Dept Bioresource Engn, MacDonald Campus,2111 Lakeshore, Ste Anne De Bellevue, PQ H9X 3V9, Canada.</t>
  </si>
  <si>
    <t>patrick.brassard@mail.mcgill.ca; stephane.godbout@irda.qc.ca; vijaya.raghavan@mcgill.ca; joahnn.palacios@irda.qc.ca; michele.grenier@irda.qc.ca; dan.zegan@irda.qc.ca</t>
  </si>
  <si>
    <t>Brassard, Patrick/0000-0002-7693-8092; Palacios, Joahnn H/0000-0002-4452-0687</t>
  </si>
  <si>
    <t>Fonds de recherche du Quebec-Nature et technologie (FQRNT); Programme de soutien a l'innovation en agroalimentaire [IA113109]; IRDA; McGill University</t>
  </si>
  <si>
    <t>Fonds de recherche du Quebec-Nature et technologie (FQRNT); Programme de soutien a l'innovation en agroalimentaire; IRDA; McGill University(McGill University)</t>
  </si>
  <si>
    <t>The authors thank the Fonds de recherche du Quebec-Nature et technologie (FQRNT), the Programme de soutien a l'innovation en agroalimentaire (grant number IA113109), the IRDA and McGill University for their financial support. Special thanks are also addressed to Jean-Pierre Larouche, Cedric Morin, Etienne Le Roux, Salha Elcadhi, and Martin Brouillard for their help during the implementation and the realization of the experiments.</t>
  </si>
  <si>
    <t>10.3390/en10030288</t>
  </si>
  <si>
    <t>ER3YR</t>
  </si>
  <si>
    <t>WOS:000398736700028</t>
  </si>
  <si>
    <t>Li, W; Zeng, YZ; Zhang, YM; Yi, K</t>
  </si>
  <si>
    <t>Li, Wen; Zeng, Yuzhen; Zhang, Yumei; Yi, Ke</t>
  </si>
  <si>
    <t>The Coupling Coordination Relationship between Green Low-Carbon Agriculture and Socio-Economic Systems: Based on the Empirical Analysis of 31 Provinces in China</t>
  </si>
  <si>
    <t>Green low-carbon agriculture; socio-economic systems; coupling coordination model</t>
  </si>
  <si>
    <t>This study employs a coupling coordination model to measure the coupling coordination of green low-carbon agriculture and socio-economic development in 31 provinces in China from 2003 to 2021. Additionally, it explores the regional differences in the driving factors of coupling coordination between green low-carbon agriculture and socio-economic development. The findings are as follows:(1) The coupling degree between green low-carbon agriculture and socio-economic development undergoes stages of antagonism-maturing-high-level coupling, while the coupling coordination experiences stages of moderate imbalance-mild imbalance-approaching imbalance, indicating the need for further improvement in coordination. (2) The spatial pattern of the coupling development pattern of high-lowhigh. (3) During the process of coupling coordination between green low-carbon agriculture and socioeconomic development, green coverage rate and per capita GDP have a positive impact at the national level. However, the influence of agricultural carbon emission intensity, effective irrigated land ratio, fertilizer application intensity, pesticide application intensity, and plastic film application intensity on coupling coordination varies depending on the characteristics of the local agricultural industry structure.</t>
  </si>
  <si>
    <t>[Li, Wen; Zeng, Yuzhen; Zhang, Yumei; Yi, Ke] Tianjin Agr Univ, Sch Econ &amp; Management, Tianjin, Peoples R China</t>
  </si>
  <si>
    <t>Tianjin Agricultural University</t>
  </si>
  <si>
    <t>Zeng, YZ (corresponding author), Tianjin Agr Univ, Sch Econ &amp; Management, Tianjin, Peoples R China.</t>
  </si>
  <si>
    <t>975306121@qq.com</t>
  </si>
  <si>
    <t>李, 雯/0009-0001-3658-8999</t>
  </si>
  <si>
    <t>Tianjin Graduate Student Scientific Research Innovation Project [2022SKY203]; Tianjin Municipal Agriculture and Rural Affairs Commission's initiative Tianjin Vegetable Modern Agricultural Industry Technology Innovation Team [ITVRS2023022]; Tianjin Philosophy and Social Science Planning Project titled Research on the Low-Carbon Transition Mechanism of Tianjin's Urban Agriculture under the Dual Carbon Goals [TJQLT21-03]</t>
  </si>
  <si>
    <t>Tianjin Graduate Student Scientific Research Innovation Project; Tianjin Municipal Agriculture and Rural Affairs Commission's initiative Tianjin Vegetable Modern Agricultural Industry Technology Innovation Team; Tianjin Philosophy and Social Science Planning Project titled Research on the Low-Carbon Transition Mechanism of Tianjin's Urban Agriculture under the Dual Carbon Goals</t>
  </si>
  <si>
    <t>I extend my heartfelt thanks to Professor Yuzhen Zeng for her distinguished mentorship, which has been instrumental in guiding my research endeavors. Her insightful guidance has provided clarity amidst the complexities of my academic pursuits. I am also deeply grateful for the financial support and intellectual environment fostered by the following projects:1.The Tianjin Graduate Student Scientific Research Innovation Project (Project No. 2022SKY203)2.The Tianjin Municipal Agriculture and Rural Affairs Commission's initiative Tianjin Vegetable Modern Agricultural Industry Technology Innovation Team (Project No. ITVRS2023022).3..The Tianjin Philosophy and Social Science Planning Project titled Research on the Low-Carbon Transition Mechanism of Tianjin's Urban Agriculture under the Dual Carbon Goals (Project No. TJQLT21-03).</t>
  </si>
  <si>
    <t>10.15244/pjoes/186435</t>
  </si>
  <si>
    <t>R8W8A</t>
  </si>
  <si>
    <t>WOS:001394188400045</t>
  </si>
  <si>
    <t>Jain, AK; Seshadri, S; Anand, J; Chandra, N; Patra, PK; Canadell, JG; Chhabra, A; Ciais, P; Gilani, H; Gumma, MK; Kondo, M; Lokupitiya, E; Pan, NQ; Shrestha, HL; Siddiqui, BN; Tian, HQ; Tiwari, YK</t>
  </si>
  <si>
    <t>Jain, Atul K.; Seshadri, Seetharaman; Anand, Jatin; Chandra, Naveen; Patra, Prabir K.; Canadell, Josep G.; Chhabra, Abha; Ciais, Philippe; Gilani, Hammad; Gumma, Murali K.; Kondo, Masayuki; Lokupitiya, Erandathie; Pan, Naiqing; Shrestha, Him Lal; Siddiqui, Baktiar N.; Tian, Hanqin; Tiwari, Yogesh K.</t>
  </si>
  <si>
    <t>South Asia's Ecosystems Are a Net Carbon Sink, But the Region Is a Major Net GHG Source to the Atmosphere</t>
  </si>
  <si>
    <t>GHG budget; South Asia; anthropogenic emissions; land use change; top-down model; bottom-up model</t>
  </si>
  <si>
    <t>LAND-COVER CHANGE; TM 4D-VAR V1.0; METHANE EMISSIONS; CO2 EMISSIONS; MODEL; INVERSION; VERSION; TRENDS; IMPACT; BUDGET</t>
  </si>
  <si>
    <t>As part of the REgional Carbon Cycle Assessment and Processes-2 (RECCAP-2) project of the Global Carbon Project, here we estimate the GHG budgets (anthropogenic and natural sources and sinks) for the South Asia (SA) region as a whole and each country (Afghanistan, Bangladesh, Bhutan, India, Nepal, Pakistan, and Sri Lanka) for the decade of 2010-2019 (2010s). Countries in the region are experiencing a rapid rise in fossil fuel consumption and demand for agricultural land, leading to increased deforestation and higher greenhouse gas emissions. This study synthesizes top-down (TD) and bottom-up (BU) dynamic global vegetation model results, BU GHG inventories, ground-based observation upscaling, and direct emissions for major GHGs. The fluxes for carbon dioxide (CO2), methane (CH4), and nitrous oxide (N2O) analyzed include fossil fuel emissions, net biome productivity, land use change, inland waters, wetlands, and upland and submerged soils. Our analysis shows that the overall total GHG emissions contributed to a net increase of 34%-43% during the 2010s compared to the 2000s, primarily driven by industrial activities. However, terrestrial ecosystems acted as a notable exception by serving as a CO2 sink in the 2010s, effectively sequestering atmospheric carbon. The sink was significantly smaller than overall carbon emissions. Overall, the 2010s GHG emissions based on BU and TD were 4,517 +/- 639.8 and 4,532 +/- 807.5 Tg CO2 eq, with CO2, CH4, and N2O emissions of 2165.2 +/- 297.1, 1,404 +/- 95.9, and 712 +/- 466 Tg CO2 eq based on BU models 2,125 +/- 515.1, 1,531 +/- 205.2, and 876 +/- 446.0 Tg CO2 eq based on TD models. Total emissions from SA in the 2010s accounted for approximately 8% of the global share. The terrestrial CO2 sinks estimated by the BU and TD models were 462.9 +/- 195.5 and 210.0 +/- 630.4 Tg CO2, respectively. Among the SA countries, India was the largest emitter contributing to 80% of the region's total GHG emissions, followed by Pakistan (10%) and Bangladesh (7%).</t>
  </si>
  <si>
    <t>[Jain, Atul K.; Seshadri, Seetharaman; Anand, Jatin] Univ Illinois, Dept Climate Meteorol &amp; Atmospher Sci CLiMAS, Urbana, IL 61801 USA; [Chandra, Naveen; Patra, Prabir K.] JAMSTEC, Res Inst Global Change, Yokohama, Japan; [Patra, Prabir K.] Res Inst Humanity &amp; Nat, Kyoto, Japan; [Canadell, Josep G.] Commonwealth Sci &amp; Ind Res Org, Global Carbon Project, Environm, Canberra, ACT, Australia; [Chhabra, Abha] Indian Space Res Org ISRO, Ahmadabad, India; [Ciais, Philippe] CEA CNRS UVSQ UPSaclay, Lab Sci Climat &amp; Environm, Gif Sur Yvette, France; [Gilani, Hammad] Int Water Management Inst, Lahore, Pakistan; [Gumma, Murali K.] Int Crops Res Inst Semi Arid Trop, Geospatial Sci &amp; Big Data, Patancheru, Telangana, India; [Kondo, Masayuki] Hiroshima Univ, IDEC Inst, Ctr Peaceful &amp; Sustainable Futures CEPEAS, Seto Inland Sea Carbon Neutral Res Ctr S CNC,Netw, Higashihiroshima, Japan; [Lokupitiya, Erandathie] Univ Colombo, Colombo, Sri Lanka; [Pan, Naiqing; Tian, Hanqin] Boston Coll, Dept Earth &amp; Environm Sci, Schiller Inst Integrated Sci &amp; Soc, Ctr Earth Syst Sci &amp; Global Sustainabil, Chestnut Hill, MA USA; [Shrestha, Him Lal] Kathmandu Forestry Coll, Kathmandu, Nepal; [Siddiqui, Baktiar N.] Arannayk Fdn, Dhaka, Bangladesh; [Tiwari, Yogesh K.] Govt India, Minist Earth Sci, Indian Inst Trop Meteorol, Pune, India</t>
  </si>
  <si>
    <t>University of Illinois System; University of Illinois Urbana-Champaign; Japan Agency for Marine-Earth Science &amp; Technology (JAMSTEC); Research Institute for Humanity &amp; Nature (RIHN); Commonwealth Scientific &amp; Industrial Research Organisation (CSIRO); CSIRO Environment; Department of Space (DoS), Government of India; Indian Space Research Organisation (ISRO); Universite Paris Saclay; CGIAR; International Water Management Institute (IWMI); PCSIR Laboratories Complex; CGIAR; International Crops Research Institute for the Semi-Arid-Tropics (ICRISAT); Hiroshima University; University of Colombo; Boston College; Ministry of Earth Sciences (MoES) - India; Indian Institute of Tropical Meteorology (IITM)</t>
  </si>
  <si>
    <t>Jain, AK (corresponding author), Univ Illinois, Dept Climate Meteorol &amp; Atmospher Sci CLiMAS, Urbana, IL 61801 USA.</t>
  </si>
  <si>
    <t>jain1@illinois.edu</t>
  </si>
  <si>
    <t>Patra, Prabir/B-5206-2009; Tian, Hanqin/A-6484-2012; Gilani, Hammad/AGF-7853-2022; TIWARI, YOGESH/ABB-2247-2020; Hirano, Takashi/A-4557-2012; Canadell, Josep/E-9419-2010; Shrestha, Him/I-1759-2019; Jain, Atul/D-2851-2016; Anand, Jatin/AAY-1154-2021</t>
  </si>
  <si>
    <t>Patra, Prabir/0000-0001-5700-9389; Jain, Atul/0000-0002-4051-3228; Chana, Naveen/0000-0002-5357-7757; Gilani, Hammad/0000-0002-9439-640X</t>
  </si>
  <si>
    <t>NASA [RECCAP-2]; Regional Carbon Cycle Assessment Pricesses 2 [80NSSC24K0920]; NASA LCLUC Program [80NSSC22K1363]; NASA project [JPMXD1420318865]; Arctic Challenge for Sustainability II (ArCS-II) project [JPMEERF21S20800]; Environmental and Technology Development Fund; Environmental Restoration and Conservation Agency of Japan</t>
  </si>
  <si>
    <t>NASA(National Aeronautics &amp; Space Administration (NASA)); Regional Carbon Cycle Assessment Pricesses 2; NASA LCLUC Program; NASA project; Arctic Challenge for Sustainability II (ArCS-II) project; Environmental and Technology Development Fund; Environmental Restoration and Conservation Agency of Japan</t>
  </si>
  <si>
    <t>We gratefully thank the following data providers and model developers for their continuous efforts and for sharing their data: the Global Carbon Project (GCP); Regional Carbon Cycle Assessment Pricesses 2 (RECCAP-2); and the TRENDY experiment version 11, which included the models CABLE POP, CLASSIC, CLM5, DLEM, IBIS, ISAM, JSBACH, JULES, LPJ, LJP-GUESS, LPX-Bern, OCN, ORCHIDEE, SDGVM, VISIT, and YJB. We thank Z. Deng of Tsinghua University and L. Hu of Zhejiang University for their assistance in compiling the UNFCCC emission inventory data. We also thank Pengyue Du for data compilation and figure preparation. AK Jain and S Seshadri are partly supported by the NASA LCLUC Program (award 80NSSC24K0920). AK Jain also acknowledged a NASA project (80NSSC22K1363) for supporting travel to a meeting in India on LCLUC in South Asian. NC and PKP are supported by the Arctic Challenge for Sustainability II (ArCS-II) project (Grant JPMXD1420318865) and the Environmental and Technology Development Fund (JPMEERF21S20800) of the Environmental Restoration and Conservation Agency of Japan.</t>
  </si>
  <si>
    <t>e2024GB008261</t>
  </si>
  <si>
    <t>10.1029/2024GB008261</t>
  </si>
  <si>
    <t>1KV1N</t>
  </si>
  <si>
    <t>WOS:001467404300001</t>
  </si>
  <si>
    <t>Cha-Un, N; Chidthaisong, A; Yagi, K; Sud, S; Towprayoon, S</t>
  </si>
  <si>
    <t>Cha-un, Nittaya; Chidthaisong, Amnat; Yagi, Kazuyuki; Sudo, Shigeto; Towprayoon, Sirintornthep</t>
  </si>
  <si>
    <t>Greenhouse gas emissions, soil carbon sequestration and crop yields in a rain-fed rice field with crop rotation management</t>
  </si>
  <si>
    <t>Rain-fed rice field; Crop rotation; Greenhouse gas; Soil carbon budget; Soil organic carbon stock; Rice yield</t>
  </si>
  <si>
    <t>NITROUS-OXIDE EMISSIONS; ORGANIC-MATTER; PADDY FIELD; METHANE; WHEAT; PRODUCTIVITY; AMMONIA; SYSTEMS; LOSSES; FLUXES</t>
  </si>
  <si>
    <t>Field experiments of two consecutive years (2010-2011) were conducted to investigate the effect of crop rice rotation systems on greenhouse gas (GHG) emissions, soil carbon sequestration, and rice yield. Rotation crops were cultivated in the dry season, while rain-fed rice was grown in the wet season. Four different treatments were investigated: fallow-rice (RF), rice-rice (RR), corn-rice (RC) and sweet sorghum-rice (RS). The closed-chamber method was used for flux measurements of methane (CH4), nitrous oxide (N2O) and carbon dioxide (CO2) in the field. Parameters such as soil carbon budgets (SCBs), soil organic carbon (SOC) stocks, and crop yields were also measured. In this study, it was found that RC and RS rotations reduced CH4 emissions by 78-84%, and reduced net CO2 equivalent emissions (CH4 and N2O) by 68-78%, as compared with RR After two consecutive years of crop cultivation, SCBs were reclaimed by positive values in the RC and RR treatments. The SOC stocks were maintained in the RR, RC and RS treatments, but decreased in the RE. Although RF also reduced the net CO2 equivalent emissions by 72-84% as compared with RR, there were losses in soil carbon sequestration and agricultural land utilization. The rice grain yields of RC and RS were stable in both years, while RF fell slightly by 11%, and RR significantly reduced by 39% from the first year. (C) 2016 Elsevier B.V. All rights reserved.</t>
  </si>
  <si>
    <t>[Cha-un, Nittaya; Chidthaisong, Amnat; Towprayoon, Sirintornthep] KMUTT, JGSEE, 126 Prachauthit Rd, Bangkok 10140, Thailand; [Cha-un, Nittaya; Chidthaisong, Amnat; Towprayoon, Sirintornthep] KMUTT, Ctr Excellence Energy Technol &amp; Environm, 126 Prachauthit Rd, Bangkok 10140, Thailand; [Cha-un, Nittaya; Chidthaisong, Amnat; Towprayoon, Sirintornthep] King Mongkuts Univ Technol Thonburi, Earth Syst Sci Res &amp; Dev Ctr ESS, 126 Prachauthit Rd, Bangkok 10140, Thailand; [Yagi, Kazuyuki; Sudo, Shigeto] Natl Agr &amp; Food Res Org NARO, Inst Agroenvironm Sci, 3-1-3 Kannondai, Tsukuba, Ibaraki 3058604, Japan</t>
  </si>
  <si>
    <t>King Mongkuts University of Technology Thonburi; King Mongkuts University of Technology Thonburi; King Mongkuts University of Technology Thonburi; National Agriculture &amp; Food Research Organization - Japan</t>
  </si>
  <si>
    <t>Towprayoon, S (corresponding author), KMUTT, JGSEE, 126 Prachauthit Rd, Bangkok 10140, Thailand.;Towprayoon, S (corresponding author), KMUTT, Ctr Excellence Energy Technol &amp; Environm, 126 Prachauthit Rd, Bangkok 10140, Thailand.</t>
  </si>
  <si>
    <t>sirin@jgsee.kmutt.ac.th</t>
  </si>
  <si>
    <t>Cha-un, Nittaya/KIK-7890-2024</t>
  </si>
  <si>
    <t>Sudo, Shigeto/0000-0003-4858-0190</t>
  </si>
  <si>
    <t>Earth System Science Research and Development Center (ESS); King Mongkut's Research Fund (Phet Phra Chom Research Fund); Asia-Pacific Network (APN) for Global Change Research</t>
  </si>
  <si>
    <t>The authors gratefully acknowledge the support of the Earth System Science Research and Development Center (ESS), King Mongkut's Research Fund (Phet Phra Chom Research Fund), and the project of Asia-Pacific Network (APN) for Global Change Research. We thank and gratefully acknowledge the Joint Graduate School of Energy and Environment (JGSEE) at King Mongkut's University of Technology Thonburi, for laboratory equipment and materials. Also, the authors express their thanks to King Mongkut's University of Technology Thonburi, Ratchaburi Campus, for providing the study site. We also thank Prof. Dr. R. H. B, Exell (JGSEE, Thailand) for his help in revising the manuscript.</t>
  </si>
  <si>
    <t>JAN 16</t>
  </si>
  <si>
    <t>10.1016/j.agee.2016.12.025</t>
  </si>
  <si>
    <t>EJ5IT</t>
  </si>
  <si>
    <t>WOS:000393252200011</t>
  </si>
  <si>
    <t>Wang, XX; Zhang, HR; Cao, D; Wu, CY; Wang, XT; Wei, L; Guo, B; Wang, S; Ding, JA; Chen, H; Chen, JP; Ge, TD; Zhu, ZK</t>
  </si>
  <si>
    <t>Wang, Xiangxiang; Zhang, Hongrui; Cao, Dan; Wu, Cuiyan; Wang, Xianting; Wei, Liang; Guo, Bin; Wang, Shuang; Ding, Jina; Chen, Hao; Chen, Jianping; Ge, Tida; Zhu, Zhenke</t>
  </si>
  <si>
    <t>Microbial carbon and phosphorus metabolism regulated by C:N:P stoichiometry stimulates organic carbon accumulation in agricultural soils</t>
  </si>
  <si>
    <t>Soil nutrients; Microbial metabolism; Ecoenzymatic stoichiometry; Microbial carbon use efficiency</t>
  </si>
  <si>
    <t>USE EFFICIENCY; ECOENZYMATIC STOICHIOMETRY; NUTRIENT LIMITATION; ENZYME-ACTIVITY; NITROGEN; MATTER</t>
  </si>
  <si>
    <t>Soil organic carbon (SOC) is a key component of the carbon (C) cycle, and its accumulation is influenced by the stoichiometry of C: nitrogen (N): phosphorus (P), as well as microbial metabolism. However, the mechanisms driving SOC accumulation in agricultural and natural soils remain unclear. Therefore, this study aimed to investigate the impact of soil and microbial biomass (MB) C:N:P stoichiometry and microbial metabolic limitation on SOC accumulation in agricultural and natural soils. A survey of soils from 277 locations in eastern China was conducted, revealing that agricultural soils (paddy and upland soils) had 1.74-times higher SOC content than that of natural soils (wasteland and woodland soils). SOC showed a significant positive correlation with microbial C use efficiency (CUE), which in turn promoted SOC accumulation in agricultural soils. CUE was higher in agricultural soils (0.38-0.41) than in natural soils (0.25-0.31), which was attributed to reduced microbial metabolic limitation in agricultural soils. Increased nutrient supply was evident in agricultural soils, indicated by high SOC:TP, dissolved organic C:dissolved organic N, MBC:MBN, and MBC:MBP ratios, which alleviated microbial C and P limitations. However, in natural soils, low nutrient availability and enzyme activities resulted in significant microbial C and P limitations, thereby hindering SOC accumulation. Our results indicate that microbial metabolic limitation regulated by C:N:P stoichiometry stimulates SOC accumulation in agricultural soils, offering novel insights into SOC storage and emphasizing the importance of ecological stoichiometry and microbial metabolic limitation in SOC storage.</t>
  </si>
  <si>
    <t>[Wang, Xiangxiang; Zhang, Hongrui; Cao, Dan; Wei, Liang; Wang, Shuang; Ding, Jina; Chen, Jianping; Ge, Tida; Zhu, Zhenke] Ningbo Univ, State Key Lab Managing Biot &amp; Chem Threats Qual &amp;, Key Lab Biotechnol Plant Protect, Inst Plant Virol,Minist Agr &amp; Zhejiang Prov, Ningbo 315211, Peoples R China; [Wang, Xiangxiang; Zhang, Hongrui; Cao, Dan] Ningbo Univ, Sch Marine Sci, Ningbo 315211, Peoples R China; [Wu, Cuiyan] Ningbo Univ Technol, Sch Mat &amp; Chem Engn, Ningbo 315211, Peoples R China; [Wang, Xianting] Yinzhou Stn Agr Tech Extens, Ningbo 315100, Zhejiang, Peoples R China; [Guo, Bin] Zhejiang Acad Agr Sci, Inst Environm Resource Soil &amp; Fertilizer, Hangzhou 310021, Peoples R China; [Chen, Hao] Sun Yat Sen Univ, Sch Ecol, State Key Lab Biocontrol, Shenzhen Campus, Shenzhen 518107, Guangdong, Peoples R China</t>
  </si>
  <si>
    <t>Ningbo University; Ningbo University; Ningbo University of Technology; Zhejiang Academy of Agricultural Sciences; Sun Yat Sen University</t>
  </si>
  <si>
    <t>Zhu, ZK (corresponding author), Ningbo Univ, State Key Lab Managing Biot &amp; Chem Threats Qual &amp;, Key Lab Biotechnol Plant Protect, Inst Plant Virol,Minist Agr &amp; Zhejiang Prov, Ningbo 315211, Peoples R China.</t>
  </si>
  <si>
    <t>zhuzhenke@nbu.edu.cn</t>
  </si>
  <si>
    <t>Ge, Tida/H-3013-2011</t>
  </si>
  <si>
    <t>Ningbo Science and Technology Bureau [2022Z168]; National Science Foundation of China [42177334]; K. C. Wong Magna Fund at Ningbo University; The Pioneer and Leading Goose R &amp; D Program of Zhejiang [2022C02008, 2023C02016]</t>
  </si>
  <si>
    <t>Ningbo Science and Technology Bureau; National Science Foundation of China(National Natural Science Foundation of China (NSFC)); K. C. Wong Magna Fund at Ningbo University; The Pioneer and Leading Goose R &amp; D Program of Zhejiang</t>
  </si>
  <si>
    <t>This work was financially supported by the Ningbo Science and Technology Bureau (2022Z168) , the Pioneer and Leading Goose R &amp; D Program of Zhejiang (2022C02008; 2023C02016) , the National Science Foundation of China (42177334) , and the K. C. Wong Magna Fund at Ningbo University.</t>
  </si>
  <si>
    <t>10.1016/j.still.2024.106152</t>
  </si>
  <si>
    <t>TO6U9</t>
  </si>
  <si>
    <t>WOS:001242251000001</t>
  </si>
  <si>
    <t>Spinelli, R; Cacot, E; Mihelic, M; Nestorovski, L; Mederski, P; Tolosana, E</t>
  </si>
  <si>
    <t>Spinelli, Raffaele; Cacot, Emmanuel; Mihelic, Matevz; Nestorovski, Ljupco; Mederski, Piotr; Tolosana, Eduardo</t>
  </si>
  <si>
    <t>Techniques and productivity of coppice harvesting operations in Europe: a meta-analysis of available data</t>
  </si>
  <si>
    <t>ANNALS OF FOREST SCIENCE</t>
  </si>
  <si>
    <t>Felling; Extraction; Logging; Hardwood mechanization; Clear cut; Selection</t>
  </si>
  <si>
    <t>FOREST OPERATIONS; TREE-SIZE; PERFORMANCE; TECHNOLOGY; MANAGEMENT; CONVERSION; ENERGY</t>
  </si>
  <si>
    <t>Coppice harvesting technology is evolving toward increased mechanization and larger more efficient equipment. Nevertheless, cheap and versatile general-purpose machines (excavators and farm tractors) still represent the backbone of coppice mechanization, which is consistent with the rural character of coppice economy. Operating within the scope of COST Action FP1301 Eurocoppice, the authors conducted a survey of coppice harvesting studies produced in Europe from 1970 to present. The survey focused on traditional coppice stands and excluded industrial short-rotation coppice, established with willow, poplar, eucalyptus, or other fast-growing species. The goals of this study were to calculate productivity benchmarks for coppice harvesting operations and to gauge the progress achieved over the past 40-plus years. Data from existing studies (published and unpublished) were collected through a harmonized questionnaire and gathered into a single master database. Statistical analysis was used to estimate productivity models and determine possible differences between methods, work conditions, and time periods. Six productivity models were estimated for the main harvesting steps and technologies. Productivity varied with a number of factors and notably with removal (m(3) ha(-1)). The analysis disclosed a clear trend toward increased mechanization and higher productivity. Coppice harvesting is being mechanized, but the mechanization deployed in coppice stands is adapted to the specific conditions offered by these stands. Light, cheap, and versatile machines are generally preferred to heavy industrial equipment.</t>
  </si>
  <si>
    <t>[Spinelli, Raffaele] CNR IVALSA, Via Madonna Piano 10, Sesto Fiorentino, FI, Italy; [Cacot, Emmanuel] FCBA, Les Vaseix, Verneuil Sur Vi, France; [Mihelic, Matevz] Univ Ljubljana, Dept Forestry &amp; Renewable Resources, Vecna Pot 83, Ljubljana, Slovenia; [Nestorovski, Ljupco] Ss Cyril &amp; Methodius Univ Skopje, Skopje, Macedonia; [Mederski, Piotr] Poznan Univ Life Sci, Fac Forestry, Wojska Polskiego 71, Poznan, Poland; [Tolosana, Eduardo] Univ Politecn Madrid, Ciudad Univ S-N, Madrid, Spain</t>
  </si>
  <si>
    <t>Consiglio Nazionale delle Ricerche (CNR); Istituto per la Valorizzazione del Legno e delle Specie Arboree (IVALSA-CNR); University of Ljubljana; Saints Cyril &amp; Methodius University of Skopje; Poznan University of Life Sciences; Universidad Politecnica de Madrid</t>
  </si>
  <si>
    <t>Spinelli, R (corresponding author), CNR IVALSA, Via Madonna Piano 10, Sesto Fiorentino, FI, Italy.</t>
  </si>
  <si>
    <t>spinelli@ivalsa.cnr.it; Emmanuel.cacot@fcba.fr; Matevz.Mihelic@bf.uni-lj.si; nestorovski@sf.ukim.edu.mk; piotr.mederski@up.poznan.pl; eduardo.tolosana@upm.es</t>
  </si>
  <si>
    <t>; Mederski, Piotr S/K-3196-2016; Mihelič, Matevž/B-8933-2013; Mederski, Piotr/K-3196-2016; Tolosana, Eduardo/AAL-4215-2020; Spinelli, Raffaele/GRE-8634-2022</t>
  </si>
  <si>
    <t>Spinelli, Raffaele/0000-0001-9545-1004; Mederski, Piotr S/0000-0003-3060-4422; Mihelič, Matevž/0000-0003-0306-9014;</t>
  </si>
  <si>
    <t>COST Action Eurocoppice [FP1301]</t>
  </si>
  <si>
    <t>COST Action Eurocoppice</t>
  </si>
  <si>
    <t>COST Action FP1301 Eurocoppice provided funding for the travel expenses necessary for the author panel meetings.</t>
  </si>
  <si>
    <t>1286-4560</t>
  </si>
  <si>
    <t>1297-966X</t>
  </si>
  <si>
    <t>ANN FOREST SCI</t>
  </si>
  <si>
    <t>Ann. For. Sci.</t>
  </si>
  <si>
    <t>10.1007/s13595-016-0578-x</t>
  </si>
  <si>
    <t>EF0GN</t>
  </si>
  <si>
    <t>WOS:000390004000028</t>
  </si>
  <si>
    <t>Khodakarami, L</t>
  </si>
  <si>
    <t>Khodakarami, Loghman</t>
  </si>
  <si>
    <t>Spatial modeling of micro-scale carbon dioxide sources and sinks in urban environments: A novel approach to quantify urban impacts on global warming</t>
  </si>
  <si>
    <t>GREENHOUSE GASES-SCIENCE AND TECHNOLOGY</t>
  </si>
  <si>
    <t>CO2 emissions; greenhouse gas; urban environment; sustainable urban planning; climate change; geographic weighted regression (GWR); bottom-up; carbon sequestration</t>
  </si>
  <si>
    <t>FUEL CO2 EMISSIONS; SOIL ORGANIC-CARBON; LAND-USE; ALLOMETRIC EQUATIONS; VEGETATION INDEXES; DATA PRODUCT; STORAGE; SEQUESTRATION; CLIMATE; BIOMASS</t>
  </si>
  <si>
    <t>Urban environments play a significant role in global carbon emissions and sequestration, necessitating a comprehensive understanding of their spatial distribution. This study presents a micro-scale spatial modeling framework to elucidate the complex interplay between CO2 sources and sinks within urban settings. Utilizing advanced geospatial analysis, remote sensing data, and geographically weighted regression (GWR) modeling techniques, we provide a detailed characterization of emission patterns and identify the spatial distribution of carbon dioxide sequestration. Employing the bottom-up method and geographic information system techniques, we quantified carbon dioxide emissions in Isfahan City, Iran, attributing 81.68% to stationary combustion sources (residential, commercial, industrial, and power plant sectors) and 18.32% to mobile combustion sources (road-rail transportation, and non-road transportation [agricultural machinery]). To model carbon sequestration, we calculated tree biomass using allometric equations and estimated carbon sequestration per tree unit. Subsequently, we employed GWR to map the spatial distribution of carbon deposition across the city. The results revealed an annual carbon sequestration capacity of 7,704 tons, equivalent to storing 28,275 tons of CO2. Our findings highlight the substantial contribution of urban areas to greenhouse gas emissions and the potential of urban green spaces to mitigate these emissions. The spatial modeling framework developed in this study provides a valuable tool for urban planners to optimize carbon management strategies and promote sustainable urban development. (c) 2024 Society of Chemical Industry and John Wiley &amp; Sons, Ltd.</t>
  </si>
  <si>
    <t>[Khodakarami, Loghman] Koya Univ, Fac Engn, Koya, Kurdistan, Iraq; [Khodakarami, Loghman] Koya Univ, Fac Engn, Dept Petr Engn, Koya, Kurdistan, Iraq</t>
  </si>
  <si>
    <t>Koya University; Koya University</t>
  </si>
  <si>
    <t>Khodakarami, L (corresponding author), Koya Univ, Fac Engn, Dept Petr Engn, Koya, Kurdistan, Iraq.</t>
  </si>
  <si>
    <t>l.khodakarami@na.iut.ac.ir</t>
  </si>
  <si>
    <t>Isfahan Municipality, Land Assessment and Planning Laboratory at Department of Natural Resources</t>
  </si>
  <si>
    <t>The author would like to thank the Isfahan Municipality, Land Assessment and Planning Laboratory at Department of Natural Resources, Isfahan University of Technology teams for providing the data used in this study.</t>
  </si>
  <si>
    <t>WILEY PERIODICALS, INC</t>
  </si>
  <si>
    <t>ONE MONTGOMERY ST, SUITE 1200, SAN FRANCISCO, CA 94104 USA</t>
  </si>
  <si>
    <t>2152-3878</t>
  </si>
  <si>
    <t>GREENH GASES</t>
  </si>
  <si>
    <t>Greenh. Gases</t>
  </si>
  <si>
    <t>10.1002/ghg.2273</t>
  </si>
  <si>
    <t>Energy &amp; Fuels; Engineering, Environmental; Environmental Sciences</t>
  </si>
  <si>
    <t>TD1A9</t>
  </si>
  <si>
    <t>WOS:001204128300001</t>
  </si>
  <si>
    <t>Martani, E; Ferrarini, A; Hastings, A; Amaducci, S</t>
  </si>
  <si>
    <t>Martani, Enrico; Ferrarini, Andrea; Hastings, Astley; Amaducci, Stefano</t>
  </si>
  <si>
    <t>Soil Organic Carbon Significantly Increases When Perennial Biomass Plantations Are Reverted Back to Annual Arable Crops</t>
  </si>
  <si>
    <t>perennial biomass crops; soil organic carbon; ECOSSE; miscanthus; switchgrass; giant reed; black locust; poplar; willow; reversion</t>
  </si>
  <si>
    <t>LAND-USE CHANGE; GREENHOUSE-GAS EMISSIONS; BELOW-GROUND BIOMASS; BIOENERGY CROPS; CO2 EMISSIONS; MISCANTHUS; WILLOW; STOCKS; SEQUESTRATION; GRASSLAND</t>
  </si>
  <si>
    <t>The cultivation of perennial biomass crops (PBCs) on marginal lands is necessary to provide feedstock for the bio-based EU economy and accrue environmental benefits through carbon (C) sequestration in soil. Short rotation coppice (SRC) species, e.g., willow, black locust, and poplar, and perennial rhizomatous grasses, e.g., miscanthus, switchgrass, and giant reed, have been tested in many EU projects in the last 10 years to investigate their productive potential and contribution to the mitigation of climate change. A major knowledge gap regarding PBCs is the fate of accumulated soil organic carbon (SOC), once PBC plantations are reverted to arable crops. In this study, the effects of PBCs reversion on SOC and carbon-dioxide emission (CO2) were monitored over a 2-year period in a long-term (11-year) multispecies trial of six PBCs: Three SRC species including poplar (Populus spp.), willow (Salix spp.), and black locust (Robinia pseudoacacia), and three herbaceous rhizomatous grasses including miscanthus (Miscanthus x giganteus), switchgrass (Panicum virgatum), and giant reed (Arundo donax). The SOC change and GHG emissions were then modeled with the ECOSSE model. Two years after the reversion, SOC increased significantly for all PBCs with no significant difference between them. During the PBC cultivation phase, 5.35 Mg SOC ha(-1) was sequestered while 10.95 Mg SOC ha(-1) was added by reversion, which indicated that 67% of SOC sequestration occurred after the reversion. The ECOSSE model was successfully used to simulate SOC sequestration trajectories (R-2 = 0.77) and CO2 emission from soil (R-2 = 0.82) after the reversion of the six PBCs. This indicated that the high SOC sequestration rate after the reversion was due to humification of belowground biomass (roots + rhizomes/stumps), which had been mulched and incorporated into the reversion layer (0-30 cm). This occurred in the first 2 months (on average 5.47 Mg SOC ha(-1) y(-1)) and in the first year after the reversion (1.3-1.8 Mg SOC ha(-1) y(-1)). Considering the entire PBCs cultivation cycle (13 years of PBCs + reversion), PBCs showed annual SOC sequestration rates higher than 1 Mg SOC ha(-1) y(-1), placing PBCs cultivation and reversion as one of the most promising agricultural practices to combine biomass production, with the recovery of marginal lands to agricultural production through increasing the SOC.</t>
  </si>
  <si>
    <t>[Martani, Enrico; Ferrarini, Andrea; Amaducci, Stefano] Univ Cattolica Sacro Cuore, Dept Sustainable Crop Prod, Via Emilia Parmense,84, I-29122 Piacenza, Italy; [Hastings, Astley] Univ Aberdeen, Inst Biol &amp; Environm Sci, Sch Biol Sci, 23 St Machar Dr, Aberdeen AB24, Aberdeenshire, Scotland</t>
  </si>
  <si>
    <t>Catholic University of the Sacred Heart; University of Aberdeen</t>
  </si>
  <si>
    <t>Martani, E (corresponding author), Univ Cattolica Sacro Cuore, Dept Sustainable Crop Prod, Via Emilia Parmense,84, I-29122 Piacenza, Italy.</t>
  </si>
  <si>
    <t>enrico.martani@rocketmail.com</t>
  </si>
  <si>
    <t>; Martani, Enrico/JZE-2787-2024; Amaducci, Stefano/R-6290-2016</t>
  </si>
  <si>
    <t>Hastings, Astley/0000-0001-9863-7613; Martani, Enrico/0000-0003-0236-0328; Ferrarini, Anea/0000-0001-9390-7004</t>
  </si>
  <si>
    <t>EPSRC [EP/S029575/1] Funding Source: UKRI; NERC [NE/P019803/1, NE/M019691/1] Funding Source: UKRI; Engineering and Physical Sciences Research Council [EP/S029575/1] Funding Source: researchfish; Natural Environment Research Council [NE/M019691/1, NE/P019803/1] Funding Source: researchfish</t>
  </si>
  <si>
    <t>EPSRC(UK Research &amp; Innovation (UKRI)Engineering &amp; Physical Sciences Research Council (EPSRC)); NERC(UK Research &amp; Innovation (UKRI)Natural Environment Research Council (NERC)); Engineering and Physical Sciences Research Council(UK Research &amp; Innovation (UKRI)Engineering &amp; Physical Sciences Research Council (EPSRC)); Natural Environment Research Council(UK Research &amp; Innovation (UKRI)Natural Environment Research Council (NERC))</t>
  </si>
  <si>
    <t>10.3390/agronomy13020447</t>
  </si>
  <si>
    <t>9G2YW</t>
  </si>
  <si>
    <t>WOS:000938025400001</t>
  </si>
  <si>
    <t>Kinley, RD; Martinez-Fernandez, G; Matthews, MK; de Nys, R; Magnusson, M; Tomkins, NW</t>
  </si>
  <si>
    <t>Kinley, Robert D.; Martinez-Fernandez, Gonzalo; Matthews, Melissa K.; de Nys, Rocky; Magnusson, Marie; Tomkins, Nigel W.</t>
  </si>
  <si>
    <t>Mitigating the carbon footprint and improving productivity of ruminant livestock agriculture using a red seaweed</t>
  </si>
  <si>
    <t>Asparagopsis; Seaweed; Beef cattle; Methane; Greenhouse gas</t>
  </si>
  <si>
    <t>MACROALGAE ASPARAGOPSIS-TAXIFORMIS; METHANE PRODUCTION; RUMEN FERMENTATION; METHANOGENESIS; EMISSIONS; INHIBITION; AUSTRALIA; ARMATA</t>
  </si>
  <si>
    <t>Ruminants are responsible for a large proportion of agricultural greenhouse gas emissions in the form of methane. This can be managed. It is a global initiative to increase productivity of the livestock sector to meet a growing population, but with emphasis on decreasing enteric methane to achieve emissions targets. We investigated the marine red macroalga (seaweed) Asparagopsis taxiformis as a feed ingredient to fundamentally eliminate enteric methane in beef cattle fed a high grain diet and provide evidence of improved livestock production performance. Asparagopsis was included in the feed of Brahman-Angus cross steers at 0.00%, 0.05%, 0.10%, and 0.20% of feed organic matter. Emissions were monitored in respiration chambers fortnightly over 90 d of treatment, steers were weighed weekly prior to feeding, feed intake monitored daily, rumen fluid samples collected in conjunction with respiration chambers for assessment of rumen function, feces were collected for bromoform residue analysis, and meat, organ, and fat were collected post slaughter for residue analysis and sensory evaluation. Steers receiving 0.10% and 0.20% Asparagopsis demonstrated decreased methane up to 40% and 98%, and demonstrated weight gain improvements of 53% and 42%, respectively. There was no negative effect on daily feed intake, feed conversion efficiencies, or rumen function, and no residues or changes in meat eating quality were detected. Commercial production of Asparagopsis could create new economies, and with low inclusion rates of this seaweed in ruminant diets the industry has the potential to revolutionize management of greenhouse gas emissions across the ruminant livestock sector with complementary benefits to the environment, and economy of the wider agriculture sector. (C) 2020 Commonwealth Scientific and Industrial Research Organisation. Published by Elsevier Ltd.</t>
  </si>
  <si>
    <t>[Kinley, Robert D.; Martinez-Fernandez, Gonzalo; Matthews, Melissa K.; Tomkins, Nigel W.] CSIRO, Agr &amp; Food, Townsville, Qld 4811, Australia; [de Nys, Rocky; Magnusson, Marie] James Cook Univ, Coll Sci &amp; Engn, Ctr Macroalgal Resources &amp; Biotechnol, Townsville, Qld 4811, Australia; [Magnusson, Marie] Univ Waikato, Coastal Marine Field Stn, Environm Res Inst, Tauranga 3110, New Zealand; [Tomkins, Nigel W.] Meat &amp; Livestock Australia, Bowen Hills, Qld 4006, Australia</t>
  </si>
  <si>
    <t>Commonwealth Scientific &amp; Industrial Research Organisation (CSIRO); CSIRO Agriculture &amp; Food; James Cook University; University of Waikato; Meat &amp; Livestock Australia</t>
  </si>
  <si>
    <t>Kinley, RD (corresponding author), CSIRO, Agr &amp; Food, Townsville, Qld 4811, Australia.</t>
  </si>
  <si>
    <t>rob.kinley@csiro.au</t>
  </si>
  <si>
    <t>Martinez Fernandez, Gonzalo/K-1589-2015; Kinley, Robert/H-6744-2013; Magnusson, Marie/D-8996-2012; de Nys, Rocky/D-6741-2012</t>
  </si>
  <si>
    <t>Martinez Fernandez, Gonzalo/0000-0002-6177-0186; Magnusson, Marie/0000-0002-3141-8544; de Nys, Rocky/0000-0003-3869-4928</t>
  </si>
  <si>
    <t>Commonwealth Scientific and Industrial Research Organisation (CSIRO) [OD107898]; Meat and Livestock Australia (MLA) of Australian Lot Feeders [B.FLT.0394]</t>
  </si>
  <si>
    <t>Commonwealth Scientific and Industrial Research Organisation (CSIRO)(Commonwealth Scientific &amp; Industrial Research Organisation (CSIRO)); Meat and Livestock Australia (MLA) of Australian Lot Feeders</t>
  </si>
  <si>
    <t>This research was supported by the Commonwealth Scientific and Industrial Research Organisation (CSIRO) (Project number OD107898) and Meat and Livestock Australia (MLA) (Grant number B.FLT.0394) in support of Australian Lot Feeders. Feedlot beef nutritionists of MLA provided diet formulation advice and supported publication of the study. Researchers of CSIRO designed and interpreted the data and completed the project at the CSIRO Lansdown Research Station. The manuscript was written by CSIRO with input from all co-authors with representation of MLA and James Cook University, Centre for Macroalgal Resources and Biotechnology.</t>
  </si>
  <si>
    <t>10.1016/j.jclepro.2020.120836</t>
  </si>
  <si>
    <t>WOS:000530395400009</t>
  </si>
  <si>
    <t>Suardi, A; Bravo, I; Beni, C; Papetti, P; Rana, RL</t>
  </si>
  <si>
    <t>Suardi, Alessandro; Bravo, Ilenia; Beni, Claudio; Papetti, Patrizia; Rana, Roberto Leonardo</t>
  </si>
  <si>
    <t>Carbon footprint of hemp and sunflower oil in southern Italy: A case study</t>
  </si>
  <si>
    <t>Sunflower cultivation; Hemp oil production; GHG emission; Carbon sequestration; Seed oil; CO 2 equivalent</t>
  </si>
  <si>
    <t>LIFE-CYCLE ASSESSMENT; CANNABIS-SATIVA L.; LAND-USE CHANGE; ENVIRONMENTAL ASSESSMENT; BIODIESEL PRODUCTION; FIBER HEMP; NITROGEN; SOIL; LCA; CULTIVATION</t>
  </si>
  <si>
    <t>The proteoleaginous plants demand has seen significant growth, leading to an expansion of the sunflower (Helianthus annuus, L.) and industrial hemp (Cannabis sativa, L.) cultivation area in Italy. However, by-products obtained during seed oil extraction and agricultural residues are often unused due to the absence of a receptive market and nearby processing centers. The carbon footprint (CF) methodology was used to compare the two supply chains considering the soil incorporation of all crop residues and by-products. The boundary of the supply chains analyzed includes all the agricultural processes that occur during cultivation and the subsequent oil extraction phase. Furthermore, research explored the direct and indirect environmental benefits of incorporating by-products into the soil, in terms of reducing the need for mineral fertilizers to restore soil fertility due to the nutrients contained in the buried biomass, and the potential carbon sequestration achievable. Results show that 1 kg of sunflower and hemp oil release 4.49 kg CO2-eq and 23.34 kg CO2-eq, respectively. Agriculture represents the most impacting phase and, in particular, fertilization, tillage and harvest are responsible for high emissions. The different results between the two supply chains can be attributed mainly to yield and extraction efficiency. The use of by-products as amended in the soil (avoided fertilizers) contributes to a reduction of greenhouse gas (GHG) emissions by -0.53 kg CO2-eq and -7.87 kg CO2-eq per kg of sunflower and hemp oils, respectively. Additionally, the sequestration of carbon in biomass can result in a further reduction of -1.16 and -33.6 kg CO2eq per kg of sunflower and hemp oil, respectively. In summary, sunflower oil production emits 74 % less CO2 than hemp oil. However, if all crop biomass is buried, hemp has the potential to be more sustainable. This phenomenon depends on many factors such as soil type, climate, and farming practices. The study outcomes can aid policymakers, farmers, and the agribusiness to make informed decisions on promoting and expanding sustainable sunflower and hemp cultivation in Italy.</t>
  </si>
  <si>
    <t>[Suardi, Alessandro; Beni, Claudio] Consiglio Ric Agr &amp; Anal Econ Agr CREA, Ctr Ric Ingn &amp; Trasformazioni Agroalimentari, Via Pascolare 16, I-00015 Monterotondo, Rome, Italy; [Bravo, Ilenia; Papetti, Patrizia] Univ Cassino &amp; Southern Lazio, Dept Econ &amp; Law Terr &amp; Prod Anal Lab, Via S Angelo, I-03043 Cassino, Italy; [Rana, Roberto Leonardo] Univ Foggia, Dept Econ, Via R Caggese 1, I-71121 Foggia, Italy</t>
  </si>
  <si>
    <t>Consiglio per la Ricerca in Agricoltura e L'analisi Dell'economia Agraria (CREA); University of Cassino; University of Foggia</t>
  </si>
  <si>
    <t>Rana, RL (corresponding author), Univ Foggia, Dept Econ, Via R Caggese 1, I-71121 Foggia, Italy.</t>
  </si>
  <si>
    <t>roberto.rana@unifg.it</t>
  </si>
  <si>
    <t>Papetti, Patrizia/GYJ-0995-2022; Rana, Roberto/I-8901-2016; BRAVO, Ilenia/HKW-7580-2023; Suardi, Alessandro/AAK-3656-2020; Beni, Claudio/AAK-9046-2020</t>
  </si>
  <si>
    <t>10.1016/j.ecolind.2024.111786</t>
  </si>
  <si>
    <t>OR2R3</t>
  </si>
  <si>
    <t>WOS:001208940100001</t>
  </si>
  <si>
    <t>Zhang, TT; Cui, JC; Duan, XH; Cui, DM; Liu, XK; Feng, QQ; Shen, Y; Han, HF; Ning, TY</t>
  </si>
  <si>
    <t>Zhang, Tingting; Cui, Jichao; Duan, Xiaohan; Cui, Dongmei; Liu, Xinkun; Feng, Qianqian; Shen, Ying; Han, Huifang; Ning, Tangyuan</t>
  </si>
  <si>
    <t>Subsoiling reduces CO2 concentrations in soil profile of winter wheat - summer maize rotation ecosystem in the North China Plain: a strategy to achieve carbon neutrality in farmland</t>
  </si>
  <si>
    <t>Soil CO2 concentrations; soil profile; tillage methods; subsoiling; carbon neutrality</t>
  </si>
  <si>
    <t>COLD TEMPERATE REGION; ORGANIC-CARBON; CONSERVATION TILLAGE; PADDY SOIL; STRAW MANAGEMENT; CROPPING SYSTEM; CH4; SEQUESTRATION; IMPACTS; YIELD</t>
  </si>
  <si>
    <t>Reducing CO2 emissions from agricultural soils is a key component of the overall carbon reduction strategy. The closed chamber method was used to continuously monitor CO2 concentration in soil profiles of winter wheat-summer maize rotation fields in the North China Plain (NCP) during 2015-2017. Additionally, we evaluated the contribution of different tillage methods (Rotary tillage (RT), Subsoiling (SS), No- tillage (ZT), and conventional tillage (CT) in combination with Straw return (s) and straw removal (0)) to reducing soil CO2 emission. The results showed that the concentration of CO2 increased with the soil depth and peaked at the 150 cm layer. The trend of CO2 concentration in soil profiles under different tillage treatments was CTS &gt; RTS &gt; ZT(S) &gt; SSS, and the average concentration in maize season was higher than that in wheat season. In addition, soil moisture and temperature in the 0-10 cm soil layer were significantly correlated with soil CO2 concentrations. Thus, our results highlight that the SSs plays a critical role in moderating soil CO2 emissions. This process merits further study to effectively regulate soil CO2 release and achieve carbon neutrality with less carbon emissions in farmland ecosystems.</t>
  </si>
  <si>
    <t>[Zhang, Tingting; Cui, Jichao; Duan, Xiaohan; Cui, Dongmei; Liu, Xinkun; Feng, Qianqian; Shen, Ying; Han, Huifang; Ning, Tangyuan] Shandong Agr Univ, Coll Agron, State Key Lab Crop Biol, Key Lab Crop Water Physiol &amp; Drought Tolerance Ger, Tai An, Peoples R China</t>
  </si>
  <si>
    <t>Han, HF (corresponding author), Shandong Agr Univ, Coll Agron, State Key Lab Crop Biol, Key Lab Crop Water Physiol &amp; Drought Tolerance Ger, Tai An, Peoples R China.</t>
  </si>
  <si>
    <t>hfhan75@163.com</t>
  </si>
  <si>
    <t>Liu, Xinkun/OLQ-0558-2025</t>
  </si>
  <si>
    <t>National Nature Science Foundation of China [32172127, 31771737, 31471453]</t>
  </si>
  <si>
    <t>National Nature Science Foundation of China(National Natural Science Foundation of China (NSFC))</t>
  </si>
  <si>
    <t>This work was financially supported in part by the National Nature Science Foundation of China (grant numbers 32172127, 31771737 and 31471453). Special thanks go to the reviewers who had provided much help to improve this paper.</t>
  </si>
  <si>
    <t>DEC 6</t>
  </si>
  <si>
    <t>10.1080/03650340.2023.2175819</t>
  </si>
  <si>
    <t>N3XL9</t>
  </si>
  <si>
    <t>WOS:000932117400001</t>
  </si>
  <si>
    <t>Li, ZH; Wei, BM; Wang, XD; Zhang, YL; Zhang, AF</t>
  </si>
  <si>
    <t>Li, Zhonghui; Wei, Binmeng; Wang, Xudong; Zhang, Yulin; Zhang, Afeng</t>
  </si>
  <si>
    <t>Response of soil organic carbon fractions and CO2 emissions to exogenous composted manure and calcium carbonate</t>
  </si>
  <si>
    <t>Interaction; Microbial activity; pH; Priming effect; Protective effect; SOC fractions</t>
  </si>
  <si>
    <t>LONG-TERM-FERTILIZATION; MICROBIAL BIOMASS; PHYSICAL-PROPERTIES; AGRICULTURAL SOILS; PADDY SOIL; MINERALIZATION; DYNAMICS; NITROGEN; MATTER; PH</t>
  </si>
  <si>
    <t>The addition of exogenous substances has an important influence on soil organic matter mineralization. The aim of the present study was to investigate the effect of calcium carbonate (CaCO3) and composted manure (CM) on soil organic C (SOC) fractions and soil CO2 emission in calcareous soil. We conducted a 105-day incubation experiment involving six treatments of two soils from Yangling (Y) and Tongchuan (T) on the Loess plateau, China, which had different CaCO3 and total organic C (TOC) content. Treatments consisted of 0, 30, and 50 g kg(-1) CaCO3 (Y0, Y30, Y50, T0, T30, and T50) and 0, 30, and 50 g kg(-1) CaCO3 plus 20 g kg(-1) CM (Y0-M, Y30-M, Y50-M, T0-M, T30-M and T50-M). Soil pH, CaCO3, CO2 emissions, TOC, microbial biomass C (MBC), dissolved organic C (DOC), readily oxidizable organic C (ROC), and bound humus (B-Hs) C were determined for each of the treatments. The application of CM increased MBC, DOC, and ROC, promoting the mineralization of SOC. However, the effects of CaCO3 addition on SOC fractions differed based on soil type and CM amendment. The addition of CaCO3 stimulated soil microbial population in the soils of Y and T. When soil was amended with CaCO3 alone, CaCO3 decreased DOC and ROC but increased B-Hs C, resulting in a reduction in soil CO2 emissions. When soil was amended with both CM and CaCO3, positive and negative net increments in soil CO2 emissions are possible, resulting in different soil cumulative CO2 emissions. These differences in interaction resulted from the priming effect of CaCO3 and CM on soil microbial community activity and the protective effect of CaCO3 on SOC. Soil CO2 emissions are determined by the combined effect of the protective effect of CaCO3 on SOM and the priming effect of soil microbes on SOC mineralization. The effect of the application of CM plus CaCO3 on SOC cycle in calcareous soils is affected by the degree of protection of SOC from SIC on the Loess plateau, China.</t>
  </si>
  <si>
    <t>[Li, Zhonghui; Wang, Xudong; Zhang, Yulin; Zhang, Afeng] Northwest A&amp;F Univ, Coll Resources &amp; Environm, Yangling 712100, Shaanxi, Peoples R China; [Wei, Binmeng] Shaanxi Land Construct Grp, Xian 710075, Shaanxi, Peoples R China</t>
  </si>
  <si>
    <t>Wang, XD (corresponding author), Northwest A&amp;F Univ, Coll Resources &amp; Environm, Yangling 712100, Shaanxi, Peoples R China.</t>
  </si>
  <si>
    <t>wangxudong01@126.com</t>
  </si>
  <si>
    <t>Special Fund for Agro-scientific Research in the Public Interest [201503116]; National Key Technology R&amp;D Program of the Ministry of Science and Technology, China [2012BAD14B11]</t>
  </si>
  <si>
    <t>Special Fund for Agro-scientific Research in the Public Interest; National Key Technology R&amp;D Program of the Ministry of Science and Technology, China(National Key Technology R&amp;D Program)</t>
  </si>
  <si>
    <t>This work was supported by the Special Fund for Agro-scientific Research in the Public Interest (201503116) and the National Key Technology R&amp;D Program of the Ministry of Science and Technology, China (2012BAD14B11). We are also grateful to Louis McDonald for editing the English language.</t>
  </si>
  <si>
    <t>10.1007/s11368-018-1946-y</t>
  </si>
  <si>
    <t>GD4KZ</t>
  </si>
  <si>
    <t>WOS:000430473300004</t>
  </si>
  <si>
    <t>Zajac, E; Smreczak, B; Skalski, T; Oleszczuk, R; Ukalska-Jaruga, A; Scharenbroch, BC</t>
  </si>
  <si>
    <t>Zajac, Ewelina; Smreczak, Bozena; Skalski, Tomasz; Oleszczuk, Ryszard; Ukalska-Jaruga, Aleksandra; Scharenbroch, Bryant C.</t>
  </si>
  <si>
    <t>Changes in Soil Organic Carbon Stocks and Chemical Properties in Organogenic Soils Under Long-Term Agricultural Use in Central Europe, Poland</t>
  </si>
  <si>
    <t>agricultural management; carbon dioxide; drainage; organic soils; peat; soil organic carbon</t>
  </si>
  <si>
    <t>LAND-USE; PEATLAND SOILS; DECOMPOSITION; SUBSIDENCE; EMISSIONS; PATTERNS; BALANCE</t>
  </si>
  <si>
    <t>Organic soils, particularly peatlands, are important carbon sinks. In Europe, almost half of the area has been drained mainly for agriculture, which causes problems with high carbon dioxide emissions. In Poland, peatlands are drained in 86% of the area, and most of them are used as grasslands. The aim of the study was to analyze changes in agriculturally used organogenic soils between 1975 and 2017 using data from 476 reference soil profiles. The results showed a significant decrease in organic soils (&gt;= 12% SOC), with an increase in percentage organo-mineral and mineral soils (&lt; 12% SOC). The depth of SOC-rich layers also decreased significantly and was accompanied by an increase in shallow soils (21-50 cm). The average SOC stock loss was almost 273 Mg Cha(-1) (from 500.4 Mg Cha(-1) to 228.0 Mg Cha(-1)), with the median being four times lower, and it was observed in 64% of sites. The most significant decrease in SOC stock, by 64.7% compared to 1975, occurred in organic soils (from 762.2 Mg Cha(-1) to 269.3 Mg Cha(-1)). Our analyses show that with increasing degradation of organic soils, factors that influence carbon content in soil change. In general, after 50 years, for organic soils, drainage was important, while for organo-mineral and mineral soils, chemical properties, especially nutrient availability, were crucial. Carbon loss was most evident in the driest region of the country. The results indicate that continuous grassland use on organic soils does not offset SOC losses caused by drainage. At the same time, in organo-mineral and mineral soils, a restraint of SOC stock loss was observed. This suggests that over 50 years of agricultural use of organogenic soils (mainly peat) along with their transformation, a balance between carbon output and input has been established. Considering this, it is an urgent task to update the area covered by organic soils used for agriculture, as it is important for reliable emission reporting and setting goals of organic soil protection and restoration.</t>
  </si>
  <si>
    <t>[Zajac, Ewelina] Agr Univ Krakow, Fac Environm Engn &amp; Geodesy, Dept Land Reclamat &amp; Environm Dev, Krakow, Poland; [Smreczak, Bozena; Ukalska-Jaruga, Aleksandra] State Res Inst, Inst Soil Sci &amp; Plant Cultivat, Pulawy, Poland; [Skalski, Tomasz] Silesian Tech Univ, Biotechnol Ctr, Gliwice, Poland; [Oleszczuk, Ryszard] Warsaw Univ Life Sci SGGW, Inst Environm Engn, Warsaw, Poland; [Scharenbroch, Bryant C.] Univ Wisconsin Stevens Point, Coll Nat Resources, Stevens Point, WI USA</t>
  </si>
  <si>
    <t>University of Agriculture in Krakow; Institute of Soil Science &amp; Plant Cultivation; Silesian University of Technology; Warsaw University of Life Sciences; University of Wisconsin System; University of Wisconsin Stevens Point</t>
  </si>
  <si>
    <t>Zajac, E (corresponding author), Agr Univ Krakow, Fac Environm Engn &amp; Geodesy, Dept Land Reclamat &amp; Environm Dev, Krakow, Poland.;Smreczak, B (corresponding author), State Res Inst, Inst Soil Sci &amp; Plant Cultivat, Pulawy, Poland.</t>
  </si>
  <si>
    <t>ewelina.zajac@urk.edu.pl; bozenas@iung.pulawy.pl</t>
  </si>
  <si>
    <t>Skalski, Tomasz/0000-0001-6059-8663</t>
  </si>
  <si>
    <t>Ministry of Agriculture and Rural Development, Republic of Poland</t>
  </si>
  <si>
    <t>The study was carried out within the IUNG-PIB's Multiannual Programme (2016-2020) granted by the Ministry of Agriculture and Rural Development, Republic of Poland, task 1.3 Monitoring of various soil parameters for a proper evaluation of the CAP. The authors would like to thank Paulina Matecka for her effort in preparing the database on organogenic soils in Poland.</t>
  </si>
  <si>
    <t>10.1002/ldr.5597</t>
  </si>
  <si>
    <t>4UH2T</t>
  </si>
  <si>
    <t>WOS:001459264000001</t>
  </si>
  <si>
    <t>Song, QL; Zhu, J; Gong, ZP; Feng, YJ; Wang, Q; Sun, Y; Zeng, XN; Lai, YC</t>
  </si>
  <si>
    <t>Song, Qiulai; Zhu, Jie; Gong, Zhenping; Feng, Yanjiang; Wang, Qi; Sun, Yu; Zeng, Xiannan; Lai, Yongcai</t>
  </si>
  <si>
    <t>Effect of straw retention on carbon footprint under different cropping sequences in Northeast China</t>
  </si>
  <si>
    <t>Straw retention; Continuous corn; Corn-soybean rotation; Carbon footprint; Forming factors; Carbon balance</t>
  </si>
  <si>
    <t>GREENHOUSE-GAS EMISSIONS; LIFE-CYCLE ASSESSMENT; WINTER-WHEAT; ENERGY; TILLAGE; SYSTEMS; AGRICULTURE; MANAGEMENT; BUDGET; SEQUESTRATION</t>
  </si>
  <si>
    <t>Inappropriate farm management practices can lead to increased agricultural inputs and changes in atmospheric greenhouse gas (GHG) emissions, impacting climate change. This study was initiated in 2012 to assess the potential for straw retention to mitigate the negative environmental impact of various cropping systems on the Songnen Plain using the life cycle assessment (LCA) method combined with field survey data. Straw retention (STR) and straw removal (STM) treatments were established in continuous corn (CC) and corn-soybean rotation (CS) systems in a split-plot experiment. The effects of straw retention on the carbon footprint (CF) of cropland under different cropping systems were compared. The CF under CC was 2434-2707 kg CO2 ha(-1) year(-1), 49-57% higher than that under CS. Nitrogen fertilizer produced the most CO2, accounting for 66-80% of the CF. The carbon balances of the CC and CS systems with STR were positive, with annual carbon sequestrations of 9633 and 2716 kg CO2 ha(-1) year(-1), respectively. The carbon balance (CB) of CC-STR was 255% higher than that of CS-STR. This study demonstrates that STR under CC cultivation is an environmentally friendly practice for agricultural production, can help achieve high-yield and low-carbon production in rainfed cropland, and can support the sustainable development of grain production in Northeast China.</t>
  </si>
  <si>
    <t>[Song, Qiulai; Feng, Yanjiang; Wang, Qi; Sun, Yu; Zeng, Xiannan; Lai, Yongcai] Heilongjiang Acad Agr Sci, Inst Crop Cultivat &amp; Tillage, Harbin 150086, Heilongjiang, Peoples R China; [Song, Qiulai] Minist Agr &amp; Rural Affairs, Key Lab Combining Farming &amp; Anim Husb, Harbin 150086, Heilongjiang, Peoples R China; [Zhu, Jie] Beijing Chalk Blue Sky Technol Co Ltd, Beijing 100102, Peoples R China; [Gong, Zhenping] Northeast Agr Univ, Coll Agr, Harbin 150030, Peoples R China</t>
  </si>
  <si>
    <t>Heilongjiang Academy of Agricultural Sciences; Northeast Agricultural University - China</t>
  </si>
  <si>
    <t>Gong, ZP (corresponding author), Northeast Agr Univ, Coll Agr, Harbin 150030, Peoples R China.</t>
  </si>
  <si>
    <t>gzpyx2004@163.com</t>
  </si>
  <si>
    <t>Liu, Jing-Xin/G-5151-2016</t>
  </si>
  <si>
    <t>National Natural Science Foundation of China [31901473]; Agricultural Science and Technology Innovation Leaping Project of Heilongjiang Academy of Agricultural Sciences in China [HNK2019CX12]</t>
  </si>
  <si>
    <t>National Natural Science Foundation of China(National Natural Science Foundation of China (NSFC)); Agricultural Science and Technology Innovation Leaping Project of Heilongjiang Academy of Agricultural Sciences in China</t>
  </si>
  <si>
    <t>This research was supported by the National Natural Science Foundation of China (No. 31901473) and the Agricultural Science and Technology Innovation Leaping Project of Heilongjiang Academy of Agricultural Sciences in China (No. HNK2019CX12).</t>
  </si>
  <si>
    <t>10.1007/s11356-021-14316-4</t>
  </si>
  <si>
    <t>WE8II</t>
  </si>
  <si>
    <t>WOS:000652446400010</t>
  </si>
  <si>
    <t>Arzumanyan, M; Lin, N; Wang, HY</t>
  </si>
  <si>
    <t>Arzumanyan, Mariam; Lin, Ning; Wang, Haoying</t>
  </si>
  <si>
    <t>Greening the Corn Belt: Low-carbon-intensity ammonia's role in the future of sustainable corn production</t>
  </si>
  <si>
    <t>JOURNAL OF RENEWABLE AND SUSTAINABLE ENERGY</t>
  </si>
  <si>
    <t>FERTILIZER APPLICATION; TRADE SYSTEM; CAP; EMISSIONS; OPTIONS</t>
  </si>
  <si>
    <t>Ammonia production is a significant source of carbon emissions globally, particularly in the agricultural sector, where it is extensively used as a fertilizer. This research suggests a potential avenue to reduce the carbon footprint of corn production for biofuels in the US Corn Belt. Conventional methods of producing nitrogenous fertilizers derived from ammonia are responsible for the highest CO2 emissions in the life cycle of corn production. We estimate that the total CO2 emissions can be reduced from 3.09 kg CO2 to 2.07 kg CO2 per bushel of corn (33% reduction) when conventional ammonia is replaced with green ammonia. If conventional ammonia is replaced with blue ammonia with carbon capture and storage, the total CO2 emissions can be reduced from 3.09 kg CO2 to 2.27 kg CO2 per bushel of corn (26% reduction). Despite these environmental benefits, our economic analysis reveals that even with policy incentives such as the 45Q and 45V tax credits, low-carbon-intensity ammonia is not yet cost-competitive with conventional ammonia. Renewable (green) ammonia, for instance, remains significantly more expensive at $532 (2024 US Dollar) per metric ton with 45V incentives compared to conventional ammonia at $249 per metric ton. Blue ammonia, even with the 45Q credit, costs $289 per metric ton-still higher than conventional ammonia. However, when a tiered carbon tax of $85 per ton of CO2 is applied to conventional ammonia, raising its cost to $326 per metric ton, blue ammonia becomes cost-competitive, but green ammonia still lags behind. This highlights the need for carbon pricing policies to enable the shift toward lower-carbon ammonia production, as tax credits alone are insufficient to close the cost gap.</t>
  </si>
  <si>
    <t>[Arzumanyan, Mariam; Lin, Ning] Univ Texas Austin, Bur Econ Geol, Austin, TX 78758 USA; [Wang, Haoying] New Mexico Inst Min &amp; Technol, Dept Business &amp; Technol Management, Socorro, NM 87801 USA</t>
  </si>
  <si>
    <t>University of Texas System; University of Texas Austin; New Mexico Institute of Mining Technology</t>
  </si>
  <si>
    <t>Arzumanyan, M (corresponding author), Univ Texas Austin, Bur Econ Geol, Austin, TX 78758 USA.</t>
  </si>
  <si>
    <t>mariam.arzumanyan@beg.utexas.edu; ning.lin@beg.utexas.edu; haoying.wang@nmt.edu</t>
  </si>
  <si>
    <t>Wang, Haoying/0000-0002-9171-7298; Lin, Ning/0000-0001-5721-020X</t>
  </si>
  <si>
    <t>University of Texas at Austin</t>
  </si>
  <si>
    <t>The authors want to thank colleagues from the University of Texas at Austin and Texas A&amp;M University for discussing low-carbon-intensity ammonia. In particular, we want to thank Edna Rodriguez Calzado for her support on ArcGIS maps.</t>
  </si>
  <si>
    <t>AIP Publishing</t>
  </si>
  <si>
    <t>MELVILLE</t>
  </si>
  <si>
    <t>1305 WALT WHITMAN RD, STE 300, MELVILLE, NY 11747-4501 USA</t>
  </si>
  <si>
    <t>1941-7012</t>
  </si>
  <si>
    <t>J RENEW SUSTAIN ENER</t>
  </si>
  <si>
    <t>J. Renew. Sustain. Energy</t>
  </si>
  <si>
    <t>10.1063/5.0227022</t>
  </si>
  <si>
    <t>O3N2R</t>
  </si>
  <si>
    <t>WOS:001370231300005</t>
  </si>
  <si>
    <t>Andrianarimanana, MH; Qin, ZH; Tanteliniaina, MFR</t>
  </si>
  <si>
    <t>Andrianarimanana, Mihasina Harinaivo; Qin, Zhaohui; Tanteliniaina, Mirindra Finaritra Rabezanahary</t>
  </si>
  <si>
    <t>The impact of environmental policy on the global consumption of climate-friendly crops: Evidence from crops reducing carbon emissions</t>
  </si>
  <si>
    <t>Climate change; Climate friendly crops; Consumption behaviors; Environmental policies; Mitigation strategies</t>
  </si>
  <si>
    <t>SEQUESTRATION</t>
  </si>
  <si>
    <t>The circular system between agricultural activities and climate change has increased countries 'mitigation strategies and actions. Overall, global environmental policies that mitigate the impact of agricultural activities on climate are limited to the interventions on the production side. Using a multi-period difference-in-differences model, we studied the impact of those policies on the consumption of Climate Friendly Crops (CFC). Overall, the results showed that most of the actual climate policies did not have a significant impact on the consumption of CFC. In particular, policies that set a specific benchmark for GHG emissions from agriculture can reduce the consumption of CFC while those advocating a dietary change can boost the consumption of CFC. Furthermore, we found that the consumption of CFC can increase after longer exposure to the policy which enhances the importance of early actions regarding climate change mitigation. Thus, to reach global climate targets, interventions at national and individual levels are required. Country-specific interventions such as rising consumers' awareness and knowledge about CFC are strongly recommended. Policies should also emphasize, product labeling, nutrition education, feeding program, and support to the producers of CFC.</t>
  </si>
  <si>
    <t>[Andrianarimanana, Mihasina Harinaivo] China Three Gorges Univ, Management Sci &amp; Engn Postdoctoral Res Stn, Yichang 443002, Peoples R China; [Qin, Zhaohui] China Three Gorges Univ, Coll Econ &amp; Management, Yichang 443002, Peoples R China; [Tanteliniaina, Mirindra Finaritra Rabezanahary] Chongqing Univ Liyang, Inst Smart City, Changzhou 213300, Jiangsu, Peoples R China</t>
  </si>
  <si>
    <t>China Three Gorges University; China Three Gorges University</t>
  </si>
  <si>
    <t>Qin, ZH (corresponding author), China Three Gorges Univ, Coll Econ &amp; Management, Yichang 443002, Peoples R China.</t>
  </si>
  <si>
    <t>qinzhaohui@ctgu.edu.cn</t>
  </si>
  <si>
    <t>Andrianarimanana, Mihasina Harinaivo/JEP-0465-2023; RABEZANAHARY TANTELINIAINA, MIRINDRA/HNC-5712-2023</t>
  </si>
  <si>
    <t>Rabezanahary Tanteliniaina, Mirina Finaritra/0000-0002-0753-8757; Anianarimanana, Mihasina Harinaivo/0009-0003-8216-2571</t>
  </si>
  <si>
    <t>National Social Science Fund of China; [21BMZ138]</t>
  </si>
  <si>
    <t>Acknowledgements This work was supported by the National Social Science Fund of China (21BMZ138) . Appendix A. Supplementary data Supplementary data to this article can be found online at https://doi.org/10.1016/j.envdev.2022.100774.</t>
  </si>
  <si>
    <t>10.1016/j.envdev.2022.100774</t>
  </si>
  <si>
    <t>6R6ZO</t>
  </si>
  <si>
    <t>WOS:000892449300003</t>
  </si>
  <si>
    <t>Macharia, JM; Ngetich, FK; Shisanya, CA</t>
  </si>
  <si>
    <t>Macharia, Joseph M.; Ngetich, Felix K.; Shisanya, Chris A.</t>
  </si>
  <si>
    <t>Parameterization, calibration and validation of the DNDC model for carbon dioxide, nitrous oxide and maize crop performance estimation in East Africa</t>
  </si>
  <si>
    <t>Animal manure; Climate-smart agriculture; Emission factors; Inorganic fertiliser; Maize; Yield-scaled greenhouse gas emissions</t>
  </si>
  <si>
    <t>SOIL; EMISSIONS; YIELD; N2O; HIGHLANDS; IMPACT; FLUXES; CH4</t>
  </si>
  <si>
    <t>Dynamic biogeochemical models are crucial tools for simulating the complex interaction between soils, climate and plants; thus the need for improving understanding of nutrient cycling and reduction of greenhouse gases (GHG) from the environment. This study aimed to calibrate and validate the DeNitrification-DeComposition (DNDC) model for soil moisture, temperature, respiration, nitrous oxide and maize crop growth simulation in drier sub-humid parts of the central highlands of Kenya. We measured soil GHG fluxes from a maize field under four different soil fertility management practices for one year using static chambers and gas chromatography. Using experimental data collected from four management practices during GHG sampling period, we parameterized the DNDC model. The results indicate that the DNDC model simulates daily and annual soil moisture, soil temperature, soil respiration (CO2), nitrous oxide (N2O), N2O yield-scaled emissions (YSE), N2O emission factors (EFs) and maize crop growth with a high degree of fitness. However, the DNDC simulations slightly underestimated soil temperature (2-6%), crop growth (2-45%) and N2O emissions (5-23%). The simulation over-estimated soil moisture (9-17%) and CO2 emissions (3-10%). It however, perfectly simulated YSE and EFs. Compared to the observed/measured annual GHG trends, the simulation results were relatively good, with an almost perfect fitting of emission peaks during soil rewetting at the onset of rains, coinciding with soil fertilisation. These findings provide reliable information in selecting best farm management practice, which simultaneously improves agricultural productivity and reduces GHG emissions, thus permitting climate-smart agriculture. The good DNDC simulated YSE and EFs values (Tier III) provide cheaper and reliable ways of filling the huge GHG data gap, reducing uncertainties in national GHG inventories and result to efficient targeting of mitigation measures in sub-Saharan Africa.</t>
  </si>
  <si>
    <t>[Macharia, Joseph M.; Shisanya, Chris A.] Kenyatta Univ, Dept Geog, POB 43844, Nairobi, Kenya; [Ngetich, Felix K.] Univ Embu, Dept Land &amp; Water Management, POB 6, Embu, Kenya</t>
  </si>
  <si>
    <t>Kenyatta University</t>
  </si>
  <si>
    <t>Macharia, JM (corresponding author), Kenyatta Univ, Dept Geog, POB 43844, Nairobi, Kenya.</t>
  </si>
  <si>
    <t>machariamjoseph@gmail.com</t>
  </si>
  <si>
    <t>Ngetich, Felix/L-1837-2013; Allan, Chrsitopher/ABE-7816-2020; Macharia, Joseph/AAV-2721-2020</t>
  </si>
  <si>
    <t>Ngetich, Felix/0000-0002-7058-7973;</t>
  </si>
  <si>
    <t>Kenyan government through the National Research Fund (NRF); System for Land-Based Emission Estimation in Kenya (SLEEK)</t>
  </si>
  <si>
    <t>This work was supported by the Kenyan government through the National Research Fund (NRF) and the System for Land-Based Emission Estimation in Kenya (SLEEK).</t>
  </si>
  <si>
    <t>e06977</t>
  </si>
  <si>
    <t>10.1016/j.heliyon.2021.e06977</t>
  </si>
  <si>
    <t>WE9MR</t>
  </si>
  <si>
    <t>WOS:000705942200022</t>
  </si>
  <si>
    <t>Ye, CX; Zhong, RD; Chen, XH; Jin, HY</t>
  </si>
  <si>
    <t>Ye, Changxin; Zhong, Ruida; Chen, Xiaohong; Jin, Haoyu</t>
  </si>
  <si>
    <t>Simulation of the strategic evolution process and interactions between stakeholders in water trading and carbon trading</t>
  </si>
  <si>
    <t>Water -carbon nexus; Water rights trading; Carbon emissions trading; Tripartite evolutionary game</t>
  </si>
  <si>
    <t>ENERGY; CLIMATE; NEXUS; POLICY; CHINA; AGRICULTURE; PLANTATIONS; COMPETITION; RESOURCES; MARKETS</t>
  </si>
  <si>
    <t>Water scarcity and carbon emissions are two of the most pressing issues facing the world. Water rights trading (WRT) and carbon emissions trading (CET) can alleviate pressure on resources and the environment and promote sustainable development. However, the relationship between water scarcity and carbon emissions results in a complex water-carbon nexus between sectors. To explore the mechanisms of interaction among related sectors in the context of WRT and CET, this study built a tripartite evolutionary game model that includes the agriculture, industry, and forestry sectors (AIFSs) to simulate the strategic evolution process and interactions between stakeholders based on replicated dynamic equations. Four cities in the Dongjiang River Basin (DRB) in southern China were analyzed to quantify the influence of key parameters on the strategic evolution process and reveal the relationship between sectors under the effect of WRT and CET. The results indicated that There is a significant impact of agricultural net benefits in the DRB on the choice of AIFS strategy, which in turn leads to better WRT that promotes the mutual coupling of AIFS strategies. In addition, strategy coupling brings higher relative returns and risks to the game system, and multiple markets enable AIFS to hedge losses that may result from single market failures in the mutual game. Furthermore, AIFS' behavioral strategies are not necessarily aligned with market expectations, which has implications for us as we guide the development of WRT and CET.</t>
  </si>
  <si>
    <t>[Ye, Changxin; Zhong, Ruida; Chen, Xiaohong; Jin, Haoyu] Sun Yat Sen Univ, Ctr Water Resources &amp; Environm, Guangzhou 510275, Peoples R China; [Ye, Changxin; Zhong, Ruida; Chen, Xiaohong; Jin, Haoyu] Sun Yat Sen Univ, Guangdong Engn Technol Res Ctr Water Secur Regulat, Guangzhou 510275, Peoples R China; [Ye, Changxin; Zhong, Ruida; Chen, Xiaohong; Jin, Haoyu] Sun Yat Sen Univ, Key Lab Water Cycle &amp; Water Secur Southern China G, Guangzhou 510275, Peoples R China</t>
  </si>
  <si>
    <t>Sun Yat Sen University; Sun Yat Sen University; Sun Yat Sen University</t>
  </si>
  <si>
    <t>Chen, XH (corresponding author), Sun Yat Sen Univ, Ctr Water Resources &amp; Environm, Guangzhou 510275, Peoples R China.</t>
  </si>
  <si>
    <t>eescxh@mail.sysu.edu.cn</t>
  </si>
  <si>
    <t>National Key R &amp; D Program of China; National Natural Science Foundation of China; [2021YFC3001000]; [U1911204]; [51861125203]</t>
  </si>
  <si>
    <t>National Key R &amp; D Program of China; National Natural Science Foundation of China(National Natural Science Foundation of China (NSFC)); ; ;</t>
  </si>
  <si>
    <t>The research is financially supported by National Key R &amp; D Program of China (2021YFC3001000) ; National Natural Science Foundation of China (Grant No. U1911204, 51861125203) . We thank LetPub ( www.letpub.com ) for its linguistic assistance during the preparation of this manuscript.</t>
  </si>
  <si>
    <t>10.1016/j.jhydrol.2022.128787</t>
  </si>
  <si>
    <t>6W5ON</t>
  </si>
  <si>
    <t>WOS:000895778100001</t>
  </si>
  <si>
    <t>Han, XQ; Dang, PF; Liao, LC; Song, FQ; Zhang, MM; Zhang, MX; Li, GQ; Wen, SY; Yang, N; Pan, XP; Wang, XF; Wang, W; Qin, XL; Joseph, CO; Siddique, KHM</t>
  </si>
  <si>
    <t>Han, Xiaoqing; Dang, Pengfei; Liao, Lechen; Song, Fangqi; Zhang, Miaomiao; Zhang, Maoxue; Li, Guoqing; Wen, Shuyue; Yang, Ning; Pan, Xiping; Wang, Xiaofan; Wang, Wen; Qin, Xiaoliang; Joseph, Charles O.; Siddique, Kadambot H. M.</t>
  </si>
  <si>
    <t>Combining slow-release fertilizer and plastic film mulching reduced the carbon footprint and enhanced maize yield on the Loess Plateau</t>
  </si>
  <si>
    <t>Plastic film mulching; Slow-release fertilizer; Maize grain yield; Carbon footprint; Economic benefits</t>
  </si>
  <si>
    <t>GREENHOUSE-GAS EMISSIONS; USE EFFICIENCY; WINTER-WHEAT; RIDGE-FURROW; SOIL; SYSTEM; CHINA; STRAW</t>
  </si>
  <si>
    <t>Agricultural practices significantly contribute to greenhouse gas (GHG) emissions, necessitating cleaner production technologies to reduce environmental pressure and achieve sustainable maize production. Plastic film mulching is commonly used in the Loess Plateau region. Incorporating slow-release fertilizers as a replacement for urea within this practice can reduce nitrogen losses and enhance crop productivity. Combining these techniques represents a novel agricultural approach in semi-arid areas. However, the impact of this integration on soil carbon storage (SOCS ), carbon footprint (CF), and economic benefits has received limited research attention. Therefore, we conducted an eight-year study (2015-2022) in the semi-arid northwestern region to quantify the effects of four treatments [urea supplied without plastic film mulching (CK-U), slow-release fertilizer supplied without plastic film mulching (CK-S), urea supplied with plastic film mulching (PM-U), and slow-release fertilizer supplied with plastic film mulching (PM-S)] on soil fertility, economic and environmental benefits. The results revealed that nitrogen fertilizer was the primary contributor to total GHG emissions ( &gt;= 71.97%). Compared to other treatments, PM-S increased average grain yield by 12.01%-37.89%, water use efficiency by 9.19%-23.33%, nitrogen accumulation by 27.07%-66.19%, and net return by 6.21%-29.57%. Furthermore, PM-S decreased CF by 12.87%-44.31% and CF per net return by 14.25%-41.16%. After eight years, PM-S increased SOCS (0-40 cm) by 2.46%, while PM-U decreased it by 7.09%. These findings highlight the positive effects of PM-S on surface soil fertility, economic gains, and environmental benefits</t>
  </si>
  <si>
    <t>[Han, Xiaoqing; Dang, Pengfei; Liao, Lechen; Zhang, Miaomiao; Zhang, Maoxue; Li, Guoqing; Wen, Shuyue; Yang, Ning; Pan, Xiping; Wang, Xiaofan; Qin, Xiaoliang] Northwest A&amp;F Univ, Coll Agron, Key Lab Crop Physi Ecol &amp; Tillage Sci Northwestern, Yangling 712100, Shaanxi, Peoples R China; [Song, Fangqi; Joseph, Charles O.] Univ Dar Es Salaam, Coll Agr Sci &amp; Food Technol, Dept Crop Sci &amp; Beekeeping Technol, Mwalimu Julius Nyerere Mlimani Campus,POB 35091, Dar Es Salaam, Tanzania; [Wang, Wen] Yulin Univ, Coll Life Sci, Chongwen Rd 4, Yulin 719000, Shaanxi, Peoples R China; [Siddique, Kadambot H. M.] Univ Western Australia, UWA Inst Agr, Perth, WA 6001, Australia; [Siddique, Kadambot H. M.] Univ Western Australia, Sch Agr &amp; Environm, Perth, WA 6001, Australia</t>
  </si>
  <si>
    <t>Northwest A&amp;F University - China; University of Dar es Salaam; Yulin University; University of Western Australia; University of Western Australia</t>
  </si>
  <si>
    <t>Qin, XL (corresponding author), Northwest A&amp;F Univ, Coll Agron, Key Lab Crop Physi Ecol &amp; Tillage Sci Northwestern, Yangling 712100, Shaanxi, Peoples R China.</t>
  </si>
  <si>
    <t>xiaoliangqin2006@163.com</t>
  </si>
  <si>
    <t>Siddique, Kadambot HM/B-3462-2011; Zhang, Miaomiao/IST-4392-2023; Siddique, Kadambot/B-3462-2011</t>
  </si>
  <si>
    <t>Siddique, Kadambot HM/0000-0001-6097-4235;</t>
  </si>
  <si>
    <t>National Natural Science Foundation of China [32071980]; Key Projects of Shaanxi Agricultural Collaborative Innovation and Extension Alliance [LMZD202201]; Key R&amp;D Project in Shaanxi Province [2021LLRH-07]; Shaanxi Natural Scientific Ba- sic Research Program project [2022JQ-157]</t>
  </si>
  <si>
    <t>National Natural Science Foundation of China(National Natural Science Foundation of China (NSFC)); Key Projects of Shaanxi Agricultural Collaborative Innovation and Extension Alliance; Key R&amp;D Project in Shaanxi Province; Shaanxi Natural Scientific Ba- sic Research Program project</t>
  </si>
  <si>
    <t>This work was supported by the National Natural Science Foundation of China (No. 32071980) , the Key Projects of Shaanxi Agricultural Collaborative Innovation and Extension Alliance (No. LMZD202201) , the Key R&amp;D Project in Shaanxi Province (No. 2021LLRH-07) , and Shaanxi Natural Scientific Ba- sic Research Program project (No. 2022JQ-157) .</t>
  </si>
  <si>
    <t>10.1016/j.jes.2023.12.001</t>
  </si>
  <si>
    <t>IW9S0</t>
  </si>
  <si>
    <t>WOS:001169499200001</t>
  </si>
  <si>
    <t>Soni, P</t>
  </si>
  <si>
    <t>Soni, Peeyush</t>
  </si>
  <si>
    <t>Agricultural Mechanization in Thailand: Current Status and Future Outlook</t>
  </si>
  <si>
    <t>Agriculture; Agricultural mechanization; Agricultural machinery industry; Status; Outlook; Thailand</t>
  </si>
  <si>
    <t>Mechanization plays pivotal role in Thailand, where agriculture is rapidly transforming from subsistence farming to agribusiness model on the country's 46.6 % total land allocation to agricultural activities. With average farm size of 4.04 ha/household, Thailand is a host of 5.9 million farms on 23.9 million ha agricultural land or 46.6 % of the total land area. Nearly 50 % of the total agricultural land is cultivated for rice, 21.5 % for field crops, and 21.2 % for fruit or horticultural crops. Agricultural mechanization for rice production has been the most impressive when compared to other crops in Thailand. Central plain of the country is the highest and nearly full mechanized region. The number of agricultural tractors per 1,000 ha of arable land in Thailand has exponentially increased since 1960s; on an average there are above 50 tractors per 1,000 ha of arable land. Currently there are two modes of utilizing agricultural machinery: as an owner and/or through custom hiring service. There exists considerable variation across the regions in Thailand in terms of agricultural machinery utilization. Labor shortage and necessity to lower production cost in agriculture make mechanization an inevitable solution in the present agricultural landscape in Thailand. It is expected that the demand for agricultural machinery will continue to increase in coming decade. However, different regions require different mechanization solutions. There seem to be a growing market for 4-wheeled tractors under 30 kW, along with matching rotary implements-which would be replacing the existing power tillers in rice production systems of Central plain and Northern regions. This paper reviews the current status of agricultural development, agricultural mechanization and agricultural machinery industry in Thailand, and discusses the trends to present future outlook.</t>
  </si>
  <si>
    <t>[Soni, Peeyush] Asian Inst Technol, Sch Environm Resources &amp; Dev, Agr Syst &amp; Engn, Bangkok 12120, Thailand; [Soni, Peeyush] Asian Assoc Agr Engn, Tokyo, Japan</t>
  </si>
  <si>
    <t>Asian Institute of Technology</t>
  </si>
  <si>
    <t>Soni, P (corresponding author), Asian Inst Technol, Sch Environm Resources &amp; Dev, Agr Syst &amp; Engn, Bangkok 12120, Thailand.;Soni, P (corresponding author), Asian Assoc Agr Engn, Tokyo, Japan.</t>
  </si>
  <si>
    <t>soni.ait@gmail.com</t>
  </si>
  <si>
    <t>Soni, Peeyush/AAA-1981-2019</t>
  </si>
  <si>
    <t>Soni, Peeyush/0000-0001-9533-6858</t>
  </si>
  <si>
    <t>DM3DM</t>
  </si>
  <si>
    <t>WOS:000376227000009</t>
  </si>
  <si>
    <t>Zuo, WA; Gu, BX; Zou, XW; Peng, K; Shan, YL; Yi, SQ; Shan, YH; Gu, CH; Bai, YC</t>
  </si>
  <si>
    <t>Zuo, Wengang; Gu, Binxian; Zou, Xiaowei; Peng, Kun; Shan, Yuli; Yi, Siqiang; Shan, Yuhua; Gu, Chuanhui; Bai, Yanchao</t>
  </si>
  <si>
    <t>Soil organic carbon sequestration in croplands can make remarkable contributions to China's carbon neutrality</t>
  </si>
  <si>
    <t>Soil organic carbon; China; Cropland; Carbon sequestration; Carbon neutrality</t>
  </si>
  <si>
    <t>CLIMATE-CHANGE; LAND-USE; BULK-DENSITY; CROP YIELDS; STORAGE; INCREASE; DECOMPOSITION; ACCUMULATION; UNCERTAINTY; SENSITIVITY</t>
  </si>
  <si>
    <t>The vast cropland in China is an important carbon pool with substantial carbon sequestration potential. Here, this study estimated the soil organic carbon stock in China's croplands based on a comprehensive investigation of 7.5 million soil samples from 2209 counties. We show that China's croplands (0-20 cm) store 4.53-4.98 Pg organic carbon in total. The soil organic carbon stock increased from 29.13-34.54 to 33.51-36.90 Mg C ha(-1) during 1980-2010, with an annual average increase rate of 113.33 kg C ha(-1) yr(-1). The increase in soil organic carbon stock was mainly driven by the increasing inputs of crop residue and livestock manure. Furthermore, we designed four scenarios with different crop residue, livestock manure, and nitrogen fertilizer inputs to assess the soil organic carbon sequestration potential in China's croplands. The results show that the soil organic carbon storage is projected to reach 6.98-7.89 Pg by 2060, representing 6.1%-13.3% of the annual negative carbon emissions required by 2060 China's carbon neutrality target. We also proposed targeted strategies to further increase the soil organic carbon stock of cropland in different regions by considering characteristics such as soil properties and agricultural management practices.</t>
  </si>
  <si>
    <t>[Zuo, Wengang; Gu, Binxian; Yi, Siqiang; Shan, Yuhua; Bai, Yanchao] Yangzhou Univ, Coll Environm Sci &amp; Engn, Yangzhou 225127, Peoples R China; [Zou, Xiaowei; Peng, Kun] Shandong Univ, Inst Blue &amp; Green Dev, Weihai 264209, Peoples R China; [Shan, Yuli] Univ Birmingham, Sch Geog Earth &amp; Environm Sci, Birmingham B15 2TT, England; [Gu, Chuanhui] Duke Kunshan Univ, Environm Res Ctr, Kunshan 215316, Peoples R China; [Bai, Yanchao] Yangzhou Univ, Key Lab Arable Land Qual Monitoring &amp; Evaluat, Key Lab Saline Alkali Soil Improvement &amp; Utilizat, Minist Agr &amp; Rural Affairs, Yangzhou 225127, Peoples R China</t>
  </si>
  <si>
    <t>Yangzhou University; Shandong University; University of Birmingham; Duke Kunshan University; Yangzhou University</t>
  </si>
  <si>
    <t>Bai, YC (corresponding author), Yangzhou Univ, Coll Environm Sci &amp; Engn, Yangzhou 225127, Peoples R China.;Gu, CH (corresponding author), Duke Kunshan Univ, Environm Res Ctr, Kunshan 215316, Peoples R China.</t>
  </si>
  <si>
    <t>cg294@duke.edu; ycbai@yzu.edu.cn</t>
  </si>
  <si>
    <t>Gu, Chuanhui/D-1781-2017; Shan, Yuli/N-7747-2015; Peng, Kun/MIQ-2122-2025</t>
  </si>
  <si>
    <t>Gu, Chuanhui/0000-0003-3445-648X; Peng, Kun/0009-0004-8687-7301; Shan, Yuli/0000-0002-5215-8657;</t>
  </si>
  <si>
    <t>Fund for Key Laboratory of Organic Geochemistry, GIGCAS, China [SKLOG202118]; Fund for State Key Laboratory of Pollution Control and Resource Utilization, China [PCRRF21036]; Research Fund for Jiangsu Agricultural Industry Tech-nology System [JATS [2022] 352, ATS [2022] 353, JATS [2022] 354]; High-Rank Talent of Yangzhou University; Jiangsu Province, China</t>
  </si>
  <si>
    <t>Fund for Key Laboratory of Organic Geochemistry, GIGCAS, China; Fund for State Key Laboratory of Pollution Control and Resource Utilization, China; Research Fund for Jiangsu Agricultural Industry Tech-nology System; High-Rank Talent of Yangzhou University; Jiangsu Province, China</t>
  </si>
  <si>
    <t>This work was supported by the Fund for Key Laboratory of Organic Geochemistry, GIGCAS, China (SKLOG202118) , Fund for State Key Laboratory of Pollution Control and Resource Utilization, China (PCRRF21036) , Research Fund for Jiangsu Agricultural Industry Tech-nology System (JATS [2022] 352, JATS [2022] 353, and JATS [2022] 354) , and the Blue-Blue Project and High-Rank Talent of Yangzhou University and Jiangsu Province, China.</t>
  </si>
  <si>
    <t>10.1016/j.jclepro.2022.135268</t>
  </si>
  <si>
    <t>8B9RU</t>
  </si>
  <si>
    <t>WOS:000917257400009</t>
  </si>
  <si>
    <t>Zhao, L; Li, QH; Lu, YF; Chen, HM; Min, J; Shen, RF; Zhao, XQ</t>
  </si>
  <si>
    <t>Zhao, Lin; Li, Qinghua; Lu, Yufang; Chen, Hongmei; Min, Ju; Shen, Ren Fang; Zhao, Xue Qiang</t>
  </si>
  <si>
    <t>The dual role of organic carbon: Mitigation of nitrogen-induced soil acidification but amplification of greenhouse gas emissions</t>
  </si>
  <si>
    <t>Carbon addition; Greenhouse gas; Microbial nitrogen assimilation; Nitrogen fertilizer; Nitrogen transformation; Soil acidification</t>
  </si>
  <si>
    <t>DENITRIFICATION; INPUT; N2O; PH</t>
  </si>
  <si>
    <t>Nitrogen (N) fertilization accelerates soil acidification and increases nitrous oxide (N2O) emissions in agricultural systems. Organic carbon (C) is a critical regulator of microbial-mediated N transformations, but the interactive effects of combined C and N inputs on soil acidification dynamics and greenhouse gas emissions remain poorly understood. Here, a 5-month field experiment was conducted to determine the temporal dynamics of soil pH, inorganic N pools, total C and N contents, microbial biomass C and N, and greenhouse gas (N2O and CO2) fluxes under four treatments: urea alone and urea combined with three different C sources (glucose, sucrose, starch). Application of N alone induced significant soil acidification (Delta pH = -0.72), whereas co-application of N with C sources mitigated acidification through increasing pH (by 0.28-0.39 units). Starch had the strongest buffering effect. Carbon supplementation substantially enhanced microbial biomass pools (140 %-212 % increase in microbial biomass C; 15 %-46 % increase in microbial biomass N) and stimulated microbial N assimilation, thereby suppressing nitrification processes. Despite these benefits, C addition paradoxically upregulated N2O-related functional gene abundance and amplified greenhouse gas emissions, elevating N2O fluxes by 88 %-163 % and CO2 emissions by 559 %-992 % compared with N-only treatment. Temporal analyses revealed that labile C forms (glucose/sucrose) had rapid but transient effects, whereas starch induced delayed but sustained responses. These results demonstrate that organic C amendments exert dual regulation functions in N-fertilized soils: alleviating acidification through modified microbial N partitioning, but intensifying C and N biogeochemical cycling that drive greenhouse gas production.</t>
  </si>
  <si>
    <t>[Zhao, Lin; Lu, Yufang; Min, Ju; Shen, Ren Fang; Zhao, Xue Qiang] Chinese Acad Sci, Inst Soil Sci, State Key Lab Soil &amp; Sustainable Agr, Nanjing 211135, Peoples R China; [Li, Qinghua; Chen, Hongmei] Fujian Acad Agr Sci, Inst Resources Environm &amp; Soil Fertilizer, Fuzhou 350013, Peoples R China; [Zhao, Lin; Lu, Yufang; Min, Ju; Shen, Ren Fang; Zhao, Xue Qiang] Univ Chinese Acad Sci, Beijing 100049, Peoples R China</t>
  </si>
  <si>
    <t>Chinese Academy of Sciences; Nanjing Institute of Soil Science, CAS; Fujian Academy of Agricultural Sciences; Chinese Academy of Sciences; University of Chinese Academy of Sciences, CAS</t>
  </si>
  <si>
    <t>Zhao, XQ (corresponding author), Chinese Acad Sci, Inst Soil Sci, State Key Lab Soil &amp; Sustainable Agr, Nanjing 211135, Peoples R China.</t>
  </si>
  <si>
    <t>xqzhao@issas.ac.cn</t>
  </si>
  <si>
    <t>Chen, Hongmei/T-9222-2017</t>
  </si>
  <si>
    <t>Strategic Priority Research Program of the Chinese Academy of Sciences [XDA0440201]; National Key Research and Development Program of China [2023YFD1901504]; The 14th Five-Year Plan period of Institute of Soil Science, Chinese Academy of Sciences [ISSASIP2201]</t>
  </si>
  <si>
    <t>Strategic Priority Research Program of the Chinese Academy of Sciences(Chinese Academy of Sciences); National Key Research and Development Program of China(National Key Research &amp; Development Program of China); The 14th Five-Year Plan period of Institute of Soil Science, Chinese Academy of Sciences</t>
  </si>
  <si>
    <t>This work was supported by the Strategic Priority Research Program of the Chinese Academy of Sciences (No. XDA0440201) , the National Key Research and Development Program of China (No. 2023YFD1901504), and the self-initiated projects during the 14th Five-Year Plan period of Institute of Soil Science, Chinese Academy of Sciences (No. ISSASIP2201) . We thank Jennifer Smith, PhD, from Liwen Bianji (Edanz) (www.liwenbianji.cn) for editing the English text of a draft of this manuscript.</t>
  </si>
  <si>
    <t>10.1016/j.jenvman.2025.127485</t>
  </si>
  <si>
    <t>8FJ2N</t>
  </si>
  <si>
    <t>WOS:001587344900001</t>
  </si>
  <si>
    <t>Ilyasov, DV; Molchanov, AG; Suvorov, GG; Glagolev, MV; Sirin, AA</t>
  </si>
  <si>
    <t>Ilyasov, Danil V.; Molchanov, Alexander G.; Suvorov, Gennady G.; Glagolev, Mikhail V.; Sirin, Andrey A.</t>
  </si>
  <si>
    <t>Net ecosystem exchange of carbon dioxide on hayland with drained peat soil in central European Russia: mowing scenario analysis</t>
  </si>
  <si>
    <t>CO2 balance; drained peatland; hayland; chamber method; CO2 exchange modelling</t>
  </si>
  <si>
    <t>ORGANIC-MATTER; FEN PEATLAND; CO2; EMISSIONS; GRASS; N2O; CH4; RESPIRATION; BALANCE; NORWAY</t>
  </si>
  <si>
    <t>Haylands are the mildest option for the agricultural use of drained peatlands in terms of CO2 emissions. However, CO2 fluxes and their balance may depend on various conditions including the frequency of mowing and amount of phytomass removed. Based on field measurements of CO2 fluxes using the chamber method and monitoring of environmental factors conducted in 2018-2020 on hayland and fallow on drained peatland in central European Russia, a mathematical model of CO2 balance was built. Numerical experiments showed that mowing of hayland, irrespective of the intensity, did not lead to an increase in CO2 emissions compared to fallow. Fallow and hayland after single mowing had closely modelled net ecosystem exchange (NEE) values: 9.9 +/- 2.4 and 8.5 +/- 2.7 t C ha(-1) season(-1), respectively. Furthermore, a single mowing turned out 2.8 t ha(-1) of hay (0.8 +/- 0.1 t C ha(-1)), and 4.4 (1.4 +/- 0.1) after double mowing. The modelled NEE after double mowing increased to 9.4 +/- 2.9 t C ha(-1) season(-1). A single mowing session in early summer is recommended. Compared to other uses, e.g. arable land, mowing on hayland is a compromise between reducing CO2 emissions and gaining economic benefits from drained peatlands.</t>
  </si>
  <si>
    <t>[Ilyasov, Danil V.; Molchanov, Alexander G.; Suvorov, Gennady G.; Glagolev, Mikhail V.; Sirin, Andrey A.] Russian Acad Sci, Inst Forest Sci, Moscow, Russia; [Glagolev, Mikhail V.] Lomonosov Moscow State Univ, Fac Soil Sci, Moscow, Russia; [Glagolev, Mikhail V.] Yugra State Univ, Khanty Mansiysk, Russia; [Glagolev, Mikhail V.] Russian Acad Sci, AN Severtsov Inst Ecol &amp; Evolut, Moscow, Russia</t>
  </si>
  <si>
    <t>Russian Academy of Sciences; Institute of Forest Science, Russian Academy of Sciences; Lomonosov Moscow State University; Yugra State University; Russian Academy of Sciences; Saratov Scientific Center of the Russian Academy of Sciences; Severtsov Institute of Ecology &amp; Evolution</t>
  </si>
  <si>
    <t>Ilyasov, DV (corresponding author), Russian Acad Sci, Inst Forest Sci, Uspenskoye, Moscow Region, Russia.</t>
  </si>
  <si>
    <t>ilyasov@ilan.ras.ru</t>
  </si>
  <si>
    <t>Glagolev, Mikhail/J-4878-2012; Ilyasov, Danil/K-2256-2018; Sirin, Andrey/K-5863-2013; Suvorov, Gennady/K-2514-2018; Il'yasov, Danil/K-2256-2018</t>
  </si>
  <si>
    <t>Ilyasov, Danil/0000-0003-1627-6143;</t>
  </si>
  <si>
    <t>Russian Science Foundation [19-74-20185]; project 'Restoration of peatlands in Russia for fire prevention and climate change mitigation' - International Climate Initiative of the Federal Environment Ministry [11 III 040 RUS K]; Russian Science Foundation [19-74-20185] Funding Source: Russian Science Foundation</t>
  </si>
  <si>
    <t>Russian Science Foundation(Russian Science Foundation (RSF)); project 'Restoration of peatlands in Russia for fire prevention and climate change mitigation' - International Climate Initiative of the Federal Environment Ministry; Russian Science Foundation(Russian Science Foundation (RSF))</t>
  </si>
  <si>
    <t>This work was supported by the Russian Science Foundation project 19-74-20185 and the project 'Restoration of peatlands in Russia for fire prevention and climate change mitigation', funded by the International Climate Initiative of the Federal Environment Ministry and managed through the German development bank KfW (project no. 11 III 040 RUS K Restoration of peatlands).</t>
  </si>
  <si>
    <t>10.1080/03650340.2021.1982135</t>
  </si>
  <si>
    <t>8G7VM</t>
  </si>
  <si>
    <t>WOS:000699866600001</t>
  </si>
  <si>
    <t>Shan, W; Jin, XB; Yang, XH; Gu, ZM; Han, B; Li, HB; Zhou, YK</t>
  </si>
  <si>
    <t>Shan, Wei; Jin, Xiaobin; Yang, Xuhong; Gu, Zhengming; Han, Bo; Li, Hanbing; Zhou, Yinkang</t>
  </si>
  <si>
    <t>A framework for assessing carbon effect of land consolidation with life cycle assessment: A case study in China</t>
  </si>
  <si>
    <t>Land consolidation (LC); Life cycle assessment (LCA); Carbon footprint; Framework; Carbon accounting</t>
  </si>
  <si>
    <t>IMPACT; LCA; FOOTPRINTS; EMISSIONS; SCHEMES</t>
  </si>
  <si>
    <t>Ecological transformation is an inevitable trend for the development of land consolidation (LC) worldwide, and the research on carbon effect of LC is an important theoretical basis for promoting the construction of Eco-LC. However, there is currently a lack of analysis of the carbon effect based on the whole process of LC, ignoring the stage elements and temporal factors. This study applied Life Cycle Assessment (LCA) method to construct a research framework and accounting system for carbon footprint assessment of LC, and explored the carbon effect in a typical land consolidation project area (LCPA) of China. Results showed that: (a) The carbon effect of the project area was characterized as carbon emission during the whole life cycle of LC. Carbon footprint before and after LC was 3.251 tCE.ha(-1).a(-1) and 2.401 tCE.ha(-1).a(-1) respectively. The carbon storage reduced and the carbon footprint is declined by 0.850 tCE.ha(-1).a(-1). (b) Carbon effect varied among different stages of LC. The Benefit Period (BP) was the only stage that was manifested as carbon absorption (-14.65%), while all the other stages were manifested as carbon emission. Among them, as to the carbon emission, the Construction Period (CP) played a decisive role with the most proportion (102.74%), followed by DP and RP, and the carbon effect of PP was negligible. (c) The dominant factors of carbon effect at different stages were also different. During CP, cement contributed the most to the carbon emission in this case. During RP, carbon sequestration effect of cropland proved to be the most significant. During RP, the carbon sequestration effect of cultivated land and the carbon emission effect of unused land were the most prominent. During BP, the carbon sequestration capacity of farmland ecosystems proved to be greater than the carbon emissions from agricultural activities. This study contributes to providing certain theoretical guidance and method reference for the realization of Low-Carbon LC project planning, with this comprehensive and reliable method.</t>
  </si>
  <si>
    <t>[Shan, Wei; Jin, Xiaobin; Yang, Xuhong; Gu, Zhengming; Han, Bo; Li, Hanbing; Zhou, Yinkang] Nanjing Univ, Sch Geog &amp; Oceanog Sci, 163 Xianlin Ave, Nanjing 210023, Peoples R China; [Shan, Wei; Jin, Xiaobin; Zhou, Yinkang] Minist Land &amp; Resources, Key Lab Coastal Zone Exploitat &amp; Protect, 163 Xianlin Ave, Nanjing 210023, Peoples R China</t>
  </si>
  <si>
    <t>Shan, W; Jin, XB (corresponding author), Nanjing Univ, Sch Geog &amp; Oceanog Sci, 163 Xianlin Ave, Nanjing 210023, Peoples R China.</t>
  </si>
  <si>
    <t>vivishan@smail.nju.edu.cn; jinxb@nju.edu.cn</t>
  </si>
  <si>
    <t>Zhou, yin/HGE-2329-2022; Han, Bo/IVV-8491-2023; Shan, Wei/ODK-4782-2025</t>
  </si>
  <si>
    <t>HAN, BO/0000-0002-9217-9401</t>
  </si>
  <si>
    <t>National Science and Technology Support Program of China [2015BAD06B02]; program B for Outstanding PhD candidate of Nanjing University [201902B079]</t>
  </si>
  <si>
    <t>National Science and Technology Support Program of China; program B for Outstanding PhD candidate of Nanjing University</t>
  </si>
  <si>
    <t>This work was supported by the National Science and Technology Support Program of China (No. 2015BAD06B02), and the program B for Outstanding PhD candidate of Nanjing University (No.201902B079).</t>
  </si>
  <si>
    <t>10.1016/j.jenvman.2020.110557</t>
  </si>
  <si>
    <t>LK8AT</t>
  </si>
  <si>
    <t>WOS:000531083400001</t>
  </si>
  <si>
    <t>Yachai, K; Kongboon, R; Gheewala, SH; Sampattagul, S</t>
  </si>
  <si>
    <t>Yachai, Kunlatida; Kongboon, Ratchayuda; Gheewala, Shabbir H.; Sampattagul, Sate</t>
  </si>
  <si>
    <t>Carbon footprint adaptation on green supply chain and logistics of papaya in Yasothon Province using geographic information system</t>
  </si>
  <si>
    <t>GIS; Logistics; Green supply chain; Network analysis; Carbon footprint; GHG</t>
  </si>
  <si>
    <t>CITY; ROUTES; MODEL</t>
  </si>
  <si>
    <t>This paper evaluated the carbon footprint of the papaya supply chain to Yasothon Market in Yasothon province, Thailand. There is high consumption of papaya in Yasothon municipality but a lack of papaya plantations in the area lead to a vast amount import of papaya. The study developed a green supply chain and logistics model, using network analysis. The best route for each significant case was the shortest route of the total distance from each registered stop. The results of the analysis revealed that papaya distributed from Ubon Ratchathani and Sisaket Farms should use the route generated by driving and distance impedance with the lowest greenhouse gas emissions at 898.42 kg CO(2)eq./FU. Meanwhile, the distribution from Nakorn Ratchasima should use the driving distance impedance to generate the route with the lowest greenhouse gas emissions at 987.37 k kg CO(2)eq./FU. While the papaya supply chain from Kamphaeng Phet, Kanchanaburi, Lopburi, and Ratchaburi to Khon Kaen Market with driving distance impedance is the best solution among all the alternative routes as it generates the lowest greenhouse gas emissions at 6620.23 kg CO(2)eq./FU. The results suggest that the distribution center can help reducing the distance, resulting in reducing greenhouse gas emissions. The results of the study can suggest the sustainable index of the papaya supply chain by comparing the conventional and improved environmental impact of the papaya supply chain from the green logistics model. The alternatives will be the suggestion of pathways towards improvements in green supply chain and logistics of papaya, which can also be considered for implementation in other agricultural products. (C) 2020 Elsevier Ltd. All rights reserved.</t>
  </si>
  <si>
    <t>[Yachai, Kunlatida; Sampattagul, Sate] Chiang Mai Univ, Fac Engn, Chiang Mai, Thailand; [Yachai, Kunlatida; Kongboon, Ratchayuda; Sampattagul, Sate] Chiang Mai Univ, Sci &amp; Technol Res Inst, Res Unit Energy Econ &amp; Ecol Management, Chiang Mai, Thailand; [Gheewala, Shabbir H.] King Mongkuts Univ Technol, Joint Grad Sch Energy &amp; Environm JGSEE, Bangkok, Thailand; [Gheewala, Shabbir H.] Minist Higher Educ Sci Res &amp; Innovat, Ctr Excellence Energy Technol &amp; Environm CEE, PERDO, Bangkok, Thailand</t>
  </si>
  <si>
    <t>Chiang Mai University; Chiang Mai University; King Mongkuts University of Technology North Bangkok; King Mongkuts University of Technology Thonburi</t>
  </si>
  <si>
    <t>Sampattagul, S (corresponding author), Chiang Mai Univ, Fac Engn, Chiang Mai, Thailand.</t>
  </si>
  <si>
    <t>sate@eng.cmu.ac.th</t>
  </si>
  <si>
    <t>Gheewala, Shabbir/ADH-5003-2022</t>
  </si>
  <si>
    <t>Gheewala, Shabbir/0000-0002-4300-1551; Kongboon, Ratchayuda/0000-0002-3364-4289</t>
  </si>
  <si>
    <t>Yasothon Municipality, Yasothon Province of Thailand; Thailand Greenhouse Gas Management Organization (Public Organization, Thailand); Joint Graduate School of Energy and Environment (JGSEE), King Mongkut's University of Technology Thonburi, Thailand; Graduate School Chiang Mai University, Faculty of Engineering, Chiang Mai University, Thailand; Research Unit for Energy Economic &amp; Ecological Management, Science and Technology Research Institute, Chiang Mai University, Thailand</t>
  </si>
  <si>
    <t>Yasothon Municipality, Yasothon Province of Thailand; Thailand Greenhouse Gas Management Organization (Public Organization, Thailand); Joint Graduate School of Energy and Environment (JGSEE), King Mongkut's University of Technology Thonburi, Thailand; Graduate School Chiang Mai University, Faculty of Engineering, Chiang Mai University, Thailand(Chiang Mai University); Research Unit for Energy Economic &amp; Ecological Management, Science and Technology Research Institute, Chiang Mai University, Thailand(Chiang Mai University)</t>
  </si>
  <si>
    <t>This study has been supported by Yasothon Municipality, Yasothon Province of Thailand; Thailand Greenhouse Gas Management Organization (Public Organization, Thailand; The Joint Graduate School of Energy and Environment (JGSEE), King Mongkut's University of Technology Thonburi, Thailand; The Graduate School Chiang Mai University, Faculty of Engineering, Chiang Mai University, Thailand; and Research Unit for Energy Economic &amp; Ecological Management, Science and Technology Research Institute, Chiang Mai University, Thailand.</t>
  </si>
  <si>
    <t>JAN 25</t>
  </si>
  <si>
    <t>10.1016/j.jclepro.2020.125214</t>
  </si>
  <si>
    <t>PU0SC</t>
  </si>
  <si>
    <t>WOS:000609019000011</t>
  </si>
  <si>
    <t>Lin, HY; Ge, SM; Xu, XG</t>
  </si>
  <si>
    <t>Lin, Haoyu; Ge, Shumeng; Xu, Xuanguo</t>
  </si>
  <si>
    <t>Impact of nudge strategies on carbon emission reduction behavioral decisions of dairy farmers</t>
  </si>
  <si>
    <t>carbon emission reduction; dairy farmers; nudge strategies; default options; social norms</t>
  </si>
  <si>
    <t>SOCIAL NORMS; CHOOSE; CHOICE; POLICY</t>
  </si>
  <si>
    <t>With the intensification of global climate change, reducing carbon emissions in the livestock industry has become essential for promoting low-carbon agricultural transformation. This study investigates how nudge strategies influence carbon reduction decision-making among dairy farmers in Shandong Province, China. Two types of nudge strategies-default options and social norms-were examined. Data were collected using a mixed-methods approach, including questionnaires, field interviews, and official government statistics. A total of 311 questionnaires were distributed, with 198 valid responses analyzed. The sampling strategy combined random and stratified sampling to ensure representativeness. Quantitative data were analyzed using stepwise regression models and instrumental variable (IV) methods to evaluate the effects of nudge strategies on carbon reduction behavior. Results show that both default options (e.g., implicit recommendation, limited cognition, loss aversion, and optimal consultation) and social norms (e.g., reference effect, cognitive preference, risk aversion, and peer pressure) significantly and positively affect farmers' carbon reduction behaviors. These strategies operate through complete mediation mechanisms. Additionally, younger farmers and those operating smaller-scale farms were found to be more susceptible to the influence of nudge strategies. Findings highlight the effectiveness of nudge strategies in promoting low-carbon behaviors among dairy farmers. This suggests that incorporating such behavioral interventions into agricultural policies could enhance the adoption of carbon reduction measures. Targeted implementation, enhanced policy incentives, and technical support are recommended to advance low-carbon and sustainable development in the dairy farming sector.</t>
  </si>
  <si>
    <t>[Lin, Haoyu; Xu, Xuanguo] Shandong Agr Univ, Coll Econ &amp; Management, Tai An, Peoples R China; [Ge, Shumeng] Shandong Management Univ, Coll Econ &amp; Trade, Jinan, Peoples R China</t>
  </si>
  <si>
    <t>Shandong Agricultural University; Shandong Management University</t>
  </si>
  <si>
    <t>Xu, XG (corresponding author), Shandong Agr Univ, Coll Econ &amp; Management, Tai An, Peoples R China.</t>
  </si>
  <si>
    <t>xuanguoxu@163.com</t>
  </si>
  <si>
    <t>JUN 5</t>
  </si>
  <si>
    <t>10.3389/fsufs.2025.1569594</t>
  </si>
  <si>
    <t>3XH7H</t>
  </si>
  <si>
    <t>WOS:001511226600001</t>
  </si>
  <si>
    <t>Kéraval, B; Lehours, AC; Colombet, J; Amblard, C; Alvarez, G; Fontaine, S</t>
  </si>
  <si>
    <t>Keraval, Benoit; Lehours, Anne Catherine; Colombet, Jonathan; Amblard, Christian; Alvarez, Gael; Fontaine, Sebastien</t>
  </si>
  <si>
    <t>Soil carbon dioxide emissions controlled by an extracellular oxidative metabolism identifiable by its isotope signature</t>
  </si>
  <si>
    <t>ORGANIC-MATTER; ECOENZYMATIC STOICHIOMETRY; AGRICULTURAL SOILS; FRACTIONATION; STERILIZATION; MINERALIZATION; ENZYMES; CO2</t>
  </si>
  <si>
    <t>Soil heterotrophic respiration is a major determinant of the carbon (C) cycle and its interactions with climate. Given the complexity of the respiratory machinery, it is traditionally considered that oxidation of organic C into carbon dioxide (CO2) strictly results from intracellular metabolic processes. Here we show that C mineralization can operate in soils deprived of all observable cellular forms. Moreover, the process responsible for CO2 emissions in sterilized soils induced a strong C isotope fractionation (up to 50 parts per thousand) incompatible with respiration of cellular origin. The supply of C-13 glucose in sterilized soil led to the release of (CO2)-C-13 suggesting the presence of respiratory-like metabolism (glycolysis, decarboxylation reaction, chain of electron transfer) carried out by soil-stabilized enzymes, and by soil mineral and metal catalysts. These findings indicate that CO2 emissions from soils can have two origins: (1) from the well-known respiration of soil heterotrophic microorganisms and (2) from an extracellular oxidative metabolism (EXOMET) or, at least, catabolism. These two metabolisms should be considered separately when studying effects of environmental factors on the C cycle because the likelihood is that they do not obey the same laws and they respond differently to abiotic factors.</t>
  </si>
  <si>
    <t>[Keraval, Benoit; Lehours, Anne Catherine; Colombet, Jonathan; Amblard, Christian] Univ Blaise Pascal, Clermont Univ, Lab Microorganismes Genome &amp; Environm, BP 10448, F-63000 Clermont Ferrand, France; [Keraval, Benoit; Lehours, Anne Catherine; Colombet, Jonathan; Amblard, Christian] CNRS, UMR 6023, Lab Microorganismes Genome &amp; Environm, F-63178 Aubiere, France; [Keraval, Benoit; Alvarez, Gael; Fontaine, Sebastien] INRA, Unite Rech Ecosyst Prairial UR874, 5 Chemin Beaulieu, F-63039 Clermont Ferrand, France; [Alvarez, Gael] Clermont Univ, VetAgro Sup, BP 10448, F-6300 Clermont Ferrand, France</t>
  </si>
  <si>
    <t>Centre National de la Recherche Scientifique (CNRS); Universite Clermont Auvergne (UCA); Centre National de la Recherche Scientifique (CNRS); CNRS - Institute of Ecology &amp; Environment (INEE); INRAE; VetAgro Sup</t>
  </si>
  <si>
    <t>Kéraval, B (corresponding author), Univ Blaise Pascal, Clermont Univ, Lab Microorganismes Genome &amp; Environm, BP 10448, F-63000 Clermont Ferrand, France.;Kéraval, B (corresponding author), CNRS, UMR 6023, Lab Microorganismes Genome &amp; Environm, F-63178 Aubiere, France.;Kéraval, B (corresponding author), INRA, Unite Rech Ecosyst Prairial UR874, 5 Chemin Beaulieu, F-63039 Clermont Ferrand, France.</t>
  </si>
  <si>
    <t>benoit.keraval@gmail.com</t>
  </si>
  <si>
    <t>; Alvarez, Gaël/D-9675-2013; Kéraval, Benoit/ACI-1426-2022; Alvarez, Gaël/D-9675-2013</t>
  </si>
  <si>
    <t>LEHOURS, Anne-catherine/0000-0001-9151-4389; Alvarez, Gaël/0000-0002-2748-9542; Alvarez, Gaël/0000-0002-2748-9542</t>
  </si>
  <si>
    <t>project Adaptation and responses of organisms and carbon metabolism to climate change of the CPER program (French Ministry of Research); project Adaptation and responses of organisms and carbon metabolism to climate change of the CPER program (CNRS); project Adaptation and responses of organisms and carbon metabolism to climate change of the CPER program (INRA); project Adaptation and responses of organisms and carbon metabolism to climate change of the CPER program (Region Auvergne); project Adaptation and responses of organisms and carbon metabolism to climate change of the CPER program (FEDER); project EXCEED of the PICS (CNRS) program; Region Auvergne; FEDER</t>
  </si>
  <si>
    <t>project Adaptation and responses of organisms and carbon metabolism to climate change of the CPER program (French Ministry of Research); project Adaptation and responses of organisms and carbon metabolism to climate change of the CPER program (CNRS); project Adaptation and responses of organisms and carbon metabolism to climate change of the CPER program (INRA); project Adaptation and responses of organisms and carbon metabolism to climate change of the CPER program (Region Auvergne); project Adaptation and responses of organisms and carbon metabolism to climate change of the CPER program (FEDER); project EXCEED of the PICS (CNRS) program; Region Auvergne(Region Auvergne-Rhone-Alpes); FEDER(European Union (EU)Spanish Government)</t>
  </si>
  <si>
    <t>This work was supported by the project Adaptation and responses of organisms and carbon metabolism to climate change of the CPER program (French Ministry of Research, CNRS, INRA, Region Auvergne, FEDER) and by the project EXCEED of the PICS (CNRS) program. B. Keraval was supported by a PhD fellowship from the Region Auvergne and FEDER.</t>
  </si>
  <si>
    <t>10.5194/bg-13-6353-2016</t>
  </si>
  <si>
    <t>ED2YG</t>
  </si>
  <si>
    <t>WOS:000388715500001</t>
  </si>
  <si>
    <t>Rohanna, J; Tenzeldam, A; Jenkins, R; Li, Y; Schuitman, A</t>
  </si>
  <si>
    <t>Rohanna, John; Tenzeldam, Audra; Jenkins, Robin; Li, Yuan; Schuitman, Abe</t>
  </si>
  <si>
    <t>Rapid estimation of carbon footprints in agrochemical development: correlation of process mass intensity with CO2 emissions</t>
  </si>
  <si>
    <t>PEST MANAGEMENT SCIENCE</t>
  </si>
  <si>
    <t>sustainable crop protection; life cycle assessment; process mass intensity; product carbon footprint; environmental impact; greenhouse gas; sustainability strategy; crop protection; process science and technology; process chemistry</t>
  </si>
  <si>
    <t>BACKGROUNDThe agricultural sector faces a challenge in balancing increasing food demand while minimizing environmental impacts. Crop protection products are crucial for achieving high crop yields and ensuring food security. However, life cycle assessment (LCA), the standard framework for evaluating environmental impact, is time-consuming and costly, especially during early product development. To address this, a novel tool correlating process mass intensity (PMI) with greenhouse gas (GHG) emissions has been developed as a streamlined alternative.RESULTSA strong linear correlation (R2 = 0.95) was identified between PMI and product GHG emissions, enabling rapid carbon footprint estimation using simplified PMI data. The model was validated using 13 small molecule active ingredients (AIs), showing a mean absolute error (MAE) of 55 g CO2/kg AI and a root mean square error (RMSE) of 64 kg CO2/kg AI. Residual analysis demonstrated random distribution, suggesting reliable predictions.CONCLUSIONThe PMI-based tool provides rapid, accurate estimates of product carbon footprint (PCF), supporting early-stage decision-making in research and development for agrochemical processes. Its simplicity makes it applicable across various chemical sectors and valuable for sustainability efforts. (c) 2024 Society of Chemical Industry.</t>
  </si>
  <si>
    <t>[Rohanna, John; Li, Yuan; Schuitman, Abe] Corteva Agrisci, Crop Protect Small Mol Discovery &amp; Dev, 9330 Zionsville Rd, Indianapolis, IN 46268 USA; [Tenzeldam, Audra] Corteva Agrisci, Sustainabil Strategy, Indianapolis, IN USA; [Jenkins, Robin] Corteva Agrisci, Crop Protect Integrated Operat, Wilmington, DE USA</t>
  </si>
  <si>
    <t>Rohanna, J (corresponding author), Corteva Agrisci, Crop Protect Small Mol Discovery &amp; Dev, 9330 Zionsville Rd, Indianapolis, IN 46268 USA.</t>
  </si>
  <si>
    <t>john.rohanna@corteva.com</t>
  </si>
  <si>
    <t>JOHN WILEY &amp; SONS LTD</t>
  </si>
  <si>
    <t>CHICHESTER</t>
  </si>
  <si>
    <t>THE ATRIUM, SOUTHERN GATE, CHICHESTER PO19 8SQ, W SUSSEX, ENGLAND</t>
  </si>
  <si>
    <t>1526-498X</t>
  </si>
  <si>
    <t>1526-4998</t>
  </si>
  <si>
    <t>PEST MANAG SCI</t>
  </si>
  <si>
    <t>Pest Manag. Sci.</t>
  </si>
  <si>
    <t>10.1002/ps.8511</t>
  </si>
  <si>
    <t>Agronomy; Entomology</t>
  </si>
  <si>
    <t>Agriculture; Entomology</t>
  </si>
  <si>
    <t>1GM0K</t>
  </si>
  <si>
    <t>WOS:001357445400001</t>
  </si>
  <si>
    <t>Rincón-Riveros, JM; Rincón-Caro, MA; Sullivan, AP; Mendez-Espinosa, JF; Belalcazar, LC; Aguilar, MQ; Betancourt, RM</t>
  </si>
  <si>
    <t>Manuel Rincon-Riveros, Juan; Alejandra Rincon-Caro, Maria; Sullivan, Amy P.; Felipe Mendez-Espinosa, Juan; Carlos Belalcazar, Luis; Quirama Aguilar, Miguel; Morales Betancourt, Ricardo</t>
  </si>
  <si>
    <t>Long-term brown carbon and smoke tracer observations in Bogota, Colombia: association with medium-range transport of biomass burning plumes</t>
  </si>
  <si>
    <t>AEROSOL SOURCE APPORTIONMENT; NORTHERN SOUTH-AMERICA; AIR-QUALITY IMPACTS; LIGHT-ABSORPTION; BLACK CARBON; ELEMENTAL CARBON; VEGETATION FIRES; EMISSION FACTORS; ORGANIC AEROSOL; CHEMICAL-CHARACTERIZATION</t>
  </si>
  <si>
    <t>Light-absorbing aerosols emitted during open biomass burning (BB) events such as wildfires and agricultural burns have a strong impact on the Earth's radiation budget through both direct and indirect effects. Additionally, BB aerosols and gas-phase emissions can substantially reduce air quality at local, regional, and global scales, negatively affecting human health. South America is one of largest contributors to BB emissions globally. After Amazonia, the BB emissions from wildfires and agricultural burns in the grassland plains of northern South America (NSA) are the most significant in the region. However, few studies have analyzed the potential impact of NSA BB emissions on regional air quality. Recent evidence suggests that seasonal variations in air quality in several major cities in NSA could be associated with open biomass burning emissions, but it is still uncertain to what extent those sources impact air quality in the region. In this work, we report on 3 years of continuous equivalent black carbon (eBC) and brown carbon (BrC) observations at a hilltop site located upwind of the city of Bogota, and we demonstrate its association with fires detected by the MODerate-resolution Imaging Spectroradiometer (MODIS) in a 3000 km x 2000 km domain. Offline PM2.5 filter samples collected during three field campaigns were analyzed to quantify water-soluble organic carbon (WSOC), organic and elemental carbon (OC/EC), and biomass burning tracers such as levoglucosan, galactosan, and potassium. MODIS active fire data and HYSPLIT back trajectories were used to identify potential biomass burning plumes transported to the city. We analyzed the relationship between BrC, WSOC, water-soluble potassium, and levoglucosan to identify signals of the regional transport of BB aerosols. Our results confirm that regional biomass burning transport from wildfires occurs annually during the months of January and April. The seasonality of eBC closely followed that of PM2.5 at the city air quality stations; however, the observed seasonality of BrC is distinctly different to that of eBC and strongly associated with regional fire counts. The strong correlation between BrC and regional fire counts was observed at daily, weekly, and monthly timescales. WSOC at the measurement site was observed to increase linearly with levoglucosan during high BB periods and to remain constant at similar to 2.5 mu gC m(-3) during the low BB seasons. Our findings show, for the first time in this region, that aged BB plumes can regularly reach densely populated areas in the Central Andes of northern South America. A source footprint analysis involving BrC observations, back trajectories, and remotely sensed fire activity shows that the eastern savannas in NSA are the main BB source region for the domain analyzed.</t>
  </si>
  <si>
    <t>[Manuel Rincon-Riveros, Juan; Alejandra Rincon-Caro, Maria; Felipe Mendez-Espinosa, Juan; Quirama Aguilar, Miguel; Morales Betancourt, Ricardo] Univ Los Andes, Civil &amp; Environm Engn Dept, Bogota, Colombia; [Sullivan, Amy P.] Colorado State Univ, Dept Atmospher Sci, Ft Collins, CO 80523 USA; [Carlos Belalcazar, Luis] Univ Nacl Colombia, Bogota, Colombia</t>
  </si>
  <si>
    <t>Universidad de los Andes (Colombia); Colorado State University System; Colorado State University Fort Collins; Universidad Nacional de Colombia</t>
  </si>
  <si>
    <t>Betancourt, RM (corresponding author), Univ Los Andes, Civil &amp; Environm Engn Dept, Bogota, Colombia.</t>
  </si>
  <si>
    <t>r.moralesb@uniandes.edu.co</t>
  </si>
  <si>
    <t>Morales Betancourt, Ricardo/A-3827-2016; Morales Betancourt, Ricardo/A-3827-2016</t>
  </si>
  <si>
    <t>Morales Betancourt, Ricardo/0000-0002-5475-8605; Rincon-Riveros, Juan Manuel/0000-0001-7637-383X; Quirama Aguilar, Diego Miguel/0000-0002-2355-6875; Morales Betancourt, Ricardo/0000-0002-5475-8605; Sullivan, Amy/0000-0003-0143-8197; Mendez Espinosa, Juan Felipe/0000-0002-7672-1379; Belalcazar, Luis Carlos/0000-0001-7377-2755</t>
  </si>
  <si>
    <t>Colombian Administrative Department of Science, Technology and Innovation - COLCIENCIAS [FP44842-050-2017]; Office of the Vice Dean for Research of Universidad de los Andes (FAPA program)</t>
  </si>
  <si>
    <t>Colombian Administrative Department of Science, Technology and Innovation - COLCIENCIAS(Departamento Administrativo de Ciencia, Tecnologia e Innovacion Colciencias); Office of the Vice Dean for Research of Universidad de los Andes (FAPA program)</t>
  </si>
  <si>
    <t>This research has been supported by the Colombian Administrative Department of Science, Technology and Innovation - COLCIENCIAS (grant no. FP44842-050-2017) and the Office of the Vice Dean for Research of Universidad de los Andes (FAPA program).</t>
  </si>
  <si>
    <t>10.5194/acp-20-7459-2020</t>
  </si>
  <si>
    <t>MD2IK</t>
  </si>
  <si>
    <t>WOS:000543796900003</t>
  </si>
  <si>
    <t>Fradette, O; Marty, C; Faubert, P; Dessureault, PL; Paré, M; Bouchard, S; Villeneuve, C</t>
  </si>
  <si>
    <t>Fradette, Olivier; Marty, Charles; Faubert, Patrick; Dessureault, Pierre-Luc; Pare, Maxime; Bouchard, Sylvie; Villeneuve, Claude</t>
  </si>
  <si>
    <t>Additional carbon sequestration potential of abandoned agricultural land afforestation in the boreal zone: A modelling approach</t>
  </si>
  <si>
    <t>C sequestration; CBM-CFS3; Afforestation; Natural regeneration; Abandoned agricultural lands</t>
  </si>
  <si>
    <t>ORGANIC-CARBON; SOIL CARBON; LICHEN WOODLANDS; BLACK-SPRUCE; FOREST; DYNAMICS; ACCUMULATION; CHRONOSEQUENCE; BIOMASS; QUEBEC</t>
  </si>
  <si>
    <t>Agricultural land abandonment is a widespread phenomenon that generally results in C accumulation due to natural establishment of woody vegetation. However, whether afforestation of abandoned agricultural lands (AAL) can sequester more C than AAL naturally reverting to woodlands is unclear. In this study, we used the CBM-CFS3 model to compare the additional C sequestration potential of afforested AAL (AR) with a reference scenario where AAL naturally returns to forest (NR). Simulations were performed for stands located in Quebec's boreal zone (Canada) on podzolic soils. The AR scenario corresponded to stands afforested at a density of 2000 trees ha(-1) with one of five commonly planted species in the region, namely black spruce (BS), white spruce (WS), eastern white pine (EWP), jack pine (JP) and tamarack (TK). The NR scenario corresponded to stands naturally reverting to natural forests of one of five species naturally occurring in the region, namely BS, WS, balsam fir (BF), trembling aspen (TA) and white birch (WB). The yield tables used for NR were phased out by 5, 10, 15 and 20 years to simulate various dynamics of colonization by woody plants following agricultural abandonment. Net C accumulation in AR stands varies depending on the planted species, from 127 to 255 Mg C ha(-1) after 100 years with TK and WS, respectively. Net C accumulation in NR stands after 100 years ranges from 82 to 145 Mg C ha(-1) for BS and TA, respectively, but these values are sensitive to both tree density and colonization time following abandonment. In both scenarios, the soil C pool shrinks by 6 to 12 Mg C ha(-1) over the first 80-85 years, but the following soil C stock replenishment is faster in AR than in NR stands due to higher litter production (up to 50 Mg C ha(-1)). The additional C sequestration potential of AAL afforestation, i.e. the difference in net C accumulation between AR and NR stands, is the highest in stands afforested with WS and reaches a peak of 121-175 Mg C ha(-1) 80-87 years after afforestation depending on the NR scenario. Afterwards, additional C sequestration decreases due to a reduction in plantation growth combined with increasing natural regeneration growth. This modelling approach helps predict AAL additional C sequestration potential and suggests that AAL afforestation yields a more rapid C sequestration than natural regeneration, which could contribute to reaching net-zero emissions by 2050.</t>
  </si>
  <si>
    <t>[Fradette, Olivier; Marty, Charles; Faubert, Patrick; Dessureault, Pierre-Luc; Pare, Maxime; Bouchard, Sylvie; Villeneuve, Claude] Univ Quebec Chicoutimi, Dept Sci Fondamentales, Carbone Boreal, 9555 Blvd Univ, Chicoutimi, PQ G7H 2B1, Canada</t>
  </si>
  <si>
    <t>University of Quebec; University of Quebec Chicoutimi</t>
  </si>
  <si>
    <t>Fradette, O (corresponding author), Univ Quebec Chicoutimi, Dept Sci Fondamentales, Carbone Boreal, 9555 Blvd Univ, Chicoutimi, PQ G7H 2B1, Canada.</t>
  </si>
  <si>
    <t>Olivier_Fradette@uqac.ca; charles.marty1@uqac.ca; Patrick1_Faubert@uqac.ca; Pierre-Luc_Dessureault@uqac.ca; Maxime_Pare@uqac.ca; Sylvie1_Bouchard@uqac.ca; Claude_Villeneuve@uqac.ca</t>
  </si>
  <si>
    <t>; Marty, Charles/ADW-0509-2022; Faubert, Patrick/L-2555-2019</t>
  </si>
  <si>
    <t>Paré, Maxime/0000-0003-3482-4828;</t>
  </si>
  <si>
    <t>Carbone boreal</t>
  </si>
  <si>
    <t>We would like to thank Carbone boreal for its financial and logistic support. We also want to thank Stephen Kull of the Canadian Forest Service for his advice on CBM-CFS3, and Isabelle Delisle of the Conference Regional des Prefets for her advice on site quality index and yields table uses.</t>
  </si>
  <si>
    <t>10.1016/j.foreco.2021.119565</t>
  </si>
  <si>
    <t>UR7FK</t>
  </si>
  <si>
    <t>WOS:000696910300009</t>
  </si>
  <si>
    <t>Persiani, A; Diacono, M; Monteforte, A; Montemurro, F</t>
  </si>
  <si>
    <t>Persiani, Alessandro; Diacono, Mariangela; Monteforte, Antonio; Montemurro, Francesco</t>
  </si>
  <si>
    <t>Agronomic performance, energy analysis, and carbon balance comparing different fertilization strategies in horticulture under Mediterranean conditions</t>
  </si>
  <si>
    <t>Compost; Environmental sustainability; Carbon sources and sinks; Cauliflower; lettuce rotation; GHG; Energy efficiency</t>
  </si>
  <si>
    <t>GREENHOUSE-GAS EMISSIONS; LIFE-CYCLE ASSESSMENT; ORGANIC AMENDMENTS; SUSTAINABILITY; COMPOST; SYSTEM; PROVINCE; TILLAGE; PLANT</t>
  </si>
  <si>
    <t>Production capacity evaluation and environmental sustainability assessment allow defining both the most appropriate fertilization strategies and the agricultural systems management. The aims of this study were to investigate the following, in a cauliflower-lettuce rotation: (i) agricultural system agronomic performance, (ii) fertilization treatments environmental sustainability through the energy inputs/outputs analysis, and (iii) carbon footprint through the GHG emissions and carbon sequestration analyses. Three fertilization strategies were compared: (i) CM, compost from municipal solid waste; ii) MIN, mineral fertilizers; iii) MIX, the CM compost plus a mineral fertilizer. Cauliflower and lettuce responses to fertilization were influenced by climatic conditions from year to year, and among the fertilizer treatments, the CM demonstrated a better resilience to the extreme weather events. It also showed the highest renewable energy (44.3%), suggesting that the substitution of mineral fertilizers with organic ones may help to reduce the non-renewable energy depletion, thus promoting the sustainability in horticultural systems. The CM was the most efficient treatment, since the energy stocked as C in the soil (145,889MJha(-1)) and the net energy and the energy efficiency for cauliflower and lettuce (113,106MJha(-1) and 3.1, respectively) were the highest. Our results suggest that the application of the tested sustainable practices makes the farm a sink for the atmospheric CO2.</t>
  </si>
  <si>
    <t>[Persiani, Alessandro; Diacono, Mariangela] Res Ctr Agr &amp; Environm, Consiglio Ric Agr &amp; Anal Econ Agr, Via Celso Ulpiani 5, I-70125 Bari, Italy; [Monteforte, Antonio] Biovegetal Tersan Puglia SpA, Sp 231 Km 1600, I-70026 Bari, Italy; [Montemurro, Francesco] Res Ctr Vegetable &amp; Ornamental Crops, Consiglio Ric Agr &amp; Anal Econ Agr, Via Salaria 1, I-63030 Monsampolo Del Tronto, Ascoli Piceno, Italy</t>
  </si>
  <si>
    <t>Consiglio per la Ricerca in Agricoltura e L'analisi Dell'economia Agraria (CREA); Consiglio per la Ricerca in Agricoltura e L'analisi Dell'economia Agraria (CREA)</t>
  </si>
  <si>
    <t>Diacono, M (corresponding author), Res Ctr Agr &amp; Environm, Consiglio Ric Agr &amp; Anal Econ Agr, Via Celso Ulpiani 5, I-70125 Bari, Italy.</t>
  </si>
  <si>
    <t>Persiani, Alessano/0000-0002-8603-5591; Diacono, Mariangela/0000-0002-5501-8027;</t>
  </si>
  <si>
    <t>Tersan Puglia S.p.A.</t>
  </si>
  <si>
    <t>This research has been supported by Tersan Puglia S.p.A., research project AGROBIOFER: Studio delle performances AGROnomiche di un BIOFERtilizzante ottenuto dalla trasformazione industriale della frazione organica di rifiuti solidi urbani ed altri materiali organici.</t>
  </si>
  <si>
    <t>10.1007/s11356-019-05292-x</t>
  </si>
  <si>
    <t>IF4GY</t>
  </si>
  <si>
    <t>WOS:000473041000025</t>
  </si>
  <si>
    <t>Takeshima, H; Hatzenbuehler, PL; Edeh, HO</t>
  </si>
  <si>
    <t>Takeshima, Hiroyuki; Hatzenbuehler, Patrick L.; Edeh, Hyacinth O.</t>
  </si>
  <si>
    <t>Effects of agricultural mechanization on economies of scope in crop production in Nigeria</t>
  </si>
  <si>
    <t>Agricultural mechanization; Economies of scope; Crop diversification; Input distance function; Inverse-probability-weighting regression adjustment; Nigeria</t>
  </si>
  <si>
    <t>HOUSEHOLD INCOME; DIVERSIFICATION; SCALE; DISTANCE; DETERMINANTS; BIODIVERSITY; TECHNOLOGY; SERVICES; RETURNS; SYSTEM</t>
  </si>
  <si>
    <t>Agricultural mechanization has often been associated with scale-effects and increased specialization. Such characterizations, however, fail to explain how mechanization may grow in Africa where production environments are heterogeneous even within a farm household, and crop diversification may help in mitigating risks. Using panel data from farm households and crop-specific production costs in Nigeria, we estimate how the adoptions of animal traction or tractors affect the economies of scope (EOS) for rice, non-rice grains, and legumes/seeds, which are the crop groups that are most widely grown with animal traction or tractors in Nigeria, with respect to other non-rice crops. The inverse-probability-weighting method is used to address the potential endogeneity of mechanization adoption and is combined with primal- and dual-models of EOS estimation. The results show that the adoption of these mechanization technologies is associated with greater EOS between rice and non-rice crops but lower EOS among non-rice crops (i.e., between non-rice grains, legumes/seeds, and other non-rice crops). Mechanical technologies may raise EOS between crops that are grown in more heterogeneous environments, even though it may lower EOS between crops that are grown under relatively similar agroecological conditions. To the best of our knowledge, this is the first paper that shows the effects of mechanical technologies on EOS in agriculture in developing countries.</t>
  </si>
  <si>
    <t>[Takeshima, Hiroyuki] Int Food Policy Res Inst, 1201 Eye St NW, Washington, DC 20005 USA; [Hatzenbuehler, Patrick L.] Univ Idaho, Twin Falls Res &amp; Extens Ctr, 315 Falls Ave East, Twin Falls, ID 83301 USA; [Edeh, Hyacinth O.] Int Food Policy Res Inst, Nigeria Off, 6 Ogbagi St,Plot 1413,Garki 2, Abuja, Nigeria</t>
  </si>
  <si>
    <t>CGIAR; International Food Policy Research Institute (IFPRI); University of Idaho; CGIAR; International Food Policy Research Institute (IFPRI)</t>
  </si>
  <si>
    <t>H.takeshima@cgiar.org; phatzenbuehler@uidaho.edu; H.edeh@cgiar.org</t>
  </si>
  <si>
    <t>Takeshima, Hiroyuki/AAN-6611-2021; Hatzenbuehler, Patrick/KZU-8829-2024; Takebayashi, Hideki/H-3242-2016</t>
  </si>
  <si>
    <t>Takeshima, Hiroyuki/0000-0002-1761-408X; Hatzenbuehler, Patrick/0000-0002-2380-9596; Takebayashi, Hideki/0000-0002-9295-2855</t>
  </si>
  <si>
    <t>United States Agency for International Development (USAID); CGIAR Research Program on Policies, Institutions, and Markets (PIM)</t>
  </si>
  <si>
    <t>United States Agency for International Development (USAID)(United States Agency for International Development (USAID)CGIAR); CGIAR Research Program on Policies, Institutions, and Markets (PIM)(CGIAR)</t>
  </si>
  <si>
    <t>Authors are grateful for the constructive comments and suggestions from two anonymous reviewers and the journal editor. We would like also to thank George Mavrotas, Todd Benson, and Akeem Lawal for their constructive comments. We also thank seminar participants at the National Agricultural Extension and Research Liaison Services (NAERLS), Ahmadu-Bello University, and participants at the second Feed the Future Nigeria Agricultural Policy Project conference in Abuja in August 2018 for their feedback and suggestions. We are grateful to the United States Agency for International Development (USAID) and the CGIAR Research Program on Policies, Institutions, and Markets (PIM) led by the International Food Policy Research Institute (IFPRI) for providing financial assistance to conduct this study. The opinions expressed here belong to the authors, and do not necessarily reflect those of PIM, IFPRI, or CGIAR. The authors are responsible for all remaining errors.</t>
  </si>
  <si>
    <t>10.1016/j.agsy.2019.102691</t>
  </si>
  <si>
    <t>LB9UB</t>
  </si>
  <si>
    <t>WOS:000524974600012</t>
  </si>
  <si>
    <t>Cai, WJ; Gu, XB; Du, YD; Chang, T; Lu, SY; Zheng, XB; Bai, DP; Song, H; Sun, SK; Cai, HJ</t>
  </si>
  <si>
    <t>Cai, Wenjing; Gu, Xiaobo; Du, Yadan; Chang, Tian; Lu, Shiyu; Zheng, Xiaobo; Bai, Dongping; Song, Hui; Sun, Shikun; Cai, Huanjie</t>
  </si>
  <si>
    <t>Effects of mulching on water saving, yield increase and emission reduction for maize in China</t>
  </si>
  <si>
    <t>Mulching; Maize; Yield; Evapotranspiration; Crop water productivity; Greenhouse gases emissions</t>
  </si>
  <si>
    <t>GREENHOUSE-GAS EMISSIONS; NITROUS-OXIDE EMISSIONS; SOIL; MOISTURE; POTATO; STRAW; WHEAT</t>
  </si>
  <si>
    <t>Mulching, an agricultural management measure widely used in arid and semi-arid regions of China, can effectively improve the hydrothermal environment of farmland and increase crop yield and crop water productivity (WPc). However, previous studies on the effects of mulching on water saving, yield increase and emission reduction of maize have provided inconsistent results. Therefore, a meta-analysis was used in this study to (1) evaluate the effect of mulching types [plastic film (PM), straw (SM) and degradable film (DM)] on maize yield, evapotranspiration, WPc and greenhouse gas emissions; and (2) determine the effects of mulching measures on water saving, yield increase and emission reduction in maize farmland under different climatic conditions. Compared with the no-mulching control, mulching significantly raised maize yield, WPc and carbon dioxide (CO2) and nitrous oxide (N2O) emissions. The PM, SM and DM increased maize yield by 27.31 %, 6.98 % and 16.55 % compared with no-mulching, respectively, and correspondingly WPc by 34.08 %, 11.48 % and 24.20 %. The PM and SM significantly increased CO2 emissions by 39.91 % and 16.43 %, respectively, and N2O emissions by 51.1 % and 30.12 %, but had no significant effect on methane absorption. For maize planting, in areas with altitudes &lt; 500 and &gt; 1000 m, average annual rainfall &lt; 1000 mm, average annual air temperature of 5-15 degrees C and average annual evaporation &lt; 1500 mm, a combination of PM and ridge-furrow planting can achieve the best effect of increasing production and saving water. In areas with an altitude of 1000-1500 m and average annual evaporation of 1500-2000 mm, the DM had the greatest effect of improving yield (by 16.17 %) and saving water, with a decrease in evapotranspiration of 8.82 % and an increase in WPc of 24.71 %. The local level of mechanization and labor costs should be considered when choosing a maize mulching pattern.</t>
  </si>
  <si>
    <t>[Cai, Wenjing; Gu, Xiaobo; Du, Yadan; Chang, Tian; Lu, Shiyu; Zheng, Xiaobo; Bai, Dongping; Song, Hui; Sun, Shikun; Cai, Huanjie] Northwest A&amp;F Univ, Key Lab Agr Soil &amp; Water Engn Arid &amp; Semiarid Are, Minist Educ, Yangling 712100, Shaanxi, Peoples R China</t>
  </si>
  <si>
    <t>Gu, XB (corresponding author), 23 Weihui Rd, Yangling 712100, Shaanxi, Peoples R China.</t>
  </si>
  <si>
    <t>cwj17797310860@126.com; guxiaobo@nwafu.edu.cn</t>
  </si>
  <si>
    <t>cai, wenjing/JYO-6396-2024; Sun, SK/AAI-9111-2021</t>
  </si>
  <si>
    <t>National Key R&amp;D Program of China [2021YFD1900700]; National Natural Science Foundation of China [51909221]; China Postdoctoral Science Foundation [2020T130541, 2019M650277]</t>
  </si>
  <si>
    <t>National Key R&amp;D Program of China; National Natural Science Foundation of China(National Natural Science Foundation of China (NSFC)); China Postdoctoral Science Foundation(China Postdoctoral Science Foundation)</t>
  </si>
  <si>
    <t>This study was funded by the National Key R&amp;D Program of China (2021YFD1900700), National Natural Science Foundation of China (No. 51909221), China Postdoctoral Science Foundation (No. 2020T130541 and 2019M650277).</t>
  </si>
  <si>
    <t>10.1016/j.agwat.2022.107954</t>
  </si>
  <si>
    <t>SEP 2022</t>
  </si>
  <si>
    <t>5U9HY</t>
  </si>
  <si>
    <t>WOS:000876852000010</t>
  </si>
  <si>
    <t>Hao, GM; Zhu, HH; Cui, YC</t>
  </si>
  <si>
    <t>Hao, Guoming; Zhu, Honghui; Cui, Yechen</t>
  </si>
  <si>
    <t>Measurement and Influencing Factors of Carbon Emissions of China's Livestock Husbandry in the Post-COVID-19 Era-Based on the Supply-Side Perspective</t>
  </si>
  <si>
    <t>livestock husbandry; total carbon emissions; carbon intensity; supply-side; IPCC Tier 2 coefficients; COVID-19</t>
  </si>
  <si>
    <t>GREENHOUSE-GAS EMISSIONS; GHG EMISSIONS; FOOTPRINT; FARMS</t>
  </si>
  <si>
    <t>The strategy of carbon peaking and carbon neutrality and the COVID-19 pandemic have become dual challenges for the high-quality development of livestock husbandry. This paper takes the carbon emissions in China's livestock husbandry as the research object and uses the Intergovernmental Panel on Climate Change (IPCC) Tier 2 coefficient to measure the total carbon emissions and carbon intensity of the industry in 2008-2019. Taking the above two elements as explained variables respectively and using the two-way fixed effects model (FE-TW) that controls time and space effects, this paper specifically examines the effects of various factors in the supply side of livestock husbandry on the explained variables, and further examines the role of technology structure and scale structure. According to our measurement, total carbon emissions showed an inverted U-shaped change and carbon intensity declines in an M-shaped curve during the study period. Both total carbon emissions and carbon intensity are composed mainly of CH4 that is primarily generated by grass-fed livestock industries with spatial distribution patterns of hill and cliff, respectively, while the spatial expression of these two factors is related to the distribution of grain areas. As the test on supply side factors shows, the carbon emissions of livestock husbandry are apparently affected by its land structure, breeding structure, technical level and scale level, but the impact of the level of human capital and mechanization is not as significant as that of technological structure and scale structure. Combining the empirical results and the special background of the COVID-19 pandemic, this paper aims to provide more targeted suggestions for livestock husbandry development and carbon reduction during the COVID-19 pandemic period. It also aims to offer a reference for the promotion of green and high-quality development of livestock husbandry and the completion of the task of carbon peaking and carbon neutrality. This study will help policy makers to clarify the goal of reducing carbon emissions in animal husbandry and optimize and improve the corresponding industrial and technological policies.</t>
  </si>
  <si>
    <t>[Hao, Guoming; Zhu, Honghui] Shihezi Univ, Coll Econ &amp; Management, Shihezi 832003, Peoples R China; [Cui, Yechen] Henan Univ Econ &amp; Law, Sch Engn Management &amp; Real Estate, Zhengzhou 450046, Peoples R China</t>
  </si>
  <si>
    <t>Shihezi University; Henan University of Economics &amp; Law</t>
  </si>
  <si>
    <t>Zhu, HH (corresponding author), Shihezi Univ, Coll Econ &amp; Management, Shihezi 832003, Peoples R China.</t>
  </si>
  <si>
    <t>zhh_jm@shzu.edu.cn</t>
  </si>
  <si>
    <t>Xinjiang Production and Construction Corps [20YB23, 21YB05]</t>
  </si>
  <si>
    <t>Xinjiang Production and Construction Corps</t>
  </si>
  <si>
    <t>This research was funded by Xinjiang Production and Construction Corps (grant numbers 20YB23, 21YB05).</t>
  </si>
  <si>
    <t>10.3390/su15020913</t>
  </si>
  <si>
    <t>8A6OK</t>
  </si>
  <si>
    <t>WOS:000916356400001</t>
  </si>
  <si>
    <t>Forfora, N; Azuaje, I; Vivas, KA; Vera, RE; Brito, A; Venditti, R; Kelley, S; Tu, QS; Woodley, A; Gonzalez, R</t>
  </si>
  <si>
    <t>Forfora, Naycari; Azuaje, Ivana; Vivas, Keren A.; Vera, Ramon E.; Brito, Amelys; Venditti, Richard; Kelley, Stephen; Tu, Qingshi; Woodley, Alex; Gonzalez, Ronalds</t>
  </si>
  <si>
    <t>Evaluating biomass sustainability: Why below-ground carbon sequestration matters</t>
  </si>
  <si>
    <t>Life cycle assessment; Biomass production; Soil organic carbon sequestration; Carbon footprint; Net zero emissions</t>
  </si>
  <si>
    <t>LIFE-CYCLE ASSESSMENT; SOIL ORGANIC-MATTER; CLIMATE-CHANGE; INPUTS; CONTRIBUTE; DYNAMICS; IMPACTS; FOOD; LCA</t>
  </si>
  <si>
    <t>Biomass, as a raw material, has been identified as a crucial component of decarbonization strategies to mitigate climate change. Decisions on which biomass should be targeted for different purposes are dependent on variables such as availability, chemical composition, and sustainability. Consumer perception often positions non-wood sources, such as bamboo, as environmentally preferable feedstocks for fiber-based product production. Yet, this perceived environmental benefit lacks robust scientific substantiation and standardized methodologies. This study addresses this gap by conducting a cradle-to-gate life cycle assessment (LCA) of twelve biomass production systems encompassing tree plantations, dedicated crops, and agricultural residues for energy and bioproducts manufacture. The evaluated feedstocks include southern softwood, wheat straw, rice straw, rice husk, hemp hurd, sugarcane bagasse, switchgrass, biomass sorghum (United States), eucalyptus (Brazil), bamboo (China), and northern softwood (Canada). Incorporating a critical yet often overlooked factor, this LCA integrates the potential soil organic carbon sequestration (SOC) via below-ground biomass for each biomass type. This consideration significantly alters the estimated carbon intensity per ton of feedstock, potentially reshaping sustainability perceptions as certain systems emerge as carbon sinks. From a cradle-to-farm gate perspective, the assessed global warming potential for biomass production spans 12-245 kg CO2eq per oven -dry ton (ODt), factoring only anthropogenic emissions. However, when accounting for SOC sequestration, the range shifts to -170 to 228 kg CO2eq per ODt, highlighting the potential role of biomass to act as carbon sink systems. By illuminating the dynamic influence of SOC sequestration, this study contributes to a more comprehensive understanding of biomass-related carbon emissions, shedding light on pathways to mitigate environmental impact.</t>
  </si>
  <si>
    <t>[Forfora, Naycari; Azuaje, Ivana; Vivas, Keren A.; Vera, Ramon E.; Brito, Amelys; Venditti, Richard; Kelley, Stephen; Gonzalez, Ronalds] North Carolina State Univ, Dept Forest Biomat, Sustainable &amp; Alternat Fibers Initiat, Raleigh, NC 27695 USA; [Tu, Qingshi] Univ British Columbia, Fac Forestry, BioProd Inst, Vancouver, BC B6T 1Z4, Canada; [Woodley, Alex] North Carolina State Univ, Dept Crop &amp; Soil Sci, Raleigh, NC 27695 USA</t>
  </si>
  <si>
    <t>North Carolina State University; University of British Columbia; North Carolina State University</t>
  </si>
  <si>
    <t>Gonzalez, R (corresponding author), North Carolina State Univ, Dept Forest Biomat, Sustainable &amp; Alternat Fibers Initiat, Raleigh, NC 27695 USA.</t>
  </si>
  <si>
    <t>rwgonzal@ncsu.edu</t>
  </si>
  <si>
    <t>Vera, Ramon/JXY-6042-2024; Woodley, Alex/AAV-5293-2020; Kelley, Stephen/AAF-3724-2019; Forfora, Naycari/MFI-0864-2025</t>
  </si>
  <si>
    <t>Kelley, Stephen/0000-0002-5048-3560; Venditti, Richard/0000-0002-7986-4092; Forfora, Naycari/0009-0003-6771-7161; Gonzalez, Ronalds/0000-0001-5282-3015; Tu, Qingshi/0000-0001-7113-0564; Vera Vera, Ramon Eduardo/0000-0002-1791-738X; Woodley, Alex/0000-0002-6693-3431</t>
  </si>
  <si>
    <t>North Carolina State University</t>
  </si>
  <si>
    <t>The SAFI consortium at North Carolina State University held and supported this research.</t>
  </si>
  <si>
    <t>10.1016/j.jclepro.2024.140677</t>
  </si>
  <si>
    <t>JJ3E2</t>
  </si>
  <si>
    <t>WOS:001172750700001</t>
  </si>
  <si>
    <t>De Sy, V; Herold, M; Achard, F; Avitabile, V; Baccini, A; Carter, S; Clevers, JGPW; Lindquist, E; Pereira, M; Verchot, L</t>
  </si>
  <si>
    <t>De Sy, V; Herold, M.; Achard, F.; Avitabile, V; Baccini, A.; Carter, S.; Clevers, J. G. P. W.; Lindquist, E.; Pereira, Maria; Verchot, L.</t>
  </si>
  <si>
    <t>Tropical deforestation drivers and associated carbon emission factors derived from remote sensing data</t>
  </si>
  <si>
    <t>tropical deforestation; REDD; carbon emissions; remote sensing; land use change; climate change mitigation</t>
  </si>
  <si>
    <t>FOREST COVER CHANGES; BIOMASS MAP; DEGRADATION; REGIONS</t>
  </si>
  <si>
    <t>Reducing emissions from deforestation and forest degradation, and enhancing carbon stocks (REDD+) is a crucial component of global climate change mitigation. Remote sensing can provide continuous and spatially explicit above-ground biomass (AGB) estimates, which can be valuable for the quantification of carbon stocks and emission factors (EFs). Unfortunately, there is little information on the fate of the land following tropical deforestation and of the associated carbon stock. This study quantified post-deforestation land use across the tropics for the period 1990-2000. This dataset was then combined with a pan-tropical AGB map at 30 m resolution to refine EFs from forest conversion by matching deforestation areas with their carbon stock before and after clearing and to assess spatial dynamics of EFs by follow-up land use. In Latin America, pasture was the most common follow-up land use (72%), with large-scale cropland (11%) a distant second. In Africa deforestation was often followed by small-scale cropping (61%) with a smaller role for pasture (15%). In Asia, small-scale cropland was the dominant agricultural follow-up land use (35%), closely followed by tree crops (28%). Deforestation often occurred in forests with lower than average carbon stocks. EFs showed high spatial variation within eco-zones and countries. While our EFs are only representative for the studied time period, our results show that EFs are mainly determined by the initial forest carbon stock. The estimates of the fraction of carbon lost were less dependent on initial forest biomass, which offers opportunities for REDD+ countries to use these fractions in combination with recent good quality national forest biomass maps or inventory data to quantify emissions from specific forest conversions. Our study highlights that the co-location of data on forest loss, biomass and fate of the land provides more insight into the spatial dynamics of land-use change and can help in attributing carbon emissions to human activities.</t>
  </si>
  <si>
    <t>[De Sy, V; Herold, M.; Carter, S.; Clevers, J. G. P. W.; Pereira, Maria] Wageningen Univ, Lab Geoinformat Sci &amp; Remote Sensing, Droevendaalsesteeg 3, NL-6708 PB Wageningen, Netherlands; [Achard, F.; Avitabile, V] European Commiss, Joint Res Ctr, Ispra, Italy; [Baccini, A.] Woods Hole Res Ctr, Falmouth, MA USA; [Lindquist, E.] Food &amp; Agr Org United Nat FAO, Rome, Italy; [Verchot, L.] Ctr Int Forestry Res CIFOR, Bogor, Indonesia</t>
  </si>
  <si>
    <t>Wageningen University &amp; Research; European Commission Joint Research Centre; EC JRC ISPRA Site; Woodwell Climate Research Center; Food &amp; Agriculture Organization of the United Nations (FAO); CGIAR; Center for International Forestry Research (CIFOR)</t>
  </si>
  <si>
    <t>De Sy, V (corresponding author), Wageningen Univ, Lab Geoinformat Sci &amp; Remote Sensing, Droevendaalsesteeg 3, NL-6708 PB Wageningen, Netherlands.</t>
  </si>
  <si>
    <t>niki.desy@wur.nl</t>
  </si>
  <si>
    <t>Herold, Martin/F-8553-2012; Carter, Sarah/I-7724-2019; Pereira, Maria Joao/H-5456-2012; Clevers, Jan/N-1278-2014; De Sy, Veronique/P-6526-2014; Verchot, Louis/C-4537-2008</t>
  </si>
  <si>
    <t>Herold, Martin/0000-0003-0246-6886; Carter, Sarah/0000-0002-1833-3239; ACHARD, Frédéric/0000-0001-7281-9582; Pereira, Maria Joao/0000-0003-2580-6281; Clevers, Jan/0000-0002-0046-082X; De Sy, Veronique/0000-0003-3647-7866;</t>
  </si>
  <si>
    <t>government of Australia [46167]; government of United States Agency for International Development [EEMG-00-04-00010-00]; government of Norway [QZA-10/0468]</t>
  </si>
  <si>
    <t>government of Australia; government of United States Agency for International Development; government of Norway</t>
  </si>
  <si>
    <t>This research was generously supported by the contributions of the governments of Australia (Grant Agreement #46167), the United States Agency for International Development (Grant AgreementEEMG-00-04-00010-00) and Norway (Grant Agreement #QZA-10/0468) to the Center for International Forestry Research. This work was carried out as part of the Consultative Group on International Agricultural Research programs on Trees, Forests and Agroforestry (FTA) and Climate Change Agriculture and Food Security (CCAFS). The authors would also like to thank Anika Paschalidou, Gijs van Lith, Sanjiwana Arjasakusuma and Prisca Masango for their contribution in the visual interpretation of the land use.</t>
  </si>
  <si>
    <t>10.1088/1748-9326/ab3dc6</t>
  </si>
  <si>
    <t>IZ6TO</t>
  </si>
  <si>
    <t>WOS:000487216800003</t>
  </si>
  <si>
    <t>Shi, M; Paudel, KP; Chen, FB</t>
  </si>
  <si>
    <t>Shi, Min; PAUDEL, Krishna P.; Chen, Feng-Bo</t>
  </si>
  <si>
    <t>Mechanization and efficiency in rice production in China</t>
  </si>
  <si>
    <t>technical efficiency; allocative efficiency; scale efficiency; rice farmers; stochastic frontier function</t>
  </si>
  <si>
    <t>OFF-FARM EMPLOYMENT; DIRECT-SEEDED RICE; TECHNICAL EFFICIENCY; LAND-USE; MIGRATION; SIZE; SERVICES; IMPACT</t>
  </si>
  <si>
    <t>Agricultural mechanization and custom machine services have developed rapidly in China, which can influence rice production efficiency in the future. We calculate technical efficiency, allocative efficiency, and scale efficiency using data collected in 2015 from a face-to-face interview survey of 450 households that cultivated 3 096 plots located in the five major rice-producing provinces of China. We use a one-step stochastic frontier model to calculate technical efficiency and regress the efficiency scores on socio-demographic and physical land characteristics to find the influencing variables. Variables influencing technical efficiency are compared at three different phases of rice cultivation. We also calculate technical efficiency by using the Heckman Selection Model, which addresses technological heterogeneity and self-selection bias. Results indicate that: (1) the average value of technical efficiency using a one-step stochastic frontier model was found to be 0.74. When self-selection bias is accounted for using the Heckman Selection Model, the average value of the technical efficiency increases to 0.80; (2) mechanization at the chemical application phase has a positive effect on technical efficiency, but mechanization does not affect efficiency at the plowing and harvesting phases; (3) machines are overused relative to both land and labor, and high machine input use on the small size of landholding has resulted in allocative inefficiency; (4) rice farmers are overwhelmingly operating at a sub-optimal scale. Future policies should focus on encouraging farmland transfer in rural areas to achieve scale efficiency and allocative efficiency while promoting mechanization at the chemical application phase of rice cultivation to improve technical efficiency.</t>
  </si>
  <si>
    <t>[Shi, Min; Chen, Feng-Bo] South China Agr Univ, Coll Econ &amp; Management, Guangzhou 510642, Peoples R China; [PAUDEL, Krishna P.] Louisiana State Univ LSU, Dept Agr Econ &amp; Agribusiness, Baton Rouge, LA 70803 USA; [PAUDEL, Krishna P.] LSU Agr Ctr, Baton Rouge, LA 70803 USA</t>
  </si>
  <si>
    <t>South China Agricultural University; Louisiana State University System; Louisiana State University; Louisiana State University System; Louisiana State University</t>
  </si>
  <si>
    <t>Paudel, KP (corresponding author), Louisiana State Univ LSU, Dept Agr Econ &amp; Agribusiness, Baton Rouge, LA 70803 USA.</t>
  </si>
  <si>
    <t>shimin@scau.edu.cn; kpaudel@agcenter.lsu.edu</t>
  </si>
  <si>
    <t>Shi, Min/0000-0002-8679-5355</t>
  </si>
  <si>
    <t>National Social Science Foundation of China [14BGL094]; Rice Research System in Guangdong Province, China [2019KJ105]; EU Project H2020 Program [822730]; United States Department of Agriculture (USDA); National Institute of Food and Agriculture (NIFA) [94382, 94483]; H2020 Societal Challenges Programme [822730] Funding Source: H2020 Societal Challenges Programme</t>
  </si>
  <si>
    <t>National Social Science Foundation of China(National Office of Philosophy and Social Sciences); Rice Research System in Guangdong Province, China; EU Project H2020 Program; United States Department of Agriculture (USDA)(United States Department of Agriculture (USDA)); National Institute of Food and Agriculture (NIFA); H2020 Societal Challenges Programme(Horizon 2020European Union (EU)H2020 Societal Challenges Programme)</t>
  </si>
  <si>
    <t>The authors acknowledge the financial support from the National Social Science Foundation of China (14BGL094), the Rice Research System in Guangdong Province, China (2019KJ105) and the EU Project H2020 Program (822730). Paudel's time on this paper was supported by the United States Department of Agriculture (USDA), National Institute of Food and Agriculture (NIFA) funded Hatch projects (#94382 and #94483).</t>
  </si>
  <si>
    <t>10.1016/S2095-3119(20)63439-6</t>
  </si>
  <si>
    <t>SM2ZB</t>
  </si>
  <si>
    <t>WOS:000657477100004</t>
  </si>
  <si>
    <t>Wróbel-Jedrzejewska, M; Markowska, J; Bienczak, A; Wozniak, P; Ignasiak, L; Polak, E; Kozlowicz, K; Rózylo, R</t>
  </si>
  <si>
    <t>Wrobel-Jedrzejewska, Magdalena; Markowska, Joanna; Bienczak, Agata; Wozniak, Pawel; Ignasiak, Lukasz; Polak, Elzbieta; Kozlowicz, Katarzyna; Rozylo, Renata</t>
  </si>
  <si>
    <t>Carbon Footprint in Vegeburger Production Technology Using a Prototype Forming and Breading Device</t>
  </si>
  <si>
    <t>carbon footprint; vegeburger; vegetable outgrades; low-emission production</t>
  </si>
  <si>
    <t>ENVIRONMENTAL IMPACTS; AGRICULTURAL PRODUCTS; COLOR CHANGES; FOOD WASTE; KINETICS; CONSUMPTION; VEGETABLES; QUALITY; TEXTURE; PEAS</t>
  </si>
  <si>
    <t>The aim of the research was to develop a laboratory test stand for forming vegeburgers and to determine the carbon footprint of vegeburger production technology with the addition of frozen vegetable outgrades. This vegetable material is waste from frozen food production. During the research, unique recipes for vegeburgers fabricated of vegetable outgrades, potatoes, fiber, potato flour, salt and spices were also developed. The physicochemical properties, texture and color of vegeburgers were determined. The CO2 to kWh conversion factor, with a value of 0.765 kg CO2 center dot kWh(-1) was used to calculate the carbon footprint. Vegeburgers obtained during the study were characterized by protein content ranging from 2.05 to 2.29 g 100 g(-1), carbohydrate content from 7.27 to 10.36 g 100 g(-1), fiber content ranging from 3.97 to 4.92 g 100 g(-1) and fat content was at the level of 0.20-0.24 g 100 g(-1). The amount of sodium did not exceed 1 g 100 g(-1). The amount of disqualifying nutrients (fat, trans fat, saturated fat and cholesterol) was significantly lower compared to similar products on the market. The conducted analyses showed that the highest CO2 emission occurred during the blanching process. The proportion of this process for small productions (2.0 kg) ranged from 62% to 68%. The process of vegeburger formation had the second largest percentage in emissions and accounts for 22% to 24% for small productions (2.0 kg). The total carbon footprint was 1.09-1.13 kg CO2/kg of product, respectively, i.e., about 0.10-0.12 kg CO2 per one vegeburger. The research demonstrated that the process of producing vegeburgers from vegetable outgrades is a low-emission process compared with other agri-food technologies. Considering the above, this study allows for improvement of the management of waste from frozen food production, and is also the basis for the development of low-emission agri-food technologies.</t>
  </si>
  <si>
    <t>[Wrobel-Jedrzejewska, Magdalena; Markowska, Joanna; Polak, Elzbieta] State Res Inst, Inst Agr &amp; Food Biotechnol, PL-02532 Warsaw, Poland; [Bienczak, Agata; Wozniak, Pawel; Ignasiak, Lukasz] Ind Inst Agr Engn, Lukasiewicz Res Network, PL-60963 Poznan, Poland; [Kozlowicz, Katarzyna] Univ Life Sci Lublin, Dept Biol Basis Food &amp; Feed Technol, PL-20950 Lublin, Poland; [Rozylo, Renata] Univ Life Sci Lublin, Dept Food Engn &amp; Machines, PL-20950 Lublin, Poland</t>
  </si>
  <si>
    <t>Industrial Institute of Agricultural Engineering; University of Life Sciences in Lublin; University of Life Sciences in Lublin</t>
  </si>
  <si>
    <t>Wróbel-Jedrzejewska, M (corresponding author), State Res Inst, Inst Agr &amp; Food Biotechnol, PL-02532 Warsaw, Poland.</t>
  </si>
  <si>
    <t>magdalena.jedrzejewska@ibprs.pl; joanna.markowska@ibprs.pl; agata.bienczak@pimr.lukasiewicz.gov.pl; pawel.wozniak@pimr.lukasiewicz.gov.pl; lukasz.ignasiak@pimr.lukasiewicz.gov.pl; elzbieta.polak@ibprs.pl; katarzyna.kozlowicz@up.lublin.pl; renata.rozylo@up.lublin.pl</t>
  </si>
  <si>
    <t>; Rozylo, Renata/J-3125-2019; Kozłowicz, Katarzyna/AAD-8075-2019; Bieńczak, Agata/GVT-9337-2022; WrobelJedrzejewska, Magdalena/KHE-0895-2024</t>
  </si>
  <si>
    <t>Kozłowicz, Katarzyna/0000-0002-1922-7577; Markowska, Joanna/0000-0002-3743-1694; Wróbel-Jęzejewska, Magdalena/0000-0002-7633-5398; Różyło, Renata/0000-0002-3249-8929; Polak, Elżbieta/0000-0002-7626-2491; Woźniak, Paweł/0000-0001-9932-8476</t>
  </si>
  <si>
    <t>National Center for Research and Development [BIOSTRATEG3/343817/17/NCBR/2018]</t>
  </si>
  <si>
    <t>National Center for Research and Development(National Centre for Research &amp; Development, Poland)</t>
  </si>
  <si>
    <t>Investigation results presented in this paper are a part of results obtained in project of National Center for Research and Development, as part of the III BIOSTRATEG. The development of an innovative carbon footprint calculation method for the basic basket of food products-BIOSTRATEG3/343817/17/NCBR/2018.</t>
  </si>
  <si>
    <t>10.3390/su13169093</t>
  </si>
  <si>
    <t>UH4IS</t>
  </si>
  <si>
    <t>WOS:000689897400001</t>
  </si>
  <si>
    <t>Jiang, HB; Yang, P</t>
  </si>
  <si>
    <t>Jiang, Hanbing; Yang, Ping</t>
  </si>
  <si>
    <t>A Three-Dimensional Coverage Path Planning Method for Robots for Farmland with Complex Hilly Terrain</t>
  </si>
  <si>
    <t>hilly farmland; mobile robot; path planning; full coverage; robot energy consumption</t>
  </si>
  <si>
    <t>Hilly terrain farmland has diverse landforms, small fields, and unevenness. Thus, realizing farmland operation mechanization and automation is a difficult problem and has become one of the current research directions to implement agricultural mechanization. Full-coverage path planning is the basis for realizing agricultural mechanization and intelligence, and traditional full-coverage path planning algorithms cannot solve the full-coverage and energy consumption optimization problem during the management of hilly farmland on three-dimensional terrain. In this paper, for the full-coverage path-planning problem of hilly terrain farmland, based on analyzing the terrain characteristics of hilly farmland and the energy consumption model of robots traveling on non-flat ground, we propose a region decomposition method oriented to special terrain and prioritize the coverage of special terrain areas. We introduce a cost function for robot movement and design a full-coverage path planning algorithm for hilly three-dimensional terrain. We set up a simulation environment to carry out simulation experiments. The experimental results show that this paper's algorithm can complete full coverage tasks in hilly terrain farmland, and compared with other algorithms, it has obvious advantages in path length, total elevation difference, and other aspects, effectively reducing the energy consumption of the coverage task. This lays a research foundation for the realization of agricultural mechanization in hilly terrain farmland.</t>
  </si>
  <si>
    <t>[Jiang, Hanbing; Yang, Ping] Lanzhou Univ Technol, Sch Mech &amp; Elect Engn, Lanzhou 730050, Peoples R China</t>
  </si>
  <si>
    <t>Lanzhou University of Technology</t>
  </si>
  <si>
    <t>Yang, P (corresponding author), Lanzhou Univ Technol, Sch Mech &amp; Elect Engn, Lanzhou 730050, Peoples R China.</t>
  </si>
  <si>
    <t>222080204004@lut.edu.cn; yangping_lz@163.com</t>
  </si>
  <si>
    <t>Yang, Ping/AAQ-2682-2021</t>
  </si>
  <si>
    <t>10.3390/app142311231</t>
  </si>
  <si>
    <t>P2M7P</t>
  </si>
  <si>
    <t>WOS:001376323000001</t>
  </si>
  <si>
    <t>Yuan, C; Liu, YJ; Lu, JZ; Guo, CY; Quan, TT; Su, W</t>
  </si>
  <si>
    <t>Yuan, Cui; Liu, Yaju; Lu, Jingzhao; Guo, Chengyi; Quan, Tingting; Su, Wei</t>
  </si>
  <si>
    <t>Spatial Analysis of Carbon Metabolism in Different Economic Divisions Based on Land Use and Cover Change (LUCC) in China</t>
  </si>
  <si>
    <t>carbon metabolism; carbon emissions; carbon flows; ecological network; ecological relationships</t>
  </si>
  <si>
    <t>DIOXIDE EMISSIONS; URBAN METABOLISM; ECOLOGICAL RELATIONSHIPS; NETWORK; CONSUMPTION; PATTERNS; CO2; SEQUESTRATION; TRANSPORT; GROWTH</t>
  </si>
  <si>
    <t>Urbanization has greatly altered Earth's surface form, and land use changes can lead to significant changes in carbon emissions. However, how these changes affect ecosystems remains unclear. Therefore, this study calculated the carbon absorption and emissions in 31 Chinese provinces using high-resolution (300 m) land use data. Subsequently, a carbon flow model was used to evaluate the carbon transfer that occurred from the changes in land use in every province between 2000 and 2020. The standard deviation ellipse analytic techniques were also employed to research the spatiotemporal evolution features of carbon flow in various economic zones. Furthermore, the flux and utility analysis approaches in ecological network analysis were used to quantitatively examine the interaction relationship between two carbon metabolism land uses. The results revealed that the continuous expansion of China's construction land has reduced the area of agricultural land, resulting in industrial land (53.14%) and urban land (39.38%) being the main contributors to the total carbon emissions. Among them, the five eastern provinces of Hebei, Jiangsu, Zhejiang, Shandong, and Guangdong had carbon emissions of more than 100 million tons. From 2000 to 2020, the center of gravity of the carbon flow in construction land had shifted significantly from Henan Province to Gansu Province. The ecological relationship of exploitation and control dominated the two land use types. It is mostly found in Xinjiang, Qinghai, Gansu, Inner Mongolia, and Ningxia provinces. The findings could provide relevant policy implications for the Chinese government to mitigate carbon metabolism on land.</t>
  </si>
  <si>
    <t>[Yuan, Cui; Liu, Yaju; Lu, Jingzhao; Guo, Chengyi; Quan, Tingting; Su, Wei] Hebei Agr Univ, Coll Sci &amp; Engn, Cangzhou 061100, Peoples R China</t>
  </si>
  <si>
    <t>Hebei Agricultural University</t>
  </si>
  <si>
    <t>Liu, YJ; Lu, JZ (corresponding author), Hebei Agr Univ, Coll Sci &amp; Engn, Cangzhou 061100, Peoples R China.</t>
  </si>
  <si>
    <t>20227181487@pgs.hebau.edu.cn; lglyj@hebau.edu.cn; lujingzhao123@126.com; 20227181474@pgs.hebau.edu.cn; 20227181498@pgs.hebau.edu.cn; lgsw@hebau.edu.cn</t>
  </si>
  <si>
    <t>Second Tibetan Plateau Scientific Expedition and Research Program (STEP); National Natural Science Foundation of China [41890824]; Scientific Research Project of Hebei Province [1081002058]; Hebei Province Innovation Capability Enhancement Program-Soff Science Research Special Project [23564201D]; Nature Science foundation of Hebie Province [D2023204017]; Research Fund of Hebei Agricultural University [3118089]; [2019QZKK1003]</t>
  </si>
  <si>
    <t>Second Tibetan Plateau Scientific Expedition and Research Program (STEP); National Natural Science Foundation of China(National Natural Science Foundation of China (NSFC)); Scientific Research Project of Hebei Province; Hebei Province Innovation Capability Enhancement Program-Soff Science Research Special Project; Nature Science foundation of Hebie Province; Research Fund of Hebei Agricultural University;</t>
  </si>
  <si>
    <t>This work was supported by the Second Tibetan Plateau Scientific Expedition and Research Program (STEP) (Grant No. 2019QZKK1003), the National Natural Science Foundation of China (Grant No. 41890824), the Scientific Research Project of Hebei Province (Grant No. 1081002058), Hebei Province Innovation Capability Enhancement Program-Soff Science Research Special Project (23564201D), the Nature Science foundation of Hebie Province (No. D2023204017), and the Research Fund of Hebei Agricultural University (Grant No. 3118089).</t>
  </si>
  <si>
    <t>10.3390/atmos16020148</t>
  </si>
  <si>
    <t>Y1N8E</t>
  </si>
  <si>
    <t>WOS:001429888600001</t>
  </si>
  <si>
    <t>Iqbal, N; Hussain, S; Ahmed, Z; Yang, F; Wang, XC; Liu, WG; Yong, TW; Du, JB; Shu, K; Yang, WY; Liu, J</t>
  </si>
  <si>
    <t>Iqbal, Nasir; Hussain, Sajad; Ahmed, Zeeshan; Yang, Feng; Wang, Xiaochun; Liu, Weiguo; Yong, Taiwen; Du, Junbo; Shu, Kai; Yang, Wenyu; Liu, Jiang</t>
  </si>
  <si>
    <t>Comparative analysis of maize-soybean strip intercropping systems: a review</t>
  </si>
  <si>
    <t>PLANT PRODUCTION SCIENCE</t>
  </si>
  <si>
    <t>Intercropping; mechanization; narrow row spacing; nitrogen uptake; row ratio</t>
  </si>
  <si>
    <t>LAND-USE EFFICIENCY; ZEA-MAYS L.; GLYCINE-MAX; YIELD; CORN; SOIL; GROWTH; PHOSPHORUS; MANAGEMENT; COMPONENTS</t>
  </si>
  <si>
    <t>Traditional maize (Zea mays L.) and soybean (Glycine max (L) Merrill) intercropping practice cannot be adapted to modern agriculture due to low light use efficiency, radiation use efficiency, low comparative profits of soybeans and incompatibility with mechanization. However, a new type of maize and soybean intercropping system (MSIS) with high land equivalent ratio (LER) provides substantial benefits for small-land hold farmers worldwide. Our research team has done a wide range of research to suggest the appropriate planting geometry that ensures high yield and LER as high as 2.36, nutrient acquisition and mechanical operations in MSISs. Increase in the distance between soybean and maize rows and decrease in the spacing of maize narrow rows is useful for the high light interception for the short soybean in MSISs. This review concludes that MSIS has multifold and convincing results of LER and compatible with mechanization, while those practiced other than China still require technological advancements, agronomic measures and compatible mechanization to further explore its adaptability.</t>
  </si>
  <si>
    <t>[Iqbal, Nasir; Hussain, Sajad; Yang, Feng; Wang, Xiaochun; Liu, Weiguo; Yong, Taiwen; Du, Junbo; Shu, Kai; Yang, Wenyu; Liu, Jiang] Minist Agr, Key Lab Crop Ecophysiol &amp; Farming Syst Southwest, Chengdu, Sichuan, Peoples R China; [Iqbal, Nasir; Hussain, Sajad; Liu, Weiguo; Du, Junbo; Shu, Kai; Liu, Jiang] Sichuan Agr Univ, Inst Ecol Agr, Chengdu, Sichuan, Peoples R China; [Ahmed, Zeeshan] Islamia Univ Bahawalpur, Univ Coll Agr &amp; Environm Sci, Dept Agron, Bahawalpur, Pakistan</t>
  </si>
  <si>
    <t>Sichuan Agricultural University; Islamia University of Bahawalpur</t>
  </si>
  <si>
    <t>Yang, WY; Liu, J (corresponding author), Minist Agr, Key Lab Crop Ecophysiol &amp; Farming Syst Southwest, Chengdu, Sichuan, Peoples R China.;Liu, J (corresponding author), Sichuan Agr Univ, Inst Ecol Agr, Chengdu, Sichuan, Peoples R China.</t>
  </si>
  <si>
    <t>mssiyangwy@sicau.edu.cn; jiangliu@sicau.edu.cn</t>
  </si>
  <si>
    <t>Shu, Kai/AAN-6517-2020; Hussain, Sajad/S-4261-2019; AHMED, ZEESHAN/AAJ-6554-2020</t>
  </si>
  <si>
    <t>ahmed, zeeshan/0000-0002-7529-3341; Iqbal, Nasir/0000-0003-1133-8229</t>
  </si>
  <si>
    <t>National Key Research and Development Program of China [2016YFD0300209]; National Natural Science Foundation of China [31301277, 31401329]; China Postdoctoral Science Foundation [2014 M560724]</t>
  </si>
  <si>
    <t>National Key Research and Development Program of China(National Key Research &amp; Development Program of China); National Natural Science Foundation of China(National Natural Science Foundation of China (NSFC)); China Postdoctoral Science Foundation(China Postdoctoral Science Foundation)</t>
  </si>
  <si>
    <t>This study was financially supported by the National Key Research and Development Program of China (2016YFD0300209), the National Natural Science Foundation of China (31301277 and 31401329) and the China Postdoctoral Science Foundation (2014 M560724).</t>
  </si>
  <si>
    <t>1343-943X</t>
  </si>
  <si>
    <t>1349-1008</t>
  </si>
  <si>
    <t>PLANT PROD SCI</t>
  </si>
  <si>
    <t>Plant. Prod. Sci.</t>
  </si>
  <si>
    <t>APR 3</t>
  </si>
  <si>
    <t>10.1080/1343943X.2018.1541137</t>
  </si>
  <si>
    <t>HW2FR</t>
  </si>
  <si>
    <t>WOS:000466499100001</t>
  </si>
  <si>
    <t>Alexiades, A; Kendall, A; Winans, KS; Kaffka, SR</t>
  </si>
  <si>
    <t>Alexiades, Anthy; Kendall, Alissa; Winans, Kiara S.; Kaffka, Stephen R.</t>
  </si>
  <si>
    <t>Sugar beet ethanol (Beta vulgaris L.): A promising low-carbon pathway for ethanol production in California</t>
  </si>
  <si>
    <t>Life cycle assessment; Biofuel; Low Carbon Fuel Standard; Anaerobic digestion</t>
  </si>
  <si>
    <t>CELLULOSIC ETHANOL; EMISSIONS; ENZYME</t>
  </si>
  <si>
    <t>This study examines sugar beet (Beta vulgaris L.) as a potential low carbon intensity (CI) fuel feedstock, assuming sugar beet production in California and simulating a facility that exemplifies opportunities for biofuel producers to reduce greenhouse gas emissions, improve fossil-fuel efficiency, and minimize waste. The strategies explored in this study-utilizing byproducts and agricultural residues for renewable process energy and recycling water and nutrients are not unique to sugar beet-ethanol. As such, the results from this study could be applied to different biofuel pathways to improve greenhouse gas performance. Sugar beets grown in California have unique potential as a biofuel feedstock. Although a mature agricultural product with well-developed supply chains, sugar beet production in California has contracted over recent decades as market demand for sugar production fell. As a consequence, despite their advantages for use in rotation, growers have turned to other crops and a new market for sugar beet products, such as ethanol, is needed before they are again widely planted. California's Low Carbon Fuel Standard (LCFS) is a fuel-neutral performance standard and one of the first regulations requiring the use of life cycle assessment to evaluate CI for specific fuel pathways. The average CI of ethanol used in California in 2015 is approximately 20% lower than California gasoline blendstock, as assessed under the LCFS. CI results in this study are designed to be comparable with the analyses performed under the LCFS. The CI of sugar beet ethanol determined in this study, 28.5 g CO(2)e/MJ(EtOH), excluding indirect land use change (ILUC) emissions, is 44% lower than the 2015 average CI of ethanol (adjusted to exclude ILUC), and 71% lower than gasoline used in California. Commercial production of this modeled pathway could help achieve the greenhouse gas reduction targets of the LCFS as well as the Advanced Biofuel target set by the federal Renewable Fuels Standard. (C) 2017 Elsevier Ltd. All rights reserved.</t>
  </si>
  <si>
    <t>[Alexiades, Anthy] Calif Air Resource Board, Sacramento, CA 95812 USA; [Alexiades, Anthy; Kendall, Alissa; Winans, Kiara S.] Dept Civil &amp; Environm Engn, Davis, CA 95616 USA; [Kaffka, Stephen R.] Dept Plant Sci, Davis, CA 95616 USA; [Kaffka, Stephen R.] Calif Biomass Collaborat, Davis, CA 95616 USA</t>
  </si>
  <si>
    <t>Kendall, A (corresponding author), Dept Civil &amp; Environm Engn, Davis, CA 95616 USA.</t>
  </si>
  <si>
    <t>amkendall@ucdavis.edu</t>
  </si>
  <si>
    <t>Kendall, Alissa/E-5562-2012</t>
  </si>
  <si>
    <t>Kendall, Alissa/0000-0003-1964-9080; Winans, Kiara/0000-0002-2656-8839</t>
  </si>
  <si>
    <t>California Energy Commission [ARV-12-033]</t>
  </si>
  <si>
    <t>California Energy Commission</t>
  </si>
  <si>
    <t>This research was supported by a grant from the California Energy Commission, Grant Agreement Number ARV-12-033. We would like to extend special thanks to Professor Ruihong Zhang and Steve Zicari of UC Davis for providing laboratory test results used in the research.</t>
  </si>
  <si>
    <t>10.1016/j.jclepro.2017.05.059</t>
  </si>
  <si>
    <t>FT2UW</t>
  </si>
  <si>
    <t>WOS:000423002500078</t>
  </si>
  <si>
    <t>Ball, KR; Burke, IC; Collins, DP; Kruger, CE; Yorgey, GG</t>
  </si>
  <si>
    <t>Ball, K. R.; Burke, I. C.; Collins, D. P.; Kruger, C. E.; Yorgey, G. G.</t>
  </si>
  <si>
    <t>Digging deeper: Assessing the predictive power of common greenhouse gas accounting tools for soil carbon sequestration under organic amendment</t>
  </si>
  <si>
    <t>Climate smart agriculture (CSA); COMET-Farm; Cool farm; DayCent; Emissions reduction; Compost</t>
  </si>
  <si>
    <t>AGRICULTURAL SOIL; EMISSIONS; CROP; N2O; SIMULATIONS; FERTILIZER</t>
  </si>
  <si>
    <t>Effective project implementation and quantification of emissions reduction in climate-smart agriculture initiatives face challenges in measurement, monitoring, and verification. To address these challenges, predictive models are regularly used to estimate the emissions reduction potential of land management changes and to prioritize funding for projects. Despite their growing utility, few studies have evaluated the performance of publicly available model tools using site specific data. This study evaluated the performance and utility of four common model tools that represent the three Intergovernmental Panel on Climate Change model tiers to predict soil organic carbon storage and estimate greenhouse gas emissions on working lands under organic matter amendment. Field data from two long-term, compost application experiments in Washington State formed the basis for model simulations using DayCent, COMET-Farm, Cool Farm, and the Washington State Climate Smart Estimator (WaCSE). Soil carbon sequestration and emissions estimates varied among the evaluated models, which was expected given their differential data requirements and input capabilities. COMET-Farm, although easier to use, exhibited a higher level of bias compared to DayCent, which was expected as a mixed tier model. The DayCent model, the model engine for the COMET-Farm tool, demonstrated the ability to explain similar to 50% more of the variation in the observed values compared to COMET-Farm when initiated using the same parameters. Cool Farm was unsuitable for estimating SOC sequestration benefits from compost application primarily because it did not add carbon to the soil pool following amendment. The differences in emissions estimates derived from WaCSE compared with other tools could be attributed solely to its highly constrained input parameters and basis in tier 1 emissions factors. We conclude that online tools can provide rapid estimates of greenhouse gas emissions reduction potential over larger areas or groups of farms but should be used with caution for site-specific estimates. Hence, it is crucial to clarify the intended purpose of an assessment and the designed function of model tools when evaluating their suitability for prioritizing funding for climate-smart agriculture initiatives at the individual farm level.</t>
  </si>
  <si>
    <t>[Ball, K. R.; Collins, D. P.; Kruger, C. E.; Yorgey, G. G.] Washington State Univ, Ctr Sustaining Agr &amp; Nat Resources, Wenatchee, WA 98801 USA; [Ball, K. R.; Collins, D. P.; Kruger, C. E.; Yorgey, G. G.] Washington State Univ, Ctr Sustaining Agr &amp; Nat Resources, Puyallup, WA 98371 USA; [Ball, K. R.] Univ Aberdeen, Sch Biol Sci, Aberdeen, Scotland; [Burke, I. C.] Washington State Univ, Dept Crop &amp; Soil Sci, Pullman, WA USA</t>
  </si>
  <si>
    <t>Washington State University; Washington State University; University of Aberdeen; Washington State University</t>
  </si>
  <si>
    <t>Ball, KR (corresponding author), Washington State Univ, Ctr Sustaining Agr &amp; Nat Resources, Wenatchee, WA 98801 USA.;Ball, KR (corresponding author), Washington State Univ, Ctr Sustaining Agr &amp; Nat Resources, Puyallup, WA 98371 USA.</t>
  </si>
  <si>
    <t>kirsten.ball1@abdn.ac.uk</t>
  </si>
  <si>
    <t>; Ball, Kirsten/NZN-5183-2025; Kruger, Chad/A-3952-2013</t>
  </si>
  <si>
    <t>Collins, Douglas/0000-0001-7810-0798;</t>
  </si>
  <si>
    <t>Wash- ington State Legislature; USDA-NIFA Organic Research and Exten- sion Initiative Program [2014-38421-22002, 2019- 51300-30476]; CAHNRS Office of Research at Washington State University [1017286]; Western Sustainable Agriculture Research and Education Program [SW -03-040]; USDA NIFA Integrated Organic Program [WNP07725]; Agricultural Research Center at Washington State University [0722]</t>
  </si>
  <si>
    <t>Wash- ington State Legislature; USDA-NIFA Organic Research and Exten- sion Initiative Program; CAHNRS Office of Research at Washington State University; Western Sustainable Agriculture Research and Education Program; USDA NIFA Integrated Organic Program; Agricultural Research Center at Washington State University</t>
  </si>
  <si>
    <t>The work that led to this publication was supported by the Washington State Legislature, the USDA-NIFA Organic Research and Extension Initiative Program (project nos. 2014-38421-22002 and 2019- 51300-30476) , and the CAHNRS Office of Research at Washington State University (Hatch project 1017286) . For the Puyallup field trials, we thank Emma Rast for her assistance in field and laboratory analysis and Liz Myhre for technical assistance, and Craig Cogger and Andy Bary for their efforts to initiate and operate a long-term organic farming research experiment at WSU Puyallup from 2003 to 2016. These trials were funded by the Western Sustainable Agriculture Research and Education Program (project no. SW -03-040) , the USDA NIFA Integrated Organic Program (project no. WNP07725) , and the Agricultural Research Center at Washington State University (Hatch Project 0722) .</t>
  </si>
  <si>
    <t>10.1016/j.jclepro.2023.139448</t>
  </si>
  <si>
    <t>Z0LK5</t>
  </si>
  <si>
    <t>WOS:001109083000001</t>
  </si>
  <si>
    <t>Johnson, FE II; Dada, AO; Armstrong, SD; Smith, DR; Volenec, JJ; Brouder, SM</t>
  </si>
  <si>
    <t>Johnson, Frank E., II; Dada, Adebukola O.; Armstrong, Shalamar D.; Smith, Douglas R.; Volenec, Jeffrey J.; Brouder, Sylvie M.</t>
  </si>
  <si>
    <t>Soil Carbon Dioxide Equivalent Emissions and Theoretical Ethanol Yield from Midwestern Bioenergy Systems</t>
  </si>
  <si>
    <t>BIOENERGY RESEARCH</t>
  </si>
  <si>
    <t>Bioenergy crops; Energy yield; Greenhouse gas; Agriculture</t>
  </si>
  <si>
    <t>GREENHOUSE-GAS EMISSIONS; MISCANTHUS BIOMASS; SWEET SORGHUM; SWITCHGRASS; BIOFUEL; ENERGY; MAIZE; CROPS; CORN; PRODUCTIVITY</t>
  </si>
  <si>
    <t>There has been a significant demand to increase biofuel production and usage in the USA. Bioenergy crops also have the potential to mitigate greenhouse gas (GHG) emissions from agricultural systems but crop type (annual vs. perennial) may impact mitigation potential. Objectives of this research were to (1) assess cumulative carbon dioxide equivalence (CO(2)eq) of annual and perennial crops, (2) evaluate the theoretical ethanol yield (TTEY) from annual and perennial crops, and (3) assess the CO(2)eq/TTEY ratio (CTR) of annual and perennial crops. This study was conducted from 2008 to 2016 at the Purdue University Water Quality Field Station near West Lafayette, IN. Replicated treatments (n = 4) included continuous corn (CC), continuous sorghum (CS), Miscanthus (MS), switchgrass (SG), and restored prairie (RP). This study calculated CO(2)eq using CO2 and N2O emissions. To estimate TTEY, yield of stover carbohydrate pools, recovery efficiencies of sugars from cell wall polysaccharides, fermentation efficiency of sugars to ethanol, the theoretical ethanol yield from sugars, and grain (for corn and sorghum) were used. Averaging over the course of the study, the highest annual CO(2)eq observed were 7.8 and 6.7 Mg CO2-C ha(-1) year(-1) from RP and SG, respectively. Average CO(2)eq for CC, CS, and MS were 5.8, 5.5, and 5.0 Mg CO2-C ha(-1) year(-1), respectively. The highest and lowest TTEY were observed in MS and RP, yielding 189.4 and 26.7 GJ EtOH ha(-1) year(-1), respectively. Thus, MS had the lowest CTR out of these treatments. Averaging across plant type, CO(2)eq, TTEY, and CTR were 6.5 Mg CO2-C ha(-1) year(-1), 89.8 GJ EtOH ha(-1) year(-1), and 345 kg CO2-C GJ(-1) EtOH, respectively, for perennials, and 5.7 Mg CO2-C ha(-1) year(-1), 118 GJ EtOH ha(-1) year(-1), and 52.1 kg CO2-C GJ(-1) EtOH, respectively, for annuals. Although these results suggest lower CO(2)eq, higher TTEY, and lower CTR for annual crops compared to perennials, the mitigation potential of emitted GHGs from perennials in agricultural systems used for biofuel production is also highlighted.</t>
  </si>
  <si>
    <t>[Johnson, Frank E., II] Agr Res Serv, Water Qual &amp; Ecol Res Unit, US Dept Agr, Oxford, MS 38655 USA; [Dada, Adebukola O.; Armstrong, Shalamar D.; Volenec, Jeffrey J.; Brouder, Sylvie M.] Purdue Univ, Dept Agron, W Lafayette, IN 47907 USA; [Smith, Douglas R.] United States Dept Agr, Grassland Soil &amp; Water Res Lab, Agr Res Serv, Temple, TX USA</t>
  </si>
  <si>
    <t>United States Department of Agriculture (USDA); USDA Agricultural Research Service; Purdue University System; Purdue University; United States Department of Agriculture (USDA); USDA Agricultural Research Service</t>
  </si>
  <si>
    <t>Johnson, FE II (corresponding author), Agr Res Serv, Water Qual &amp; Ecol Res Unit, US Dept Agr, Oxford, MS 38655 USA.;Brouder, SM (corresponding author), Purdue Univ, Dept Agron, W Lafayette, IN 47907 USA.</t>
  </si>
  <si>
    <t>frank.e.johnson@usda.gov; sbrouder@purdue.edu</t>
  </si>
  <si>
    <t>; Volenec, Jeffrey/P-3548-2019; Brouder, Sylvie/HJI-9298-2023</t>
  </si>
  <si>
    <t>Johnson, Frank/0000-0001-7857-2015;</t>
  </si>
  <si>
    <t>Agriculture and Food Research Initiative Competitive Grant from the National Institute of Food and Agriculture [2011-68005-30411]</t>
  </si>
  <si>
    <t>Agriculture and Food Research Initiative Competitive Grant from the National Institute of Food and Agriculture</t>
  </si>
  <si>
    <t>This project is supported by Agriculture and Food Research Initiative Competitive Grant No. 2011-68005-30411 (CenUSA Bio-mass grant) from the National Institute of Food and Agriculture. This is a US government work and not under copyright protection in the USA. Mention of trade names is for the reader's benefit only and does not imply endorsement by the USDA. USDA is an equal opportunity provider, employer, and lender.</t>
  </si>
  <si>
    <t>1939-1234</t>
  </si>
  <si>
    <t>1939-1242</t>
  </si>
  <si>
    <t>BIOENERG RES</t>
  </si>
  <si>
    <t>BioEnergy Res.</t>
  </si>
  <si>
    <t>MAR 26</t>
  </si>
  <si>
    <t>10.1007/s12155-025-10832-0</t>
  </si>
  <si>
    <t>Energy &amp; Fuels; Environmental Sciences</t>
  </si>
  <si>
    <t>Energy &amp; Fuels; Environmental Sciences &amp; Ecology</t>
  </si>
  <si>
    <t>0RN3B</t>
  </si>
  <si>
    <t>WOS:001454297400001</t>
  </si>
  <si>
    <t>Ali, SA; Tedone, L; Verdini, L; De Mastro, G</t>
  </si>
  <si>
    <t>Ali, Salem Alhajj; Tedone, Luigi; Verdini, Leonardo; De Mastro, Giuseppe</t>
  </si>
  <si>
    <t>Effect of different crop management systems on rainfed durum wheat greenhouse gas emissions and carbon footprint under Mediterranean conditions</t>
  </si>
  <si>
    <t>Durum wheat; Tillage; N fertilizer; GHGs; Carbon footprint; Crop management</t>
  </si>
  <si>
    <t>NITROUS-OXIDE EMISSIONS; LIFE-CYCLE ASSESSMENT; N2O EMISSIONS; CONSERVATION TILLAGE; WINTER-WHEAT; AGRICULTURAL SOILS; GRAIN QUALITY; SPRING WHEAT; MITIGATION; ROTATION</t>
  </si>
  <si>
    <t>The impact of management practices and input intensities on the greenhouse gas (GHG) emissions and carbon footprint (CF) of Italian durum wheat is not well documented. A field experiment was established in 2009 to gain insight into the effects of different crop management systems on total GHG emissions of faba bean wheat rotations per unit area over five years. The aim was to estimate the emission intensity generated from the production of 1 kg of durum wheat in a typical wheat cultivation area of southern Italy. We proposed different crop management systems to reduce GHG emissions and enhance crop productivity. The proposed management practices consisted of three levels of soil disturbance conventional (CT), reduced (RT) and no-tillage (NT) and different nitrogen (N) fertilizer rates. These were applied and tested in order to validate their workability in the area. Results showed relatively higher emissions resulting from the pre-farm phase, whereas the cultivation phase was responsible for 49%, most of which was due to soil emissions (37.4%). In average, our wheat system was responsible for the emission of 1481.1 kg CO(2)eq ha(-1) and 0.295 kg CO(2)eq Kg(-1)of grain, which varied significantly between the proposed management systems. The tillage system had a significant impact on the total emissions. In general, NT and RT resulted in lower emissions than CT, although there were some exceptions in terms of GHG emissions per kilogram of grain due to the lower productivity of RT compared to CT and NT. On a hectare basis, NT reduced the emissions by 22% and by 35% on a kilogram basis compared to the highest emissions in CT in RT, respectively. N fertilizer, however, had both strong direct and indirect effects on total emissions resulted in increase by 60% when the highest N rate was applied. This positive correlation was reflected in CF data where a minimum of 0.155 kg CO(2)eq k(-1), of grain was obtained when the lowest N fertilizer rate was applied with a reduction of 65%. This was very much linked to the grain yield, thus, a low grain yield together with a high N fertilizer rate led to higher emissions and, therefore, a higher carbon footprint. The effect of the cropping system was clear, as the grain yield increased compared to the base year, with a consequent 31% reduction in CF at the end of the study period. This is the first study in Italy to focus on the emission intensities associated with the production of durum wheat using different input intensities. Our findings indicate that achieving synchrony between minimum input requirements and crop demand without excess or deficiency is the key for optimizing a trade-off between yield and environmental protection. (C) 2016 Elsevier Ltd. All rights reserved.</t>
  </si>
  <si>
    <t>[Ali, Salem Alhajj; Tedone, Luigi; Verdini, Leonardo; De Mastro, Giuseppe] Univ Bari, Dept Agr &amp; Environm Sci, Via Amendola 165-A, I-70126 Bari, Italy</t>
  </si>
  <si>
    <t>Universita degli Studi di Bari Aldo Moro</t>
  </si>
  <si>
    <t>Ali, SA (corresponding author), Univ Bari, Dept Agr &amp; Environm Sci, Via Amendola 165-A, I-70126 Bari, Italy.</t>
  </si>
  <si>
    <t>salem_grb@yahoo.com</t>
  </si>
  <si>
    <t>tedone, Luigi/HDL-9264-2022; ALHAJJ ALI, SALEM/JVZ-5917-2024</t>
  </si>
  <si>
    <t>ALHAJJ ALI, SALEM/0000-0002-6694-6312; TEDONE, LUIGI/0000-0003-4398-3820;</t>
  </si>
  <si>
    <t>10.1016/j.jclepro.2016.04.135</t>
  </si>
  <si>
    <t>ED3UY</t>
  </si>
  <si>
    <t>WOS:000388775200020</t>
  </si>
  <si>
    <t>Kim, GW; Alam, MA; Lee, JJ; Kim, GY; Kim, PJ; Khan, MI</t>
  </si>
  <si>
    <t>Kim, Gil Won; Alam, Muhammad Ashraful; Lee, Jeung Joo; Kim, Gun Yeob; Kim, Pil Joo; Khan, Muhammad Israr</t>
  </si>
  <si>
    <t>Assessment of direct carbon dioxide emission factor from urea fertilizer in temperate upland soil during warm and cold cropping season</t>
  </si>
  <si>
    <t>EUROPEAN JOURNAL OF SOIL BIOLOGY</t>
  </si>
  <si>
    <t>C-13 labeled urea; Soil respiration; Red pepper; Garlic; Nitrogen</t>
  </si>
  <si>
    <t>MICROBIAL RESPIRATION; LITTER DECOMPOSITION; NITROGEN ADDITIONS; RICE FIELDS; OLD-GROWTH; BIOMASS; DISSOLUTION; FOREST; N2O; CH4</t>
  </si>
  <si>
    <t>Urea [(NH2)(2)CO] is synthesized by combining ammonia (NH3) and carbon dioxide (CO2). The consumption of atmospheric CO2 for urea production was considered carbon (C) removal by the Industrial Processes and Product Use sector. Based on this evaluation, the Intergovernmental Panel on Climate Change proposed a default value (0.2 kg C per kg urea) for the CO2 emission factor from urea, which is equivalent to the mass percent of C in urea. However, all the C in urea might not be discharged to the atmosphere during the cropping season because some bicarbonates can be released from agricultural fields. To estimate the direct CO2 emission factor, different levels of urea were applied to cultivate red pepper and garlic during the warm and cold seasons, respectively, and CO2 emission rates were monitored during the cropping seasons. The seasonal CO2 fluxes increased significantly with increasing urea application levels, reaching maximum values of 268-273 and 233-250 kg N ha(-1) for red pepper and garlic, respectively, and clearly decreased thereafter. Calculated by linear regressions between urea application levels and seasonal (CO2)-C-13 fluxes originating from C-13-urea, the direct CO2 emission rates from urea were projected to be 0.062-0.063 and 0.050-0.052 kg C per kg urea for red pepper and garlic cultivation, respectively. Thus, we suggest revising the current IPCC default value (0.2 kg C per kg urea) for the CO2 emission factor from urea to be approximately 0.06 and 0.05 kg C per kg urea for warm and cold cropping seasons, respectively, in temperate upland soils.</t>
  </si>
  <si>
    <t>[Kim, Gil Won; Alam, Muhammad Ashraful; Kim, Pil Joo; Khan, Muhammad Israr] Gyeongsang Natl Univ, Div Appl Life Sci, BK Program 21, Jinju 660701, South Korea; [Kim, Gil Won; Lee, Jeung Joo; Kim, Pil Joo] Gyeongsang Natl Univ, Inst Agr &amp; Life Sci, Jinju 660701, South Korea; [Kim, Gun Yeob] Natl Acad Agr Sci, Rural Dev Adm, Wonju 55365, South Korea</t>
  </si>
  <si>
    <t>Gyeongsang National University; Gyeongsang National University; Rural Development Administration (RDA), Republic of Korea</t>
  </si>
  <si>
    <t>Kim, PJ; Khan, MI (corresponding author), Gyeongsang Natl Univ, Div Appl Life Sci, BK Program 21, Jinju 660701, South Korea.</t>
  </si>
  <si>
    <t>pjlcim@gnu.ac.kr; muhammadisrarkhan@gmail.com</t>
  </si>
  <si>
    <t>Khan, Dr. Muhammad Israr/ABC-7377-2021; Kim, Gil Won/IAQ-4384-2023</t>
  </si>
  <si>
    <t>Kim, gil won/0000-0002-2141-7476; Khan, Muhammad Israr/0000-0001-8848-1520; Kim, Pil Joo/0000-0003-1192-4324</t>
  </si>
  <si>
    <t>Rural Development Administration (RDA), Republic of South Korea; Cooperative Research Program for Agriculture Science &amp; Technology Development Rural Development Administration, Republic of Korea [PJ009980022017]; BK21+; Ministry of Education and Human Resource Development, Korea</t>
  </si>
  <si>
    <t>Rural Development Administration (RDA), Republic of South Korea(Rural Development Administration (RDA), Republic of Korea); Cooperative Research Program for Agriculture Science &amp; Technology Development Rural Development Administration, Republic of Korea(Rural Development Administration (RDA), Republic of Korea); BK21+(Ministry of Education &amp; Human Resources Development (MOEHRD), Republic of Korea); Ministry of Education and Human Resource Development, Korea(Ministry of Education &amp; Human Resources Development (MOEHRD), Republic of Korea)</t>
  </si>
  <si>
    <t>This work was supported by the Rural Development Administration (RDA), Republic of South Korea (Project tile: Development of CO2 emission factor caused by use of urea and lime according to 2006 new guideline). This work was carried out with the support of Cooperative Research Program for Agriculture Science &amp; Technology Development (Project No. PJ009980022017) Rural Development Administration, Republic of Korea. The authors Muhammad Israr Khan and Muhammad Ashraful Alam were financially supported by scholarships from BK21+ and Ministry of Education and Human Resource Development, Korea.</t>
  </si>
  <si>
    <t>ELSEVIER FRANCE-EDITIONS SCIENTIFIQUES MEDICALES ELSEVIER</t>
  </si>
  <si>
    <t>ISSY-LES-MOULINEAUX</t>
  </si>
  <si>
    <t>65 RUE CAMILLE DESMOULINS, CS50083, 92442 ISSY-LES-MOULINEAUX, FRANCE</t>
  </si>
  <si>
    <t>1164-5563</t>
  </si>
  <si>
    <t>1778-3615</t>
  </si>
  <si>
    <t>EUR J SOIL BIOL</t>
  </si>
  <si>
    <t>Eur. J. Soil Biol.</t>
  </si>
  <si>
    <t>NOV-DEC</t>
  </si>
  <si>
    <t>10.1016/j.ejsobi.2017.10.005</t>
  </si>
  <si>
    <t>Ecology; Soil Science</t>
  </si>
  <si>
    <t>FR3SZ</t>
  </si>
  <si>
    <t>WOS:000418988200010</t>
  </si>
  <si>
    <t>Xu, ZY; Fu, ZN; Zhai, ZY; Yang, XK; Meng, FJ; Feng, X; Zhong, JL; Dai, YW; Xu, WJ; Cheng, JH; Zhang, ZH</t>
  </si>
  <si>
    <t>Xu, Zhongyue; Fu, Zhineng; Zhai, Zongyao; Yang, Xiaoke; Meng, Fanjing; Feng, Xin; Zhong, Jianlan; Dai, Yongwu; Xu, Weijun; Cheng, Jun-Hu; Zhang, Zhihang</t>
  </si>
  <si>
    <t>Comparative evaluation of carbon footprints between rice and potato food considering the characteristic of Chinese diet</t>
  </si>
  <si>
    <t>Carbon emissions; Rice based staple food; Potato based staple food; Functional unit; Nutrition profiling model; System boundary</t>
  </si>
  <si>
    <t>GREENHOUSE-GAS EMISSIONS; LIFE-CYCLE ASSESSMENT; ENVIRONMENTAL IMPACTS; NUTRIENT COMPOSITION; NUTRITIONAL QUALITY; ENERGY-CONSUMPTION; HOME PREPARATION; FUNCTIONAL UNIT; CROP PRODUCTION; PART 1</t>
  </si>
  <si>
    <t>Rice and potato are Chinese traditional foods. In this research, carbon footprints (CFs) of rice-based (RBSF) and potato-based (PBSF) staple foods were investigated. A great number of studies related to food CFs are often concerned about agricultural cultivation. However, the predominant source stage was cooking for the boiled potato and processing for the mashed potato in this research, accounting for 58.8% and 71.6% of their total CF, respectively. To support effective policies that reduce carbon emissions, assessments of the product CFs at a wider system boundary are more reliable. In addition, the types showed significant impacts on the food CFs, as the CF value of late indica rice was about 1.7 times more than that of early indica rice with a similar processing level. Therefore, adjustment of rice planting proportion and area could reduce agricultural carbon emissions. Sensitivity analysis showed that appropriately increasing the cooking amount in a batch enhances environmental benefits. When the cooking amount was reduced from four portions to one portion, the CF value was increased by 30%-45% for the RBSB and 89.5% for the boiled potato. On the other hand, different functional units were employed to evaluate the food CFs. CF values per functional unit for a same type of food varied greatly depending on the functional unit applied. Nutrient density (ND) based functional unit is more suitable to exactly reveal the environmental impacts of foods. When the ND based functional unit was used, CF values of polished rice and mashed potato indicated strong unsustainability. The results in this study showed that boiled potato consumed as the staple food is beneficial from both environmental and nutritional viewpoints. However, PBSF prepared by potato powder was not an eco-friendly food choice. The strategy of developing potato as staple food deserves serious consideration by Chinese government. (C) 2020 Elsevier Ltd. All rights reserved.</t>
  </si>
  <si>
    <t>[Xu, Zhongyue; Zhai, Zongyao; Yang, Xiaoke; Feng, Xin; Zhong, Jianlan; Dai, Yongwu] Fujian Agr &amp; Forestry Univ, Coll Management, Fuzhou 350002, Peoples R China; [Xu, Zhongyue; Zhai, Zongyao; Yang, Xiaoke; Feng, Xin; Zhong, Jianlan; Dai, Yongwu] Fujian Social Sci Res Base, Res Ctr Ecol Civilizat, Fuzhou 350002, Peoples R China; [Xu, Zhongyue; Fu, Zhineng; Xu, Weijun] South China Univ Technol, Sch Business Adm, Guangzhou 510641, Guangdong, Peoples R China; [Meng, Fanjing] Shenyang Normal Univ, Dept Human Resources, Shenyang 110034, Peoples R China; [Cheng, Jun-Hu] South China Univ Technol, Sch Food Sci &amp; Engn, Guangzhou 510641, Guangdong, Peoples R China; [Zhang, Zhihang] Teagasc Food Res Ctr, Dublin 15, Ireland</t>
  </si>
  <si>
    <t>Fujian Agriculture &amp; Forestry University; South China University of Technology; Shenyang Normal University; South China University of Technology; Teagasc</t>
  </si>
  <si>
    <t>Dai, YW (corresponding author), Fujian Agr &amp; Forestry Univ, Coll Management, Fuzhou 350002, Peoples R China.;Zhang, ZH (corresponding author), Teagasc Food Res Ctr, Dublin 15, Ireland.</t>
  </si>
  <si>
    <t>fjdyw@163.com; Zhihang.zhang@teagasc.ie</t>
  </si>
  <si>
    <t>Zhang, Zhihang/LEM-7665-2024; Cheng, Jun-Hu/I-9574-2016; Cheng, Jun-Hu/AAW-9490-2020</t>
  </si>
  <si>
    <t>Cheng, Jun-Hu/0000-0003-3928-1770;</t>
  </si>
  <si>
    <t>National Natural Science Foundation of China [71801049]; Humanities and Social Sciences Fund of Ministry of Education of China [19YJCZH203, 17YJC630231]; Fujian Provincial Social Science Research Base for Ecological Civilization [KXJD1815A, KXJD1841A, FJ2018JDZ062]; FAFU Foundation for Distinguished Young Scholars [xjq201736]; Guangdong Planning Projects of Philosophy and Social Science [GD16YGL03]; Natural Science Foundation of Guangdong Province [2017A030313395]; China Postdoctoral Science Foundation [2016M602476]</t>
  </si>
  <si>
    <t>National Natural Science Foundation of China(National Natural Science Foundation of China (NSFC)); Humanities and Social Sciences Fund of Ministry of Education of China; Fujian Provincial Social Science Research Base for Ecological Civilization; FAFU Foundation for Distinguished Young Scholars; Guangdong Planning Projects of Philosophy and Social Science; Natural Science Foundation of Guangdong Province(National Natural Science Foundation of Guangdong Province); China Postdoctoral Science Foundation(China Postdoctoral Science Foundation)</t>
  </si>
  <si>
    <t>This research was funded by the National Natural Science Foundation of China (grant numbers 71801049); the Humanities and Social Sciences Fund of Ministry of Education of China (grant numbers 19YJCZH203; grant numbers 17YJC630231); the Fujian Provincial Social Science Research Base for Ecological Civilization (grant numbers KXJD1815A; grant numbers KXJD1841A; grant numbers FJ2018JDZ062); the FAFU Foundation for Distinguished Young Scholars (grant numbers xjq201736); the Guangdong Planning Projects of Philosophy and Social Science (grant numbers GD16YGL03); Natural Science Foundation of Guangdong Province (grant numbers 2017A030313395); and the China Postdoctoral Science Foundation (grant numbers 2016M602476).</t>
  </si>
  <si>
    <t>10.1016/j.jclepro.2020.120463</t>
  </si>
  <si>
    <t>KY2EQ</t>
  </si>
  <si>
    <t>WOS:000522383500046</t>
  </si>
  <si>
    <t>Ratnasingam, J; Ramasamy, G; Toong, W; Ioras, F; Canja, CM; Lupu, MI; Abrudan, JV</t>
  </si>
  <si>
    <t>Ratnasingam, Jegatheswaran; Ramasamy, Geetha; Toong, Weiching; Ioras, Florin; Canja, Cristina Maria; Lupu, Mirabela Ioana; Abrudan, Joan Vasile</t>
  </si>
  <si>
    <t>Carbon Stocking in the Natural Forests - The Case of Malaysia</t>
  </si>
  <si>
    <t>NOTULAE BOTANICAE HORTI AGROBOTANICI CLUJ-NAPOCA</t>
  </si>
  <si>
    <t>aboveground biomass; carbon stocks; deforestation; forest</t>
  </si>
  <si>
    <t>ABOVEGROUND BIOMASS; EQUATIONS; BALANCE</t>
  </si>
  <si>
    <t>Forested land in the world is about 28% of the global land area, accounting for 80% of the terrestrial carbon stored as biomass and soil organic carbon. Human activities, namely fossil fuel combustion and deforestation resulted in anthropogenic emissions into the atmosphere. Deforestation is being focused in this study in view of the role of forests as carbon stocks. Carbon is normally referred to as biomass of the tree. Several studies revealed that carbon is mostly sequestered in the aboveground parr of biomass. As Southeast Asia has the highest level of deforestation, this study focused on observing carbon stocks in Malaysian forests. The conducted estimation of forest carbon stocks reveals carbon stock increment owing to the increment in the forested land. Yet, the forest transition process necessary for expanding the areas of forested land appears to be difficult to achieve. The economic development in the agricultural sector, land conversion for industrialization and settlement, expansion of wood-based industry and employment opportunities in the wood-based sector may hamper forest transition.</t>
  </si>
  <si>
    <t>[Ratnasingam, Jegatheswaran; Ramasamy, Geetha; Toong, Weiching] Univ Putra Malaysia, Fac Forestry, Serdang 43400, Selangor, Malaysia; [Ioras, Florin] Buckinghamshire New Univ, Ctr Sustanabil Studies, High Wycombe HP11 2JZ, Bucks, England; [Canja, Cristina Maria; Lupu, Mirabela Ioana; Abrudan, Joan Vasile] Transilvania Univ Brasov, Brasov 500036, Romania</t>
  </si>
  <si>
    <t>Universiti Putra Malaysia; Buckinghamshire New University; Transylvania University of Brasov</t>
  </si>
  <si>
    <t>Ratnasingam, J (corresponding author), Univ Putra Malaysia, Fac Forestry, Serdang 43400, Selangor, Malaysia.</t>
  </si>
  <si>
    <t>jegaratnasingam@yaboo.com; gita209@gmail.com; osmosizching@gmail.com; florian.ioras@buck.ac.uk; canjac@unitbv.ro; lupu.mirabela@unitbv.ro; abrudan@unitbv.ro</t>
  </si>
  <si>
    <t>; Ioras, Florin/F-5210-2011; CRISTINA MARIA, CANJA/AFC-6446-2022; Mirabela, Lupu/HJI-7262-2023; Ratnasingam, Jegatheswaran/AAJ-9726-2020</t>
  </si>
  <si>
    <t>Ratnasingam, Jegatheswaran/0000-0002-8212-9697; Ioras, Florin/0000-0002-7697-3381; Mirabela, Lupu/0000-0002-8467-7558; Abrudan, Ioan Vasile/0000-0003-4842-6062;</t>
  </si>
  <si>
    <t>UNIV AGR SCI &amp; VETERINARY MED CLUJ-NAPOCA</t>
  </si>
  <si>
    <t>CLUJ-NAPOCA</t>
  </si>
  <si>
    <t>3-5 MANASTUR ST, CLUJ-NAPOCA, 400372, ROMANIA</t>
  </si>
  <si>
    <t>0255-965X</t>
  </si>
  <si>
    <t>1842-4309</t>
  </si>
  <si>
    <t>NOT BOT HORTI AGROBO</t>
  </si>
  <si>
    <t>Not. Bot. Horti Agrobot. Cluj-Na.</t>
  </si>
  <si>
    <t>JAN-JUN</t>
  </si>
  <si>
    <t>10.15835/nbha4319978</t>
  </si>
  <si>
    <t>CL5LE</t>
  </si>
  <si>
    <t>WOS:000357000600042</t>
  </si>
  <si>
    <t>Hai, PS; Hien, PD; Nghia, NH; Dao, NM; Trung, PQ; Lan, NTH; Thang, LX</t>
  </si>
  <si>
    <t>Hai, P. S.; Hien, P. D.; Nghia, N. H.; Dao, N. M.; Trung, P. Q.; Lan, N. T. H.; Thang, L. X.</t>
  </si>
  <si>
    <t>Deforestation and land use changes impact soil organic carbon stocks in the central highlands of Vietnam</t>
  </si>
  <si>
    <t>Land-use changes; OC stored in clay; OC in pore space; OC bound in silt; Absolute principal component factor</t>
  </si>
  <si>
    <t>MATTER; EROSION; CS-137; REDISTRIBUTION; SEQUESTRATION; RADIONUCLIDES; STABILIZATION; PB-210(EX)</t>
  </si>
  <si>
    <t>PurposeThis study investigates the impact of deforestation on SOC changes in the Central Highlands of Vietnam, a region experiencing extensive conversion of natural forests into agricultural land. In this study we also examine physicochemical soil properties and environmental factors that influence carbon retention and loss such as soil porosity, clay and silt contents, climate conditions, and land use patterns.Materials and methodsWe collected soil samples at 27 locations samples from natural forests, planted forests, and coffee plantations across a 150 km(2) catchment in the Central Highlands. Using advanced modeling techniques, including Absolute Principal Component Factor (APCF) analysis, we developed a three-factor model that explains the majority of SOC variance and total variance in the input dataset.Results and discussionThe conversion of natural forest to planted forest and coffee land reduced SOC in the topsoil (0-30 cm) by 12% and 30%, respectively. SOC storage patterns varied across pore spaces, clay minerals, and silt particles. Following deforestation, SOC stored in clay minerals - the most stable reservoir - declined significantly, while SOC in pore spaces became increasingly dominant in agricultural soils, indicating heightened vulnerability to leaching and greenhouse gas emissions. Additionally, erosion processes disproportionately affected SOC bound to silt particles, highlighting the role of land management in controlling carbon redistribution.ConclusionsThe factor model detected the three OC settlements usually found in the soil: clay and silt minerals and pore space between mineral particles. This study underscores the need for sustainable land use practices, such as reforestation with native species, erosion control, and reduced soil disturbance, to preserve SOC stocks and enhance ecological resilience. These findings contribute to a deeper understanding of SOC dynamics in tropical regions and offer actionable insights for balancing agricultural productivity with environmental conservation.</t>
  </si>
  <si>
    <t>[Hien, P. D.] Vietnam Atom Energy Inst, Hanoi, Vietnam; [Hai, P. S.; Nghia, N. H.; Dao, N. M.; Trung, P. Q.; Lan, N. T. H.; Thang, L. X.] Dalat Nucl Res Inst, Dept Nucl &amp; Isotop Tech, Da Lat, Vietnam</t>
  </si>
  <si>
    <t>Hai, PS (corresponding author), Dalat Nucl Res Inst, Dept Nucl &amp; Isotop Tech, Da Lat, Vietnam.</t>
  </si>
  <si>
    <t>phansonhai61@gmail.com</t>
  </si>
  <si>
    <t>Thang, Le/ISS-1988-2023</t>
  </si>
  <si>
    <t>10.1007/s11368-025-04131-6</t>
  </si>
  <si>
    <t>9KP7Q</t>
  </si>
  <si>
    <t>WOS:001581960200001</t>
  </si>
  <si>
    <t>Li, H; Zhao, YH; Kang, JN; Wang, S; Liu, Y; Wang, HX</t>
  </si>
  <si>
    <t>Li, Hao; Zhao, Yuhuan; Kang, Jianing; Wang, Song; Liu, Ya; Wang, Hongxia</t>
  </si>
  <si>
    <t>Identifying sectoral energy-carbon-water nexus characteristics of China</t>
  </si>
  <si>
    <t>ECW nexus; EIO model; China; Sectoral perspective; Characteristics</t>
  </si>
  <si>
    <t>LIFE-CYCLE ASSESSMENT; INPUT-OUTPUT-ANALYSIS; CO2 EMISSIONS; POWER; QUANTIFICATION; PERSPECTIVE; CONSUMPTION; MANAGEMENT; FOOTPRINTS; IMPACTS</t>
  </si>
  <si>
    <t>Energy, CO2 emissions and water (ECW) are fundamentally linked, holistic and in-depth understanding of sectoral ECW nexus is essential to achieve socioeconomic sustainability. This study employs environmental input-output (EIO) model to calculate the sectoral embodied ECW from 2002 to 2015 and adopts four indicators, i.e., sectoral embodied ECW, the proportion of direct ECW in embodied ECW and their changes to explore sectoral ECW nexus characteristics of China. Power (EGW) and transport (TRS) are key ECW nexus sectors in China with much larger embodied ECW and direct ECW. Sectors agriculture (AGR), mining (MIN), and construction (CON) show great changes in their ECW nexus characteristics between 2002 and 2015. Sector AGR is gradually becoming ECW-intensive because agricultural modernization with the large-scale adoption of modern water-saving irrigation technologies leads to rapid increase in its energy and water use. Differentiated ECW-related mitigation measures among sectors should be implemented through identifying their different ECW nexus characteristics, as well as considering the synergies and co-benefits of ECW-related policies. (C) 2019 Elsevier Ltd. All rights reserved.</t>
  </si>
  <si>
    <t>[Li, Hao; Zhao, Yuhuan; Kang, Jianing; Wang, Hongxia] Beijing Inst Technol, Sch Management &amp; Econ, Beijing 100081, Peoples R China; [Zhao, Yuhuan] Sustainable Dev Res Inst Econ &amp; Soc Beijing, Beijing 100081, Peoples R China; [Wang, Song] Chinese Acad Social Sci, Inst Latin Amer Studies, Beijing 100007, Peoples R China; [Liu, Ya] Chinese Acad Int Trade &amp; Econ Cooperat, Beijing 10071, Peoples R China</t>
  </si>
  <si>
    <t>Beijing Institute of Technology; Chinese Academy of Social Sciences</t>
  </si>
  <si>
    <t>Zhao, YH; Wang, HX (corresponding author), Beijing Inst Technol, Sch Management &amp; Econ, Beijing 100081, Peoples R China.</t>
  </si>
  <si>
    <t>zhaoyuhuan@bit.edu.cn; wanghongxia@bit.edu.cn</t>
  </si>
  <si>
    <t>Wang, Song/AFR-4964-2022</t>
  </si>
  <si>
    <t>Beijing Natural Science Foundation [9172015]; Beijing Social Science Foundation [17JDYJB010]; Joint Development Program of Beijing Municipal Commission of Education and China Scholarship Council [201806030178]</t>
  </si>
  <si>
    <t>Beijing Natural Science Foundation(Beijing Natural Science Foundation); Beijing Social Science Foundation; Joint Development Program of Beijing Municipal Commission of Education and China Scholarship Council</t>
  </si>
  <si>
    <t>This study was financially supported by the Beijing Natural Science Foundation (No. 9172015), Beijing Social Science Foundation (No. 17JDYJB010), Joint Development Program of Beijing Municipal Commission of Education and China Scholarship Council (No. 201806030178).</t>
  </si>
  <si>
    <t>10.1016/j.jclepro.2019.119436</t>
  </si>
  <si>
    <t>KD4SN</t>
  </si>
  <si>
    <t>WOS:000507856300120</t>
  </si>
  <si>
    <t>Rauf, A; Liu, XX; Amin, W; Ozturk, I; Rehman, OU; Hafeez, M</t>
  </si>
  <si>
    <t>Rauf, Abdul; Liu, Xiaoxing; Amin, Waqas; Ozturk, Ilhan; Rehman, Obaid Ur; Hafeez, Muhammad</t>
  </si>
  <si>
    <t>Testing EKC hypothesis with energy and sustainable development challenges: a fresh evidence from belt and road initiative economies</t>
  </si>
  <si>
    <t>Sustainable development; Climate change; Environmental Kuznets Curve; Environment policy; Mega projects; Belt and road initiative</t>
  </si>
  <si>
    <t>ENVIRONMENTAL KUZNETS CURVE; FOREIGN DIRECT-INVESTMENT; CO2 EMISSIONS; CARBON EMISSIONS; ELECTRICITY CONSUMPTION; FINANCIAL DEVELOPMENT; ERROR-CORRECTION; OIL PRICE; GROWTH; PANEL</t>
  </si>
  <si>
    <t>Diverse impact of greenhouse gasses (GHGs) over the landscape of environment is generally believed in literature. As CO2 emission acutely leads to GHGs is a major contributor for global warming, it creates a serious pressure on natural resources and ecological settings. Similarly, low-carbon (CO2) economy, plenty of energy resources, and sustainable growth are a big ask for worldwide economies in this era of mechanization. This paper analyzes the Environmental Kuznets Curve (EKC) hypothesis, for Belt and Road Initiative (BRI) economies, to contend the role of mega projects in BRI as an attribute for ecological detriments. The on-hand study engages fresh data information ranging from 1981 to 2016 holding with heterogeneity and cross-sectional dependence as a special deliberation. The calculated outcomes expose that, mean group estimator provides strong evidence and favor the existence of EKC approximately in every region. The long-run influence is measured by pooled mean group estimators, which shows significant outcomes in every region; additionally, the EKC hypothesis affirmed in the long run especially for developed economies. Mega projects, i.e., BRI requisite immense energy sources to accomplishing the enclosed projects efficiently and effectively. The positive association between carbon emission and energy consumption troubled the governments to make policies for restraining the magnitude of carbon emission and controls energy usage for enduring environment to its original position. Next, the valuations depicted the dense recommendations for state administrations in capacity of rigorous level supremacy, trash managing campaigns, renewable energy reliance, and advance for desirable judgments to sterilize the atmosphere.</t>
  </si>
  <si>
    <t>[Rauf, Abdul; Liu, Xiaoxing] Southeast Univ, Sch Econ &amp; Management, Dept Finance, Nanjing, Jiangsu, Peoples R China; [Amin, Waqas] Shandong Univ, Sch Econ, Jinan, Shandong, Peoples R China; [Ozturk, Ilhan] Cag Univ, Fac Econ &amp; Adm Sci, Tarsus, Mersin, Turkey; [Rehman, Obaid Ur] Univ Agr, Peshawar, Khyber Pakhtunk, Pakistan; [Hafeez, Muhammad] Beijing Univ Posts &amp; Telecommun, Sch Econ &amp; Management, Beijing, Peoples R China</t>
  </si>
  <si>
    <t>Southeast University - China; Shandong University; Cag University - Turkey; University of Agriculture Faisalabad; Agricultural University Peshawar; Beijing University of Posts &amp; Telecommunications</t>
  </si>
  <si>
    <t>Rauf, A (corresponding author), Southeast Univ, Sch Econ &amp; Management, Dept Finance, Nanjing, Jiangsu, Peoples R China.</t>
  </si>
  <si>
    <t>abdulraufhcc@gmail.com; morningstar168@seu.edu.cn; waqas.amin97@yahoo.com; ilhanozturk@cag.edu.tr; bluechip1122@gmail.com; hafeez_86@hotmail.com</t>
  </si>
  <si>
    <t>amin, waqas/AAA-4700-2020; Hafeez, Muhammad/AAL-9000-2020; Rauf, Abdul/Q-5509-2018; Liao, Xiaoqi/HGB-3324-2022; REHMAN, OBAID/J-4210-2016; Ozturk, Ilhan/B-9431-2009</t>
  </si>
  <si>
    <t>Rehman, Obaid Ur/0000-0003-2813-1400; Hafeez, Muhammad/0000-0001-7231-5413; Rauf, Abdul/0000-0002-9486-4939; Ozturk, Ilhan/0000-0002-6521-0901; amin, waqas/0000-0002-3567-7252</t>
  </si>
  <si>
    <t>National Natural Science Foundation of China [71673043]; National Social Sciences Fund of China [18VSJ035]</t>
  </si>
  <si>
    <t>National Natural Science Foundation of China(National Natural Science Foundation of China (NSFC)); National Social Sciences Fund of China</t>
  </si>
  <si>
    <t>This study is supported by the National Natural Science Foundation of China (No. 71673043); and the National Social Sciences Fund of China (18VSJ035).</t>
  </si>
  <si>
    <t>10.1007/s11356-018-3052-5</t>
  </si>
  <si>
    <t>GY5ZH</t>
  </si>
  <si>
    <t>WOS:000448662700025</t>
  </si>
  <si>
    <t>Yang, SF; Zan, M; Zhou, J; Zhai, LL; Xue, C; Ke, J; Zhao, ZQ; Li, R; Liu, YT</t>
  </si>
  <si>
    <t>Yang, Shunfa; Zan, Mei; Zhou, Jia; Zhai, Lili; Xue, Cong; Ke, Jian; Zhao, Zhongqiong; Li, Rui; Liu, Yuntong</t>
  </si>
  <si>
    <t>Study on the carbon emission offset effect of vegetation in typical arid areas of Xinjiang, China</t>
  </si>
  <si>
    <t>Vegetation NEP; Carbon emission; SEM; Partial correlation analysis; Carbon neutrality; Xinjiang</t>
  </si>
  <si>
    <t>ECOSYSTEMS; EXPANSION; LAND</t>
  </si>
  <si>
    <t>The carbon cycle in arid regions is significantly influenced by ecological factors. This study investigates the carbon sink characteristics of terrestrial ecosystems in arid environments, focusing on Xinjiang-a representative desert region and the largest provincial-level administrative unit in China-to assess their role in achieving carbon neutrality. Models for Net Ecosystem Productivity (NEP) and carbon emissions were developed using remote sensing and meteorological data, while structural equation modeling (SEM) was employed to analyze factors influencing carbon emissions. Statistical data were used to evaluate vegetation NEP and total carbon emissions in Xinjiang from 2000 to 2020. The spatiotemporal trends of NEP were assessed using Sen's trend analysis and the Mann-Kendall test (Sen-MK), while partial correlation analysis was applied to identify key influencing factors. The offsetting effect of Xinjiang's vegetation NEP on total carbon emissions was also examined. The findings reveal that: (1) Between 2000 and 2020, 80.04% of Xinjiang's vegetation NEP exhibited a steady increase, with higher NEP levels in the north and west, while the east and south recorded lower values. Precipitation was the primary positive factor influencing NEP, whereas temperature, human activities, and the Temperature Vegetation Dryness Index (TVDI) acted as negative factors. A significant positive correlation was observed between NEP and precipitation in grasslands and agricultural lands, while a negative correlation was found in forested regions. The Altay, Bortala, Bayingolin, Kizilsu Kirghiz, Tacheng, and Yili regions were identified as the principal carbon sink areas in Xinjiang. (2) From 2000 to 2020, carbon emissions in Xinjiang increased significantly, with Changji, Hami, Karamay, and Urumqi emerging as the primary carbon source regions, collectively contributing approximately 61.31% of total emissions. Socioeconomic factors were the dominant drivers of this increase, with industrial activity being the main contributor. In contrast, meteorological and vegetation factors acted as key inhibitors, with vegetation exerting a stronger mitigating effect than meteorological conditions. (3) Prior to 2012, Xinjiang's vegetation NEP was sufficient to offset carbon emissions, achieving carbon neutrality. However, after 2012, the rapid rise in total carbon emissions surpassed the total carbon sequestration by vegetation NEP, leading to an imbalance in Xinjiang's carbon neutrality. (4) To achieve Xinjiang's dual carbon objectives and effectively mitigate carbon emissions, it is crucial to accelerate the economic transformation of the four major carbon source regions while enhancing vegetation carbon absorption capacity in six key carbon sink regions. The study's findings improve our understanding of carbon source and sink distributions in Xinjiang, providing a valuable reference for future research on carbon cycling and carbon neutrality in arid regions, while offering scientific guidance for achieving the province's carbon neutrality goals.</t>
  </si>
  <si>
    <t>[Yang, Shunfa; Zan, Mei; Zhou, Jia; Zhai, Lili; Xue, Cong; Ke, Jian; Zhao, Zhongqiong; Li, Rui; Liu, Yuntong] Xinjiang Normal Univ, Sch Geog Sci &amp; Tourism, Urumqi 830017, Peoples R China; [Yang, Shunfa; Zan, Mei; Zhou, Jia; Zhai, Lili; Xue, Cong; Ke, Jian; Zhao, Zhongqiong; Li, Rui; Liu, Yuntong] Xinjiang Lab Lake Environm &amp; Resources Arid Zone, Urumqi 830017, Peoples R China</t>
  </si>
  <si>
    <t>Xinjiang Normal University</t>
  </si>
  <si>
    <t>Zan, M (corresponding author), Xinjiang Normal Univ, Sch Geog Sci &amp; Tourism, Urumqi 830017, Peoples R China.</t>
  </si>
  <si>
    <t>107622007010058@xjnu.edu.cn</t>
  </si>
  <si>
    <t>Zan, Mei/KHV-7292-2024</t>
  </si>
  <si>
    <t>Natural Science Foundation of China [42261013]; Key Project of Xinjiang Uygur Autonomous Region Natural Science Fund [2023D01A49]</t>
  </si>
  <si>
    <t>Natural Science Foundation of China(National Natural Science Foundation of China (NSFC)); Key Project of Xinjiang Uygur Autonomous Region Natural Science Fund</t>
  </si>
  <si>
    <t>This research was supported by the Natural Science Foundation of China (42261013, Mei Zan) , the Key Project of Xinjiang Uygur Auton-omous Region Natural Science Fund (2023D01A49, Mei Zan) .</t>
  </si>
  <si>
    <t>10.1016/j.ecolind.2025.114125</t>
  </si>
  <si>
    <t>6XI1Y</t>
  </si>
  <si>
    <t>WOS:001564244700004</t>
  </si>
  <si>
    <t>Rabbai, A; Barba, J; Canducci, M; Hart, KM; Mackenzie, AR; Kettridge, N; Curioni, G; Ullah, S; Krause, S</t>
  </si>
  <si>
    <t>Rabbai, Andrea; Barba, Josep; Canducci, Marco; Hart, Kris M.; Mackenzie, A. Robert; Kettridge, Nicholas; Curioni, Giulio; Ullah, Sami; Krause, Stefan</t>
  </si>
  <si>
    <t>Fertilization-induced greenhouse gas emissions partially offset carbon sequestration during afforestation</t>
  </si>
  <si>
    <t>Climate change mitigation; Forest management; Nitrogen availability; GHG; BIFoR; Fertigation</t>
  </si>
  <si>
    <t>SOIL ORGANIC-MATTER; NITROUS-OXIDE; METHANE OXIDATION; FOREST SOIL; TERRESTRIAL ECOSYSTEMS; ATMOSPHERIC METHANE; NUTRIENT ADDITIONS; TERM IMPACTS; N2O; FLUXES</t>
  </si>
  <si>
    <t>Newly-planted forests require careful management to ensure the successful establishment of young trees; this can include herbicide application, irrigation, fertilization, or a combination of these treatments. The global rise in nitrogen (N) fertilizer application in managed forest plantations is driven by policies aiming at rapid tree growth and carbon sequestration as a strategy to tackle climate change. However, the impact of N-fertilizer on production and consumption of greenhouse gases (GHG), such as carbon dioxide (CO2), nitrous oxide (N2O), and methane (CH4) is poorly understood, particularly when combined with irrigation. As a result, assessing forest GHG balance is key to defining effective climate mitigation strategies through afforestation projects. This study assessed the response of GHG fluxes to irrigation and fertilization on recently afforested lowland arable land in central England, across loamy and sandy loam soils. The application of 180 kg ha(-1) of N via an irrigation system, aimed at enhancing wood production and C sequestration, resulted in an increase of CO2 and N2O emissions for both soil types. Particularly, the N2O emission factors (EF; kg N2O/kg N applied) for loamy and sandy loamy soils were 3.9% and 2.1%, respectively, higher than the IPCC default estimate of 1% for agricultural and forest land. Furthermore, both sandy loam and loamy soils showed a distinct transition from being CH4 sinks to sources. Thus, the combined application of irrigation and N-fertilizer had a significant impact on the total Global Warming Potential (GWP), which increased by 34% and 32% for sandy loam and loamy soil, respectively, when compared to their controls. Despite a significant increase in tree growth under fertilized conditions, the offset potential was only partial, highlighting the net contribution to GHG emissions. The outcomes of this study emphasise the potential for significant carbon-equivalent-debt from afforestation supported in its early years by irrigation and fertilization.</t>
  </si>
  <si>
    <t>[Rabbai, Andrea; Hart, Kris M.; Mackenzie, A. Robert; Kettridge, Nicholas; Ullah, Sami; Krause, Stefan] Univ Birmingham, Sch Geog Earth &amp; Environm Sci, Birmingham B15 2TT, England; [Rabbai, Andrea; Hart, Kris M.; Mackenzie, A. Robert; Kettridge, Nicholas; Ullah, Sami; Krause, Stefan] Univ Birmingham, Birmingham Inst Forest Res, Edgbaston B15 2TT, England; [Barba, Josep] CREAF, Bellaterra Cerdanyola Valles, E-08193 Catalonia, Spain; [Canducci, Marco] Univ Birmingham, Sch Comp Sci, Edgbaston B12 2TT, England; [Curioni, Giulio] Northern Res Stn, Forest Res, Roslin EH25 9SY, Scotland; [Krause, Stefan] Univ Claude Bernard, LEHNA Lab ecol Hydrosyst Nat &amp; anthropises, Lyon 1, Lyon, France</t>
  </si>
  <si>
    <t>University of Birmingham; University of Birmingham; Centro de Investigacion Ecologica y Aplicaciones Forestales (CREAF-CERCA); University of Birmingham; Centre National de la Recherche Scientifique (CNRS); Universite Claude Bernard Lyon 1</t>
  </si>
  <si>
    <t>Rabbai, A (corresponding author), Univ Birmingham, Sch Geog Earth &amp; Environm Sci, Birmingham B15 2TT, England.</t>
  </si>
  <si>
    <t>axr1049@student.bham.ac.uk</t>
  </si>
  <si>
    <t>Barba, Josep/AFO-6520-2022; Krause, Stefan/C-4351-2008; Canducci, Marco/HGB-9594-2022; Dr, Sami/V-3172-2019; Kettridge, Nicholas/G-5686-2015</t>
  </si>
  <si>
    <t>Canducci, Marco/0000-0003-2264-9743; Curioni, Giulio/0000-0002-9243-5436; Krause, Stefan/0000-0003-2521-2248; ULLAH, SAMI/0000-0002-9153-8847; Kettridge, Nicholas/0000-0003-3995-0305</t>
  </si>
  <si>
    <t>JABBS Foundation; Severo Ochoa postdoctoral grant [CEX-2018-000828]; Spanish Ministry of Science; University of Birmingham; UK Natural Environmental Research Council [NE/S015833/1, NE/T012323/1]</t>
  </si>
  <si>
    <t>JABBS Foundation; Severo Ochoa postdoctoral grant; Spanish Ministry of Science(Spanish GovernmentMinistry of Science &amp; Innovation, Spain (MICINN)); University of Birmingham(University of Birmingham); UK Natural Environmental Research Council(UK Research &amp; Innovation (UKRI)Natural Environment Research Council (NERC))</t>
  </si>
  <si>
    <t>We very gratefully acknowledge support from the JABBS Foundation and Norbury Park Estate. We acknowledge the BIFoR FACE facility op-erations team for its dedicated support. Josep Barba acknowledges Severo Ochoa postdoctoral grant (CEX-2018-000828) awarded to CREAF by the Spanish Ministry of Science. Funding was provided by The JABBS foundation, the University of Birmingham, the UK Natural Environmental Research Council through grants NE/S015833/1 (to A.R. MK. and S.U.) and NE/T012323/1 (to S.U.)</t>
  </si>
  <si>
    <t>10.1016/j.soilbio.2024.109577</t>
  </si>
  <si>
    <t>G8X1V</t>
  </si>
  <si>
    <t>WOS:001319391400001</t>
  </si>
  <si>
    <t>Li, W; Wei, XP; Zhu, RX; Guo, KQ</t>
  </si>
  <si>
    <t>Li, Wei; Wei, Xipan; Zhu, Ruixiang; Guo, Kangquan</t>
  </si>
  <si>
    <t>Study on Factors Affecting the Agricultural Mechanization Level in China Based on Structural Equation Modeling</t>
  </si>
  <si>
    <t>agricultural mechanization level; agricultural equipment level; affecting factors; subsidy policy for purchase; structural equation modeling; China</t>
  </si>
  <si>
    <t>WAGE</t>
  </si>
  <si>
    <t>The subsidy policy for the purchase of agricultural machinery and China's Agricultural Mechanization Promotion Law have been implemented since 1998 and 2004, respectively. The goal of the policy and the law is to improve the agricultural mechanization level (AML) in China. Policymakers expect that the AML could be increased by improving the agricultural equipment level (AEL). The AML in China is affected by many factors. However, only a few studies have investigated the effects of the AEL on the AML. To fill this gap, we built an integrative conceptual framework and estimated a corresponding structural equation model (SEM) using the relevant data collected from 30 provinces (cities and districts) in mainland China. The relevant data cover the years from 2001 to 2014. There are six factors in our framework, including AEL, level of economic development, land resource endowment, benefit factors, policy and environmental factors, and demographic factors. The results showed that the AEL had the greatest impact on the AML. The level of economic development, the demographic factors, and the benefit factors not only directly affected China's AML but also indirectly affected the AML through the AEL. Meanwhile, land resource endowment and policy and environmental factors had only an indirect effect on the AEL. This report can be used to inform the government that the improvement of the AEL is one of the important ways to achieve the comprehensive mechanization of China's agriculture, that the agricultural machinery purchase subsidies must still be enhanced and that the enforcement of China's Agricultural Mechanization Promotion Law must still be strengthened.</t>
  </si>
  <si>
    <t>[Li, Wei; Wei, Xipan; Zhu, Ruixiang; Guo, Kangquan] Northwest A&amp;F Univ, Coll Mech &amp; Elect Engn, Yangling 712100, Shaanxi, Peoples R China</t>
  </si>
  <si>
    <t>Guo, KQ (corresponding author), Northwest A&amp;F Univ, Coll Mech &amp; Elect Engn, Yangling 712100, Shaanxi, Peoples R China.</t>
  </si>
  <si>
    <t>liweizibo@163.com; xipanwei@nwsuaf.edu.cn; zrxjdxy2006@sohu.com; jdgkq@nwsuaf.edu.cn</t>
  </si>
  <si>
    <t>Humanities and Social Sciences projects of the Ministry of Education [15YJC630062]; Shaanxi Science and Technology projects [2016NY-010]; Fundamental Research Funds for the Central Universities [2452016079]; Ph.D. Research start-up foundation of Northwest AF University [2452015293]</t>
  </si>
  <si>
    <t>Humanities and Social Sciences projects of the Ministry of Education; Shaanxi Science and Technology projects; Fundamental Research Funds for the Central Universities(Fundamental Research Funds for the Central Universities); Ph.D. Research start-up foundation of Northwest AF University</t>
  </si>
  <si>
    <t>The authors acknowledge the financial supports of the Humanities and Social Sciences projects of the Ministry of Education (No. 15YJC630062), the Shaanxi Science and Technology projects (No. 2016NY-010), the Fundamental Research Funds for the Central Universities (No. 2452016079) and the Ph.D. Research start-up foundation of Northwest A&amp;F University (No. 2452015293).</t>
  </si>
  <si>
    <t>10.3390/su11010051</t>
  </si>
  <si>
    <t>HJ4ER</t>
  </si>
  <si>
    <t>WOS:000457127300051</t>
  </si>
  <si>
    <t>Charnnok, B; Khompatara, K; Chaiprapat, S; Krishnan, S</t>
  </si>
  <si>
    <t>Charnnok, Boonya; Khompatara, Khemmikar; Chaiprapat, Sumate; Krishnan, Santhana</t>
  </si>
  <si>
    <t>Hydrothermal Carbonization of Digestate from Lignocellulosic Biogas Power Plants for Sustainable Soil Improvement and Low Carbon Emissions</t>
  </si>
  <si>
    <t>Hydrothermal carbonization; Anaerobic digestate; Lignocellulosic biomass; Biogas power plant; Carbon sequestration; Sustainable agriculture</t>
  </si>
  <si>
    <t>HYDROCHAR; CHLORELLA; MECHANISM; GROWTH</t>
  </si>
  <si>
    <t>This research explored hydrothermal carbonization to enhance digestate from lignocellulosic biogas power plants as a soil amendment for low-carbon agriculture. Hydrochar was produced from real digestate via hydrothermal carbonization at 225-265 degrees C, hydrothermal carbonization at 265 degrees C demonstrating optimal properties for agricultural use. Key benefits include enhanced phosphorus retention, controlled-release nutrient behavior as indicated by Chlorella vulgaris cultivation in its water-soluble fraction, and safe application as a soil amendment, with heavy metal concentrations within regulatory limits and absent in the water-soluble fraction. Based on theoretical calculations, labile carbon-represented by the water-soluble organic carbon fraction in hydrochar-was reduced 15-fold at 265 degrees C compared to the digestate. This reduction could decrease greenhouse gas emissions from 441 to 29 tons CO2-equivalent annually in a 1 MW biogas plant scenario, while sequestering 766 tons of carbon in cropland soils. Additionally, theoretical calculations suggest co-digestion with hydrothermal wastewater could enhance nutrient recovery and methane production, contributing to low-carbon emissions. These findings underscore hydrothermal carbonization's potential for sustainable biogas power plant, agriculture, and climate change mitigation.</t>
  </si>
  <si>
    <t>[Charnnok, Boonya; Krishnan, Santhana] Prince Songkla Univ, Fac Engn, Dept Interdisciplinary Engn, Energy Technol Program, Hat Yai 90110, Songkhla, Thailand; [Khompatara, Khemmikar] Minist Agr &amp; Cooperat, Dept Agr, Off Agr Res &amp; Dev Reg 8, Hat Yai 90110, Songkhla, Thailand; [Chaiprapat, Sumate] Prince Songkla Univ, Fac Engn, Dept Civil &amp; Environm Engn, Hat Yai 90110, Songkhla, Thailand; [Krishnan, Santhana] Univ Sains Malaysia, Sch Ind Technol, Environm Technol Div, Gelugor 11800, Penang, Malaysia</t>
  </si>
  <si>
    <t>Prince of Songkla University; Prince of Songkla University; Universiti Sains Malaysia</t>
  </si>
  <si>
    <t>Charnnok, B (corresponding author), Prince Songkla Univ, Fac Engn, Dept Interdisciplinary Engn, Energy Technol Program, Hat Yai 90110, Songkhla, Thailand.</t>
  </si>
  <si>
    <t>boonya.c@psu.ac.th</t>
  </si>
  <si>
    <t>Krishnan, Santhana/Y-7862-2018; Chaiprapat, Sumate/C-8925-2009</t>
  </si>
  <si>
    <t>National Science, Research and Innovation Fund (NSRF) and Prince of Songkla University; National Science, Research and Innovation Fund (NSRF) [ENG6505069S]; Prince of Songkla University; Office of Agricultural Research and Development Region 8, Department of Agriculture, Ministry of Agriculture and Cooperatives; Office of Scientific Instrument and Testing, and Biogas &amp; Biorefinery Laboratory, Prince of Songkla University</t>
  </si>
  <si>
    <t>National Science, Research and Innovation Fund (NSRF) and Prince of Songkla University; National Science, Research and Innovation Fund (NSRF); Prince of Songkla University; Office of Agricultural Research and Development Region 8, Department of Agriculture, Ministry of Agriculture and Cooperatives; Office of Scientific Instrument and Testing, and Biogas &amp; Biorefinery Laboratory, Prince of Songkla University</t>
  </si>
  <si>
    <t>This research was supported by the National Science, Research and Innovation Fund (NSRF) and Prince of Songkla University (Basic research fund: contract no. ENG6505069S). The authors would also like to recognize the support provided by the Office of Agricultural Research and Development Region 8, Department of Agriculture, Ministry of Agriculture and Cooperatives, the Office of Scientific Instrument and Testing, and Biogas &amp; Biorefinery Laboratory, Prince of Songkla University.</t>
  </si>
  <si>
    <t>10.1007/s12155-025-10865-5</t>
  </si>
  <si>
    <t>4KL8I</t>
  </si>
  <si>
    <t>WOS:001520158300001</t>
  </si>
  <si>
    <t>Yttri, KE; Myhre, CL; Eckhardt, S; Fiebig, M; Dye, C; Hirdman, D; Ström, J; Klimont, Z; Stohl, A</t>
  </si>
  <si>
    <t>Yttri, K. E.; Myhre, C. Lund; Eckhardt, S.; Fiebig, M.; Dye, C.; Hirdman, D.; Stroem, J.; Klimont, Z.; Stohl, A.</t>
  </si>
  <si>
    <t>Quantifying black carbon from biomass burning by means of levoglucosan - a one-year time series at the Arctic observatory Zeppelin</t>
  </si>
  <si>
    <t>FINE-PARTICLE EMISSIONS; RESIDENTIAL WOOD COMBUSTION; DISPERSION MODEL FLEXPART; CHEMICAL-CHARACTERIZATION; ELEMENTAL CARBON; MONOSACCHARIDE ANHYDRIDES; FIREPLACE COMBUSTION; ATMOSPHERIC AEROSOLS; SOURCE APPORTIONMENT; PARTICULATE MATTER</t>
  </si>
  <si>
    <t>Levoglucosan, a highly specific tracer of particulate matter from biomass burning, has been used to study the influence of residential wood burning, agricultural waste burning and Boreal forest fire emissions on the Arctic atmosphere black carbon (BC) concentration. A one-year time series from March 2008 to March 2009 of levoglucosan has been established at the Zeppelin observatory in the European Arctic. Elevated concentrations of levoglucosan in winter (mean: 1.02 ng m(-3)) compared to summer (mean: 0.13 ng m(-3)) were observed, resembling the seasonal variation seen for e.g. sulfate and BC. The mean concentration in the winter period was 2-3 orders of magnitude lower than typical values reported for European urban areas in winter, and 1-2 orders of magnitude lower than European rural background concentrations. Episodes of elevated levoglucosan concentration lasting from 1 to 6 days were more frequent in winter than in summer and peak values were higher, exceeding 10 ng m(-3) at the most. Concentrations of elemental carbon from biomass burning (ECbb) were obtained by combining measured concentrations of levoglucosan and emission ratios of levoglucosan and EC for wildfires/agricultural fires and for residential wood burning. Neglecting chemical degradation by OH provides minimum levoglucosan concentrations, corresponding to a mean ECbb concentration of 3.7 +/- 1.2 ng m(-3) in winter (October-April) and 0.8 +/- 0.3 ng m(-3) in summer (May-September), or 8.8 +/- 4.5% of the measured equivalent black carbon (EBC) concentration in winter and 6.1 +/- 3.4% in summer. When accounting for chemical degradation of levoglucosan by OH, an upper estimate of 31-45% of EBC could be attributed to ECbb* (ECbb adjusted for chemical degradation) in winter, whereas no reliable (&lt; 100%) upper estimate could be provided for summer for the degradation rates applied. Hence, fossil fuel sources appear to dominate the European Arctic BC concentrations in winter, whereas the very wide range obtained for summer does not allow us to conclude upon this for the warm season. Calculations using the Lagrangian particle dispersion model FLEXPART show that the seasonal variation of the modeled ECbb (ECbb,m) concentration compared relatively well with observationally derived ECbb from agricultural fires/wildfires during summer, and residential wood burning in winter. The model overestimates by a factor of 2.2 in winter and 4.4 in summer when compared to the observationally derived mean ECbb concentration, which provides the minimum estimate, whereas it underestimates by a factor of 2.3-3.3 in winter and a factor of 4.5 in summer when compared to ECbb*, which provides the upper estimate. There are indications of too-low emissions of residential wood burning in northern Russia, a region of great importance with respect to observed concentrations of BC in the European Arctic.</t>
  </si>
  <si>
    <t>[Yttri, K. E.; Myhre, C. Lund; Eckhardt, S.; Fiebig, M.; Dye, C.; Hirdman, D.; Stohl, A.] NILU Norwegian Inst Air Res, N-2027 Kjeller, Norway; [Stroem, J.] Stockholm Univ, Dept Appl Environm Sci, S-10691 Stockholm, Sweden; [Klimont, Z.] IIASA, A-2361 Laxenburg, Austria</t>
  </si>
  <si>
    <t>NILU; Stockholm University; International Institute for Applied Systems Analysis (IIASA)</t>
  </si>
  <si>
    <t>Yttri, KE (corresponding author), NILU Norwegian Inst Air Res, POB 100, N-2027 Kjeller, Norway.</t>
  </si>
  <si>
    <t>key@nilu.no</t>
  </si>
  <si>
    <t>; Stohl, Aneas/A-7535-2008; Stohl, Andreas/A-7535-2008; Klimont, Zbigniew/P-7641-2015; Fiebig, Markus/I-4872-2012; Klimont, Zbigniew/O-6683-2019; Lund Myhre, Cathrine/M-4508-2014; Eckhardt, Sabine/I-4001-2012; Yttri, Karl Espen/E-6671-2012; Myhre, Cathrine/M-4508-2014</t>
  </si>
  <si>
    <t>Dye, Christian Jarle/0000-0003-1307-8459; Stohl, Aneas/0000-0002-2524-5755; Klimont, Zbigniew/0000-0003-2630-198X; Fiebig, Markus/0000-0002-3380-3470; Lund Myhre, Cathrine/0000-0003-3587-5926; Eckhardt, Sabine/0000-0001-6958-5375;</t>
  </si>
  <si>
    <t>Norwegian Research Council through the POLARCAT project; European Union [282688 - ECLIPSE]</t>
  </si>
  <si>
    <t>Norwegian Research Council through the POLARCAT project(Research Council of Norway); European Union(European Union (EU))</t>
  </si>
  <si>
    <t>The research leading to these results has received funding from the Norwegian Research Council through the POLARCAT project, as well as from the European Union Seventh Framework Programme (FP7/2007-2013) under grant agreement no. 282688 - ECLIPSE. We thank ECMWF and met. no for granting access to ECMWF analysis data. We would also like to acknowledge the access to fire emissions from the Global Fire Emissions Database version 3 (GFED3). Finally, Dr. Sanna Saarikoski at the Finnish Meteorological Institute is acknowledged for providing access to the raw data presented in Saarikoski et al. (2007).</t>
  </si>
  <si>
    <t>10.5194/acp-14-6427-2014</t>
  </si>
  <si>
    <t>AK5BH</t>
  </si>
  <si>
    <t>WOS:000338438300035</t>
  </si>
  <si>
    <t>Limpert, KE; Carnell, PE; Macreadie, P</t>
  </si>
  <si>
    <t>Limpert, Katy E.; Carnell, Paul E.; Macreadie, Peter, I</t>
  </si>
  <si>
    <t>Managing agricultural grazing to enhance the carbon sequestration capacity of freshwater wetlands</t>
  </si>
  <si>
    <t>WETLANDS ECOLOGY AND MANAGEMENT</t>
  </si>
  <si>
    <t>Freshwater wetlands; Soil organic carbon; Carbon sequestration; Greenhouse gas emissions; Grazing impact</t>
  </si>
  <si>
    <t>GREENHOUSE-GAS FLUXES; SOIL CARBON; ORGANIC-CARBON; NITROGEN MINERALIZATION; ALPINE WETLAND; METHANE; MANAGEMENT; CH4; EMISSIONS; PASTURE</t>
  </si>
  <si>
    <t>Freshwater wetlands are important carbon sinks with an estimated similar to 450 gigatons of carbon stored in their sediments. However, when disturbed they can become significant sources of carbon emissions. Understanding carbon dynamics in freshwater wetlands is a research priority to maximise carbon drawdown opportunities through effective management. Grazing can have considerable impacts on the health of freshwater wetland functionality. Fencing to exclude livestock from freshwater wetlands is one approach used to reduce grazer impacts; however, this is not always feasible. Managing grazing intensity is one option that is amenable to most farmers and resource managers; however, to date there have been no studies to evaluate its efficacy. The impacts of seasonal grazing intensity (by sheep) on carbon sequestration by rain-filled freshwater wetlands were investigated in south eastern Australia (Wimmera region). Over a 1-year study duration, this research compared: a) the effects of continuous grazing (sheep present across all seasons); b) crash grazing (sheep present within the spring); and c) exclusion plots (controls; no sheep access) on above-ground plant biomass, soil carbon concentration, and fluxes across seasons. Results suggest that above-ground biomass was 6.4% higher within exclusion plots compared to grazed plots in both continuous and crash grazing regimes. Exclusion plots had 30% higher soil carbon concentration compared to grazed plots. Open-continuously grazed plots had higher fluxes (8.69 +/- 10.61 g CO2 m(-2) day(-1)) compared with exclusion plots (6.92 +/- 15.86 g CO2-e m(-2) day(-1)). This study shows that exclusion plots had higher soil carbon concentration and lower carbon emissions. Further, excluding grazing from wetlands within the Wimmera region would increase above-ground biomass and soil carbon stock by 545,300 tons of carbon while reducing CO2 emissions by 782,412 tons of CO2 year(-1).</t>
  </si>
  <si>
    <t>[Limpert, Katy E.; Carnell, Paul E.; Macreadie, Peter, I] Deakin Univ, Ctr Integrat Ecol, Sch Life &amp; Environm Sci, 221 Burwood Highway, Burwood, Vic 3124, Australia</t>
  </si>
  <si>
    <t>Limpert, KE (corresponding author), Deakin Univ, Ctr Integrat Ecol, Sch Life &amp; Environm Sci, 221 Burwood Highway, Burwood, Vic 3124, Australia.</t>
  </si>
  <si>
    <t>klimpert@deakin.edu.au</t>
  </si>
  <si>
    <t>Macreadie, Peter/0000-0001-7362-0882</t>
  </si>
  <si>
    <t>Wimmera Catchment Management Authority; Deakin University faculty of science, engineering and built environment within the school of life and environmental sciences</t>
  </si>
  <si>
    <t>This work was supported by funding from the Wimmera Catchment Management Authority as well as Deakin University faculty of science, engineering and built environment within the school of life and environmental sciences.</t>
  </si>
  <si>
    <t>0923-4861</t>
  </si>
  <si>
    <t>1572-9834</t>
  </si>
  <si>
    <t>WETL ECOL MANAG</t>
  </si>
  <si>
    <t>Wetl. Ecol. Manag.</t>
  </si>
  <si>
    <t>10.1007/s11273-020-09780-7</t>
  </si>
  <si>
    <t>RD3OT</t>
  </si>
  <si>
    <t>WOS:000608931800002</t>
  </si>
  <si>
    <t>Sapkota, S; Ghimire, R; Bista, P; Hartmann, D; Rahman, T; Adhikari, S</t>
  </si>
  <si>
    <t>Sapkota, Sundar; Ghimire, Rajan; Bista, Prakriti; Hartmann, Dale; Rahman, Tawsif; Adhikari, Sushil</t>
  </si>
  <si>
    <t>Greenhouse gas mitigation and soil carbon stabilization potential of forest biochar varied with biochar type and characteristics</t>
  </si>
  <si>
    <t>Biochar; Carbon dioxide; Nitrous oxide; Pyrolysis; Carbon cycling; Microorganisms</t>
  </si>
  <si>
    <t>CHLOROFORM FUMIGATION-INCUBATION; N2O EMISSIONS; NITRIFIER DENITRIFICATION; GRASSLAND SOILS; ORGANIC-MATTER; NITROGEN; TEMPERATURE; RATIO; MINERALIZATION; SEQUESTRATION</t>
  </si>
  <si>
    <t>Biochar is increasingly used in climate-smart agriculture, yet its impact on greenhouse gas (GHG) emissions and soil carbon (C) sequestration remains poorly understood. This study examined biochar-mediated changes in soil properties and their contribution to C stabilization and GHG mitigation by evaluating four types of biochar. Soil carbon dioxide (CO 2 ) and nitrous oxide (N 2 O) emissions, soil chemical and biological properties, and soil organic carbon (SOC) mineralization kinetics were monitored using greenhouse, laboratory, and modeling experiments. Three pine wood biochars pyrolyzed at 460 degrees C (PB-460), 500 degrees C (PB-500), 700 degrees C (PB-700), and one pine bark biochar from gasification at 760 degrees C (GB -760) were added into soil at 1 % w /w basis. Soils amended with biochar were used to cultivate sorghum for three months in a greenhouse, followed by three months of laboratory incubation. Data obtained from laboratory incubation was modeled using various statistical approaches. The PB500 and PB-700 reduced cumulative N 2 O-N emissions by 68.5 % and 73.9 % and CO 2 equivalent C emissions by 66.9 % and 72.4 %, respectively, compared to unamended control. The N 2 O emissions were positively associated with soil nitrate N, available P, and biochar ash content while negatively associated with SOC. The CO 2 emission was negatively related to biochar C:N ratio and volatile matter content. Biochar amended soils had 49.2 % (PB-500) to 87.7 % (PB-700) greater SOC and 22.9 % (PB-700) to 48.1 % (GB -760) greater sorghum yield than the control. While PB-700 had more saprophytes than the control, the GB -760 yielded a greater yield than biochars prepared by pyrolysis. Microbial biomass C was 7.23 to 23.3 % greater in biochar amended soils than in control. The double exponential decay model best explained the dynamics of C mineralization, which was associated with initial soil nitrate N and available P positively and total fungi and protozoa biomass negatively. Biochar amendment could be a climate smart agricultural strategy. Pyrolysis pine wood biochar showed the greatest potential to reduce GHG emissions and enhance SOC storage and stability, and gasification biochar contributed more to SOC storage and increased crop yield.</t>
  </si>
  <si>
    <t>[Sapkota, Sundar; Ghimire, Rajan; Bista, Prakriti] New Mexico State Univ, Dept Plant &amp; Environm Sci, Las Cruces, NM USA; [Ghimire, Rajan; Bista, Prakriti] New Mexico State Univ, Agr Sci Ctr, Clovis, NM USA; [Hartmann, Dale; Rahman, Tawsif; Adhikari, Sushil] Auburn Univ, Biosyst Engn Dept, 200 Corley Bldg, Auburn, AL 36849 USA; [Ghimire, Rajan] 2346 State Rd 288, Clovis, NM 88101 USA</t>
  </si>
  <si>
    <t>New Mexico State University; New Mexico State University; Auburn University System; Auburn University</t>
  </si>
  <si>
    <t>Ghimire, R (corresponding author), 2346 State Rd 288, Clovis, NM 88101 USA.</t>
  </si>
  <si>
    <t>rghimire@nmsu.edu</t>
  </si>
  <si>
    <t>; Rahman, Tawsif/IAP-1032-2023; Ghimire, Rajan/AAF-6487-2020</t>
  </si>
  <si>
    <t>Hartmann, Dale/0009-0001-0131-1770; Rahman, Tawsif/0000-0002-5351-3980</t>
  </si>
  <si>
    <t>United States Department of Agriculture (USDA) Natural Resources Conservation Services [GR0007378]; USDA Agricultural Research Services [58-6010-2-005]; USDA National Institute of Food and Agriculture [2023-69016-39062]; National Science Foundation [2316278]</t>
  </si>
  <si>
    <t>United States Department of Agriculture (USDA) Natural Resources Conservation Services; USDA Agricultural Research Services(United States Department of Agriculture (USDA)USDA Agricultural Research Service); USDA National Institute of Food and Agriculture(United States Department of Agriculture (USDA)); National Science Foundation(National Science Foundation (NSF))</t>
  </si>
  <si>
    <t>This collaborative work was funded by the United States Department of Agriculture (USDA) Natural Resources Conservation Services (GR0007378), USDA Agricultural Research Services under a non-assistance cooperative agreement (58-6010-2-005), USDA National Institute of Food and Agriculture (2023-69016-39062) and the National Science Foundation (2316278) .</t>
  </si>
  <si>
    <t>10.1016/j.scitotenv.2024.172942</t>
  </si>
  <si>
    <t>TF0A6</t>
  </si>
  <si>
    <t>WOS:001239717700001</t>
  </si>
  <si>
    <t>Xu, YW; Xia, SZ; Zhang, ZW; Li, YY; Li, M</t>
  </si>
  <si>
    <t>Xu, Yaowen; Xia, Shize; Zhang, Zhengwei; Li, Yuyang; Li, Mo</t>
  </si>
  <si>
    <t>Analysis of water-carbon spatiotemporal linkages and potential carbon neutrality benefits in China at the regional-industrial composite scale based on virtual water trade</t>
  </si>
  <si>
    <t>Virtual water flow; Virtual water trade in food; Water-carbon coupling planning; Carbon neutrality</t>
  </si>
  <si>
    <t>INTERNATIONAL-TRADE; FLOW; SCARCITY</t>
  </si>
  <si>
    <t>The interregional grain trade system fosters a complex water-carbon coupled network, which exacerbates spatial disparities in both water allocation and carbon transfer. Previous studies focused on the virtual water trade's role in food security and agricultural water use but overlooked inter-industry water-carbon transfer mechanisms. This study pioneers two innovative metrics: Virtual water flow spillover efficiency and potential carbon neutrality benefit, thereby expanding the analytical perspective to unravel the interregional water-carbon flow mechanisms within regions. This study constructs a spatiotemporal analytical framework for China's grainrelated virtual water-carbon flows at a regional-industrial nexus scale by integrating social equity principles with an optimized minimum cost maximum flow algorithm. And establishes a synergistic optimization methodology for regional carbon reduction - water use efficiency enhancement, enabling precise identification of dual optimization pathways for resource-environment systems. Results reveal that China's virtual water flow for rice, wheat, and corn increased by 18.2 %, and virtual carbon flow increased by 18.3 % totally. The northeast emerged as a major virtual water exporter, while coastal provinces shifted toward net import status, exacerbating regional water disparities. This study illuminates the substantial carbon benefits arising from intra-industrial resource restructuring triggered by regional grain trade. These benefits far surpass previous estimates derived solely from interregional carbon emission reductions, thereby challenging the conventional accounting framework for its systemic underestimation of grain trade's carbon mitigation potential. Critical pathways, notably Hebei-Tianjin and Shanxi-Guangdong, were identified as dual resource-environment optima. These pathways facilitate water-carbon constructive collaboration within large-scale agricultural trade systems, thereby providing actionable strategies for sustainable food-water-carbon nexus management.</t>
  </si>
  <si>
    <t>[Xu, Yaowen; Xia, Shize; Zhang, Zhengwei; Li, Yuyang; Li, Mo] Northeast Agr Univ, Sch Water Conservancy &amp; Civil Engn, Harbin 150030, Heilongjiang, Peoples R China; [Xu, Yaowen; Xia, Shize; Zhang, Zhengwei; Li, Yuyang; Li, Mo] Northeast Agr Univ, Heilongjiang Prov Key Lab Smart Water Network, Harbin 150030, Heilongjiang, Peoples R China; [Li, Mo] Natl Key Lab Smart Farm Technol &amp; Syst, Harbin 150030, Heilongjiang, Peoples R China; [Li, Mo] Minist Educ, Int Cooperat Joint Lab Heal, Harbin 150030, Heilongjiang, Peoples R China</t>
  </si>
  <si>
    <t>Xu, YW; Li, M (corresponding author), Northeast Agr Univ, Sch Water Conservancy &amp; Civil Engn, Harbin 150030, Heilongjiang, Peoples R China.</t>
  </si>
  <si>
    <t>xuyaowen@neau.edu.cn; limo0828@neau.edu.cn</t>
  </si>
  <si>
    <t>National Natural Science Foun-dation of China [42277492, 52479035]</t>
  </si>
  <si>
    <t>This research was supported by the National Natural Science Foun-dation of China (42277492, 52479035) .</t>
  </si>
  <si>
    <t>10.1016/j.spc.2025.09.005</t>
  </si>
  <si>
    <t>8BI7Q</t>
  </si>
  <si>
    <t>WOS:001584609200001</t>
  </si>
  <si>
    <t>Zhao, PZ; Li, S; Wang, EH; Chen, XW; Deng, JF; Zhao, YS</t>
  </si>
  <si>
    <t>Zhao, Pengzhi; Li, Sheng; Wang, Enheng; Chen, Xiangwei; Deng, Jifeng; Zhao, Yusen</t>
  </si>
  <si>
    <t>Tillage erosion and its effect on spatial variations of soil organic carbon in the black soil region of China</t>
  </si>
  <si>
    <t>Tillage erosion; Soil translocation; Soil organic carbon (SOC); Black soil; Moldboard plowing</t>
  </si>
  <si>
    <t>TOPOGRAPHICALLY COMPLEX LANDSCAPES; POTATO PRODUCTION; SOUTHWESTERN ONTARIO; RAINDROP IMPACT; WATER EROSION; HILLY AREAS; TRANSLOCATION; REDISTRIBUTION; CS-137; PATTERNS</t>
  </si>
  <si>
    <t>The black soil region of Northeast China is characterized by flat to gentle undulating topography; it is ideally suitable for tillage with machines and has become the forefront for the expansion of agricultural mechanization in China. As a result, the potential risk of soil erosion has been inevitably increased with the increases of tractor power, tillage speed, and depth. Tillage erosion, however, has been overlooked as a significant form of soil erosion in this area. Thus, this study aims to 1) provide direct measurements of tillage translocation due to moldboard plowing; and 2) analyze the effect of tillage erosion on the spatial variation of soil organic carbon (SOC). Tillage translocation was determined in a plot experiment using stone chips as tracers. After a single tillage pass, traced soils were translocated 0.095-0.342 m at 32.7-134.1 kg m(-1), with more soil materials translocated in the downslope tillage than in the upslope tillage. The tillage erosivity, expressed in terms of tillage transport coefficient, was 234 kg m(-1) tillage pass(-1). An established Directional Tillage Erosion Model (DirTillEM) was used to predict tillage erosion on the experimental field. High soil loss occurred in the top and lower section of slope, whereas the middle- and bottom section areas reflected soil accumulation. The spatial pattern of SOC exhibited an approximately opposite trend as tillage erosion in the study field, and SOC concentrations were negatively correlated with tillage erosion rates, indicating that tillage erosion likely has contributed to SOC redistribution. The findings suggest that tillage erosion could be a major cause of soil redistribution on sloping farmland in the black soil region of Northeast China; thus, more attention should be given to tillage erosion for its impacts on soil quality and C dynamics in the black soil region.</t>
  </si>
  <si>
    <t>[Zhao, Pengzhi; Wang, Enheng; Chen, Xiangwei; Zhao, Yusen] Northeast Forestry Univ, Coll Forestry, Harbin 150040, Heilongjiang, Peoples R China; [Li, Sheng] Agr &amp; Agri Food Canada, Fredericton Res &amp; Dev Ctr, Fredericton, NB E3B 4Z7, Canada; [Deng, Jifeng] Shenyang Agr Univ, Coll Forestry, Shenyang 110866, Liaoning, Peoples R China</t>
  </si>
  <si>
    <t>Northeast Forestry University - China; Agriculture &amp; Agri Food Canada; Shenyang Agricultural University</t>
  </si>
  <si>
    <t>Wang, EH (corresponding author), Northeast Forestry Univ, Coll Forestry, Harbin 150040, Heilongjiang, Peoples R China.</t>
  </si>
  <si>
    <t>enheng_wang@nefu.edu.cn</t>
  </si>
  <si>
    <t>; Zhao, Pengzhi/ABG-5674-2021; Deng, Jifeng/J-6725-2019</t>
  </si>
  <si>
    <t>Deng, Jifeng/0000-0001-5496-5009; Zhao, Pengzhi/0000-0001-6675-7338; Li, Sheng/0000-0002-9101-4103;</t>
  </si>
  <si>
    <t>National Forestry Industry Research Special Funds for Public Welfare Projects [201404202]; Fundamental Research Funds for Central Universities [2572017CA05]; National Natural Science Foundation of China [41302222, 41271293]; Agriculture and Agri-Food Canada A-base fund [1256]</t>
  </si>
  <si>
    <t>National Forestry Industry Research Special Funds for Public Welfare Projects; Fundamental Research Funds for Central Universities(Fundamental Research Funds for the Central Universities); National Natural Science Foundation of China(National Natural Science Foundation of China (NSFC)); Agriculture and Agri-Food Canada A-base fund(Agriculture &amp; Agri Food Canada)</t>
  </si>
  <si>
    <t>This research was financially supported by grants from the National Forestry Industry Research Special Funds for Public Welfare Projects (No. 201404202), the Fundamental Research Funds for Central Universities (No. 2572017CA05) and National Natural Science Foundation of China (Nos. 41302222 and 41271293). It is also a part of the collaborative research supported by the Agriculture and Agri-Food Canada A-base fund (No.1256). The authors would like to thank Xiaoyan Yang, Qianqian Lu, Shaojie Han, Song Luo, Siming Qi and Luyi Kang for their great help on field experiment as well as sample and data processing. We would also like to thank Dr. David Lobb for his suggestions on the design of the study and Dr. Kevin Tiessen and Jinyan Yang for their valuable comments on revising the manuscript. Last but not least, we would like to express our appreciation to the anonymous reviewers and editors for their careful review and constructive comments and suggestions, which helped us tremendously in enhancing the: manuscript.</t>
  </si>
  <si>
    <t>10.1016/j.still.2017.12.022</t>
  </si>
  <si>
    <t>FX6UT</t>
  </si>
  <si>
    <t>WOS:000426223500009</t>
  </si>
  <si>
    <t>Xu, ZH; Wang, XJ; Ma, Y; Niu, ZH; Chen, JQ; Zhang, M; Xu, ZH; Zhang, TT; Shi, F</t>
  </si>
  <si>
    <t>Xu, Zhihua; Wang, Xuejing; Ma, Yu; Niu, Zhihan; Chen, Jiaqi; Zhang, Min; Xu, Zhenghong; Zhang, Tongtong; Shi, Feng</t>
  </si>
  <si>
    <t>Synthesis of Nitrogen-Doped Carbon Dots and Their Effects on Crop Seed Germination and Seedling Growth</t>
  </si>
  <si>
    <t>PHOTOSYNTHESIS; EFFICIENCY</t>
  </si>
  <si>
    <t>Nanomaterials are helping to transform agricultural production, playing a crucial role in achieving sustainable development, increasing crop yields, and addressing the safety of fertilizer use. The advantages of carbon dots (CDs) in the application of new agriculture are apparent. This study combined the advantages of CDs to explore the positive effects of CDs doped with essential elements on plant growth. In this regard, for the first time, we prepared nitrogen-doped CDs (N-CDs) with blue fluorescence emission by a microwave reaction with succinic acid using m-phenylenediamine (MPD) as the nitrogen source, and studied their effects on crop growth and development. The morphology, structure, and fluorescence properties of the N-CDs were analyzed using various characterization methods. N-CDs exhibited good stability with an average particle size of 2.20 nm. The optimal emission wavelength was 360 nm, the maximum fluorescence emission peak was 452 nm, and the absolute quantum yield (QY) was 35.60%. The results of the effect of N-CDs on crop growth and development showed that the highest germination rate (86.67%, 68.33%), vigor index (127.76%, 15.31%), and biomass in maize and tomato were observed after treatment with 0.010 mg/mL N-CDs. With increasing N-CDs concentration, the indices first increased and then decreased, with significant growth inhibition observed at excessively high concentrations. Therefore, appropriate concentrations of N-CDs can enhance the development of crop seedlings. This study lays the foundation for the nanofertilization applications of CDs, which could be further doped with potassium, phosphorus, and other important plant nutrients.</t>
  </si>
  <si>
    <t>[Xu, Zhihua; Wang, Xuejing; Ma, Yu; Niu, Zhihan; Chen, Jiaqi; Zhang, Min; Xu, Zhenghong; Zhang, Tongtong; Shi, Feng] Shihezi Univ, Coll Life Sci, Shihezi 832003, Peoples R China</t>
  </si>
  <si>
    <t>Shihezi University</t>
  </si>
  <si>
    <t>Shi, F (corresponding author), Shihezi Univ, Coll Life Sci, Shihezi 832003, Peoples R China.</t>
  </si>
  <si>
    <t>shifeng2314@yeah.net</t>
  </si>
  <si>
    <t>Zhang, Min/ABE-9844-2021</t>
  </si>
  <si>
    <t>National Natural Science Foundation of China [32460237]; National Natural Science Foundation of China [2024YL04]; Xinjiang Production and Construction Corps First Division Alar City Financial Science and Technology Plan Project [2025YD022]; Central guidance for local scientific and technological development project</t>
  </si>
  <si>
    <t>National Natural Science Foundation of China(National Natural Science Foundation of China (NSFC)); National Natural Science Foundation of China(National Natural Science Foundation of China (NSFC)); Xinjiang Production and Construction Corps First Division Alar City Financial Science and Technology Plan Project; Central guidance for local scientific and technological development project</t>
  </si>
  <si>
    <t>This work was supported by the National Natural Science Foundation of China (Project No: 32460237), the Xinjiang Production and Construction Corps First Division Alar City Financial Science and Technology Plan Project (Project No: 2024YL04) and the Central guidance for local scientific and technological development project (Project No: 2025YD022) for the publication of this paper.</t>
  </si>
  <si>
    <t>10.1021/acsomega.5c03095</t>
  </si>
  <si>
    <t>7QK4K</t>
  </si>
  <si>
    <t>WOS:001568196400001</t>
  </si>
  <si>
    <t>Retallack, GJ</t>
  </si>
  <si>
    <t>Retallack, Gregory J.</t>
  </si>
  <si>
    <t>Soil Carbon Dioxide Planetary Thermostat</t>
  </si>
  <si>
    <t>ASTROBIOLOGY</t>
  </si>
  <si>
    <t>Daisyworld; Oxisols; Mollisols; Aridisols; Gelisols</t>
  </si>
  <si>
    <t>EARTH; CO2; IMPACT; HABITABILITY; ATMOSPHERES; SENSITIVITY; HOMEOSTASIS; EVOLUTION; FUTURE; CRISES</t>
  </si>
  <si>
    <t>Biological regulation of planetary temperature has been explained with the Daisyworld model, in which reflective-cooling white daises balance absorbing-warming black daisies. This article advances the proposition that cooling daisies of Daisyworld represent carbon sequestration and consumption by productive soils and ecosystems, such as grasslands expanding into deserts and tropical forests migrating toward the poles. On the other hand, warming daisies represent continued CO2 emissions from volcanoes and springs allowed by unproductive frigid and desert ecosystems. Greenhouse spikes of CO2 in deep time from large perturbations, such as flood basalt eruptions and asteroid impacts, did not continue as lethal runaway greenhouses, such as Venus, nor did low CO2 of ice ages decline to a sterile global snowball, such as Mars. These hypotheses are quantified and tested by new global soil maps derived from paleosols of the last extremes of atmospheric CO2: middle Miocene (16 Ma) and last glacial maximum (20 ka), when CO2 levels were 588 +/- 72 and 180ppm, respectively. Observed expansion of productive soils curbed large atmospheric injections of CO2 in deep time and observed expansion of unproductive soils during ice ages of low CO2 was thwarted by continued metamorphic and volcanic degassing. This short-term Soilworld thermostat of biogeographic redistribution of ecosystems supplemented long-term evolution of terrestrial carbon sequestration curbing solar radiation increases over billions of years. Similar agricultural management of ecosystems has potential for short-term carbon sequestration.</t>
  </si>
  <si>
    <t>[Retallack, Gregory J.] Univ Oregon, Dept Earth Sci, Eugene, OR 97403 USA</t>
  </si>
  <si>
    <t>University of Oregon</t>
  </si>
  <si>
    <t>Retallack, GJ (corresponding author), Univ Oregon, Dept Earth Sci, Eugene, OR 97403 USA.</t>
  </si>
  <si>
    <t>gregr@uoregon.edu</t>
  </si>
  <si>
    <t>Retallack, Gregory/0000-0003-4356-9240</t>
  </si>
  <si>
    <t>MARY ANN LIEBERT, INC</t>
  </si>
  <si>
    <t>NEW ROCHELLE</t>
  </si>
  <si>
    <t>140 HUGUENOT STREET, 3RD FL, NEW ROCHELLE, NY 10801 USA</t>
  </si>
  <si>
    <t>1531-1074</t>
  </si>
  <si>
    <t>1557-8070</t>
  </si>
  <si>
    <t>Astrobiology</t>
  </si>
  <si>
    <t>10.1089/ast.2020.2415</t>
  </si>
  <si>
    <t>Astronomy &amp; Astrophysics; Biology; Geosciences, Multidisciplinary</t>
  </si>
  <si>
    <t>Astronomy &amp; Astrophysics; Life Sciences &amp; Biomedicine - Other Topics; Geology</t>
  </si>
  <si>
    <t>1P7TY</t>
  </si>
  <si>
    <t>WOS:000802208700010</t>
  </si>
  <si>
    <t>Kim, DG; Kirschbaum, MUF; Beedy, TL</t>
  </si>
  <si>
    <t>Kim, Dong-Gill; Kirschbaum, Miko U. F.; Beedy, Tracy L.</t>
  </si>
  <si>
    <t>Carbon sequestration and net emissions of CH4 and N2O under agroforestry: Synthesizing available data and suggestions for future studies</t>
  </si>
  <si>
    <t>Agroforestry; Carbon sequestration; Soil; Biomass; Greenhouse gas flux; Mitigation</t>
  </si>
  <si>
    <t>SOIL ORGANIC-CARBON; LAND-USE SYSTEMS; NITROUS-OXIDE; IMPROVED FALLOWS; GAS EMISSIONS; TREE BIOMASS; SILVOARABLE AGROFORESTRY; SILVOPASTORAL SYSTEMS; ABOVEGROUND BIOMASS; METHANE OXIDATION</t>
  </si>
  <si>
    <t>While there have been many valuable individual studies of the effects of agroforestry on changes in net greenhouse gas (GHG) emissions, this information has not yet been brought together to provide an overall assessment of the effects of agroforestry. We therefore compiled and analysed data from 109 earlier observations from 56 peer-reviewed publications of net rates of change of biomass and/or soil carbon (C) stocks in agroforestry systems, and from 26 data sets from 15 peer-reviewed publications of net changes in the emissions of methane (CH4) and nitrous oxide (N2O). We categorized agroforestry into two distinct types: tree-crop coexistence types where trees and agricultural crops are grown together (type 1) and tree-crop rotation type where trees and crops are grown alternately on the same piece of land (type 2). We primarily assessed the changes in C storage and net GHG emissions between agriculture and type 1 agroforestry. The data showed high variability in net C sequestration rates in both biomass and soils depending on the type of agroforestry, with reported C increments ranging from 0.3 to 7.7 t C ha(-1) y(-1) in biomass and 1.0 to 7.4 t C ha(-1) y(-1) in soils. On average, type 1 stands sequestered 3.8 13 t C ha(-1) y(-1) in above-ground biomass, with no evidence of changed rates for stands aged 5-25 years. All available studies exclusively reported increases in soil C stocks, with highest reported soil C sequestration rates of more than 8 t C ha(-1) y(-1) for the first year after agroforestry establishment. Averaged across all observations, soil C sequestration rates were about 2 t C ha(-1) y(-1) in youngest stands that gradually diminished with time since stand establishment. Overall, type 1 agroforestry stands (at an average age of 14 years) sequestered 7.2 +/- 2.8 t C ha(-1) y(-1), with biomass and soil C sequestration contributing about 70% and 30% of that increment, respectively. Soils under agroforestry also oxidised 1.6 1.0 kg CH4 ha(-1) y(-1) and emitted 7.7 +/- 33 kg N2O ha(-1) y(-1). Comparing agroforestry and adjacent agricultural lands, we found only minor differences in net CH4 and N2O emissions, with no clear overall direction of change. Overall, agroforestry was estimated to contribute to mitigating 27 14 t CO2 equivalents ha(-1) y(-1) at least for the first 14 years after establishment. It is suggested that future studies should consider strategic approaches for data acquisition that develop comprehensive approaches to quantify all components of the GHG balance, relate net GHG emissions with quantification of the yield of produce, and develop models to summarise the findings. (C) 2016 Elsevier B.V. All rights reserved.</t>
  </si>
  <si>
    <t>[Kim, Dong-Gill] Hawassa Univ, Wondo Genet Coll Forestry &amp; Nat Resources, POB 128, Shashemene, Ethiopia; [Kirschbaum, Miko U. F.] Landcare Res, Private Bag 11052, Palmerston North 4442, New Zealand; [Beedy, Tracy L.] Oklahoma State Univ, Dept Plant &amp; Soil Sci, Stillwater, OK 74078 USA</t>
  </si>
  <si>
    <t>Hawassa University; Landcare Research - New Zealand; Oklahoma State University System; Oklahoma State University - Stillwater</t>
  </si>
  <si>
    <t>Kim, DG (corresponding author), Hawassa Univ, Wondo Genet Coll Forestry &amp; Nat Resources, POB 128, Shashemene, Ethiopia.</t>
  </si>
  <si>
    <t>donggillkim@gmail.com</t>
  </si>
  <si>
    <t>Kim, Dong-Gill/0000-0003-3084-2658</t>
  </si>
  <si>
    <t>Research and Development Office, Wondo Genet College of Forestry and Natural Resources; IAEA Coordinated Research Project Minimizing Farming Impacts on Climate Change by Enhancing Carbon and Nitrogen Capture and Storage in Agro-Ecosystems [CRP D1 50.16]</t>
  </si>
  <si>
    <t>Research and Development Office, Wondo Genet College of Forestry and Natural Resources; IAEA Coordinated Research Project Minimizing Farming Impacts on Climate Change by Enhancing Carbon and Nitrogen Capture and Storage in Agro-Ecosystems</t>
  </si>
  <si>
    <t>We would like to thank to Anne Austin for scientific editing and are grateful for the numerous researchers and technicians who provided invaluable data. It is impossible to cite all the references due to limited space allowed and we apologize to the authors whose work has not been cited. D.-G.K. acknowledges support from Research and Development Office, Wondo Genet College of Forestry and Natural Resources and IAEA Coordinated Research Project (CRP D1 50.16) Minimizing Farming Impacts on Climate Change by Enhancing Carbon and Nitrogen Capture and Storage in Agro-Ecosystems.</t>
  </si>
  <si>
    <t>JUN 16</t>
  </si>
  <si>
    <t>10.1016/j.agee.2016.04.011</t>
  </si>
  <si>
    <t>DO5JF</t>
  </si>
  <si>
    <t>WOS:000377818700007</t>
  </si>
  <si>
    <t>Fan, SB; Lin, HY; Luo, N; Sima, H; Liu, YP</t>
  </si>
  <si>
    <t>Fan, Shuaibang; Lin, Hongyu; Luo, Na; Sima, Herbert; Liu, Yanping</t>
  </si>
  <si>
    <t>Spatial temporal trends and inequality in agricultural eco-efficiency under carbon constraints in China</t>
  </si>
  <si>
    <t>Spatial-temporal patterns; Dynamic evolution; Super-efficiency EBM model; Ecological efficiency; China</t>
  </si>
  <si>
    <t>Eco-efficiency in cultivated land use is crucial for ensuring food security and promoting sustainable agriculture amidst the challenges posed by urbanization and climate change. Distinct from much of the existing literature, this paper adopts a super-efficiency EBM model that integrates both radial and non-radial perspectives to estimate the eco-efficiency of cultivated land use and identify sources of inefficiency under carbon emission constraints, focusing on 180 prefecture-level cities in China's major grain-producing regions. Additionally, spatial kernel density estimation is applied to analyze the spatiotemporal dynamics and long-term trends in eco-efficiency, while the Dagum Gini coefficient is used to examine the causes of spatiotemporal disparities. The key findings include (1) The Songhua River Basin shows significantly higher eco-efficiency (mean: 0.718) than the Yellow River (mean: 0.559) and Yangtze River Basins (mean: 0.587), with distinct evolutionary patterns; (2) Long-term evolution reflects a bipolar pattern with spatial agglomeration disparities; (3) Positive spatial spillover effects are evident in regions with efficiency levels between 0.4 and 0.9, with inter-regional differences and super-variable density as significant spatial variation sources. This study reveals a long-term increase - short-term decline trend in ecological efficiency, highlighting carbon emissions as the primary limiting factor, although this constraint is gradually diminishing.</t>
  </si>
  <si>
    <t>[Fan, Shuaibang; Lin, Hongyu; Luo, Na] Dongbei Univ Finance &amp; Econ, Sch Publ Adm, Dalian 116025, Peoples R China; [Sima, Herbert] Univ Auckland, Dept Mkt, Auckland 1142, New Zealand; [Liu, Yanping] Nankai Univ, Business Sch, Dept Management Sci &amp; Engn, Tianjin 300071, Peoples R China</t>
  </si>
  <si>
    <t>Dongbei University of Finance &amp; Economics; University of Auckland; Nankai University</t>
  </si>
  <si>
    <t>Luo, N (corresponding author), Dongbei Univ Finance &amp; Econ, Sch Publ Adm, Dalian 116025, Peoples R China.</t>
  </si>
  <si>
    <t>ronaluo@dufe.edu.cn</t>
  </si>
  <si>
    <t>luo, na/KOC-3893-2024; Lin, Hongyu/LXA-3658-2024</t>
  </si>
  <si>
    <t>Luo, Na/0000-0002-4216-974X;</t>
  </si>
  <si>
    <t>The National Social Science Project [24BTJ038]; National Social Science Project [24AGL006]; National Social Science Key Project</t>
  </si>
  <si>
    <t>The National Social Science Project; National Social Science Project; National Social Science Key Project</t>
  </si>
  <si>
    <t>This research was supported by the National Social Science Project (24BTJ038) and the National Social Science Key Project (24AGL006).</t>
  </si>
  <si>
    <t>10.1038/s41598-025-09413-0</t>
  </si>
  <si>
    <t>4OP9U</t>
  </si>
  <si>
    <t>WOS:001522982100041</t>
  </si>
  <si>
    <t>Mehta, CR; Chandel, NS; Jena, PC; Jha, A</t>
  </si>
  <si>
    <t>Mehta, C. R.; Chandel, N. S.; Jena, P. C.; Jha, Anamika</t>
  </si>
  <si>
    <t>Indian Agriculture Counting on Farm Mechanization</t>
  </si>
  <si>
    <t>Agricultural machinery; Custom hiring; Farm power availability; Mechanization level; Test code</t>
  </si>
  <si>
    <t>The mechanization of Indian farms is imperative to enhance input use efficiency, reduce human drudgery, increase production and productivity of food-grains, reduce cost of production and to address issues of labour scarcity and timeliness of farm operations. The status of farm mechanization for different crops, farm power availability, farm machinery manufacturing and sale, standardization and testing, and Government initiatives to ensure mechanization of Indian agriculture are assessed in this study. The total farm power availability in Indian agriculture was 2.24 kW/ha in 2016-17. It had a share of 1.324, 0.018, 0.021, 0.460, 0.193, 0.091 and 0.130 kW/ha from tractors, power tillers, combine harvesters, diesel engines, electric motors, humans and draught animals, respectively. The overall mechanization levels for rice, wheat, maize, sorghum, pulses, oilseeds, cotton and sugarcane crops were 45, 63, 40, 26, 34, 34, 26 and 24%, respectively. The increasing trend in establishment of custom hiring centres and hi-tech hubs along with farm machinery banks at village level has ensured availability of modern agricultural machinery for different field operations to small and marginal farmers. The quality of farm equipment is ensured by testing involving laboratory and field performance evaluation and followed by certification at designated testing centres. There is a need to innovate custom service or a rental model by institutionalization for high cost farm machinery to reduce the cost of operation.</t>
  </si>
  <si>
    <t>[Mehta, C. R.] ICAR Cent Inst Agr Engn, All India Coordinated Res Project Farm Implements, Bhopal 462038, India; [Chandel, N. S.] ICAR Cent Inst Agr Engn, Agr Mechanizat Div, Bhopal 462038, India; [Jena, P. C.] ICAR Cent Inst Agr Engn, Agr Energy &amp; Power Div, Bhopal 462038, India; [Jha, Anamika] ICAR Cent Res Inst Dryland Agr, Hyderabad 500059, India</t>
  </si>
  <si>
    <t>Indian Council of Agricultural Research (ICAR); ICAR - Central Institute of Agricultural Engineering; Indian Council of Agricultural Research (ICAR); ICAR - Central Institute of Agricultural Engineering; Indian Council of Agricultural Research (ICAR); ICAR - Central Institute of Agricultural Engineering; Indian Council of Agricultural Research (ICAR); ICAR - Central Research Institute of Dryland Agriculture</t>
  </si>
  <si>
    <t>Mehta, CR (corresponding author), ICAR Cent Inst Agr Engn, All India Coordinated Res Project Farm Implements, Bhopal 462038, India.</t>
  </si>
  <si>
    <t>crmehta65@yahoo.co.in; narendracae@gmail.com; prakiitkgp@gmail.com; anu.6sag@gmail.com</t>
  </si>
  <si>
    <t>Mehta, C R/0000-0003-3329-5805</t>
  </si>
  <si>
    <t>HT7UP</t>
  </si>
  <si>
    <t>WOS:000464770200012</t>
  </si>
  <si>
    <t>zu Drewer, JM; Thierfelder, C; Buerkert, A</t>
  </si>
  <si>
    <t>Meyer Zu Drewer, Johannes; Thierfelder, Christian; Buerkert, Andreas</t>
  </si>
  <si>
    <t>Soil carbon and nitrogen emissions under farmer managed conservation agriculture in Zimbabwe</t>
  </si>
  <si>
    <t>Africa; Carbon sequestration; Carbon sink; Climate change mitigation; Greenhouse gas emissions; No-tillage; Soil fractionation; Sustainable intensification</t>
  </si>
  <si>
    <t>ORGANIC-MATTER; CLIMATE-CHANGE; NO-TILLAGE; MAIZE; SYSTEMS; YIELD; SEQUESTRATION; PRODUCTIVITY; MITIGATION; GRAIN</t>
  </si>
  <si>
    <t>Worldwide agriculture operates under the threefold challenge of adapting to climate change and mitigating its effects while aiming for sustainable agricultural intensification to meet the food demands of a growing population. Conservation agriculture (CA), a combination of reduced tillage, diversified crop rotations, and mulching, claims to target all three challenges at the same time. However, major knowledge gaps regarding CA's mitigation potential remain. This study used a mobile, closed chamber system to determine soilborne, greenhouse gas (GHG) emissions from rainfed, farmer-managed CA- and conventional agriculture (CONV), in northern Zimbabwe. Measurements were carried out in locations of contrasting soil fertility (Arenosols and Luvisols) and under contrasting environmental conditions (cold-dry, cold-moist, warm-dry, warm-moist). Additionally, a horizon-specific soil fractionation with consecutive soil carbon and nitrogen quantification was conducted. The GHG emissions from a total of 8 farms depended on soil temperature and moisture and tended to be higher in CONV fields, although differences were statistically not significant. Field emissions were highest under warm-moist conditions, which are prevailing for large parts of the growing season. Mean carbon dioxide (CO2) emissions from Luvisols were 3.0% lower in CA fields (583 mg CO2 m2 h-1) than under CONV (601 mg CO2 m2 h-1), respectively 7.6% lower in CA fields (464 mg CO2 m2 h-1) than under CONV (502 mg CO2 m2 h-1) in Arenosols. Conservation agriculture reduced mean nitrous oxide (N2O) emissions by 17.5% from 0.27 mg N2O m2 h-1 (CONV) to 0.23 mg N2O m2 h-1 (CA) in Luvisols and by 54.7% from 1.16 mg N2O m2 h-1 (CONV) to 0.53 mg N2O m2 h-1 (CA) in Arenosols. The upper soil horizons of Luvisols had higher concentrations of particulate- and mineral-associated organic matter compared with Arenosols and lower soil horizons but no differences were noted between management systems. Our data indicate that the mitigation effects of CA are highly site-specific and that CA management practices can have unexpected negative effects on GHG fluxes. The unimodal rainfall distribution with a long dry winter period of 7 months and recurrent dry spells in northern Zimbabwe may prevent a net carbon sequestration under CA management that would have occurred in the humid tropics.</t>
  </si>
  <si>
    <t>[Meyer Zu Drewer, Johannes] Univ Gottingen, Trop Plant Prod &amp; Agr Syst Modelling TROPAGS, Grisebachstr 6, D-37077 Gottingen, Germany; [Meyer Zu Drewer, Johannes] Ithaka Inst Carbon Strategies, Arbaz, Switzerland; [Thierfelder, Christian] Int Maize &amp; Wheat Improvement Ctr CIMMYT, POB MP 163, Harare, Zimbabwe; [Buerkert, Andreas] Univ Kassel, Organ Plant Prod &amp; Agroecosyst Res Trop &amp; Subtrop, Steinstr 19, D-37213 Witzenhausen, Germany</t>
  </si>
  <si>
    <t>University of Gottingen; Universitat Kassel</t>
  </si>
  <si>
    <t>Buerkert, A (corresponding author), Univ Kassel, Organ Plant Prod &amp; Agroecosyst Res Trop &amp; Subtrop, Steinstr 19, D-37213 Witzenhausen, Germany.</t>
  </si>
  <si>
    <t>mzd@ithaka-institut.org; c.thierfelder@cgiar.org; tropcrops@uni-kassel.de</t>
  </si>
  <si>
    <t>Arbeitsgemeinschaft fr Tropische und Subtropische Agrarforschung; Universitt Kassel (3154)</t>
  </si>
  <si>
    <t>10.1007/s10705-025-10451-3</t>
  </si>
  <si>
    <t>O0026</t>
  </si>
  <si>
    <t>WOS:001632139000002</t>
  </si>
  <si>
    <t>Wang, FK; Liu, Q; Huang, MZ; Qiao, X; Huang, YQ</t>
  </si>
  <si>
    <t>Wang, Fukuan; Liu, Qi; Huang, Meizhang; Qiao, Xi; Huang, Yiqi</t>
  </si>
  <si>
    <t>RESEARCH ON SUGARCANE SEED-BUD LOCATION BASED ON ANISOTROPIC SCALING TRANSFORMATION</t>
  </si>
  <si>
    <t>APPLIED ENGINEERING IN AGRICULTURE</t>
  </si>
  <si>
    <t>Anisotropic scaling; Binocular vision; Image pyramid; Mechanization planting of sugarcane; Seed bud location</t>
  </si>
  <si>
    <t>RECOGNITION; CLUSTERS; FEATURES; MODEL; FRUIT; ROBOT</t>
  </si>
  <si>
    <t>Sugarcane is a major economic crop in China, but the degree of mechanization in sugarcane cultivation is low. To improve the economic benefit of sugarcane planting, promoting the use of mechanization in sugarcane planting is necessary. Currently, the sugarcane planted using mechanization has a low survival rate and the mechanization efficiency is low because the existing sugarcane precutting machine fails to address the problem of damaging seed buds. This study proposed a sugarcane bud localization method based on computer binocular vision technology. The sugarcane stem segment positions can be determined by the grayscale horizontal projection after preprocessing the sugarcane image based on color and grayscale features. Then, the bud area can be intercepted according to the positional relationship between the seed bud and the stem node, and the planar position of the seed bud will be determined by using the color space conversion and the gray vertical projection. Finally, the anisotropic scaling transformation is used to match the seed-bud area and restore the spatial coordinates of the seed bud, and the spatial position of the seed bud can be determined. The image pyramid acceleration matching process is adopted, which can make the method more suitable for real-time applications. The experimental results show that the accuracy of seed-bud matching based on the anisotropic scaling transformation is 98%, which provides a basis for research on the anti-injury germ system in the automatic planting process of sugarcane.</t>
  </si>
  <si>
    <t>[Wang, Fukuan; Liu, Qi; Huang, Meizhang; Qiao, Xi; Huang, Yiqi] Guangxi Univ, Coll Mech Engn, Nanning, Peoples R China; [Qiao, Xi] Chinese Acad Agr Sci, Agr Genom Inst Shenzhen, Minist Agr &amp; Rural Area, Lingnan Guangdong Lab Modern Agr,Genome Anal Lab, Shenzhen, Peoples R China</t>
  </si>
  <si>
    <t>Guangxi University; Chinese Academy of Agricultural Sciences; Agriculture Genomes Institute at Shenzhen, CAAS; Guangdong Laboratory for Lingnan Modern Agriculture</t>
  </si>
  <si>
    <t>Qiao, X; Huang, YQ (corresponding author), Guangxi Univ, Coll Mech Engn, Nanning, Peoples R China.;Qiao, X (corresponding author), Chinese Acad Agr Sci, Agr Genom Inst Shenzhen, Minist Agr &amp; Rural Area, Lingnan Guangdong Lab Modern Agr,Genome Anal Lab, Shenzhen, Peoples R China.</t>
  </si>
  <si>
    <t>qiaoxi@caas.cn; hyqgxu@163.com</t>
  </si>
  <si>
    <t>Qiao, Xi/NRB-1852-2025</t>
  </si>
  <si>
    <t>National Natural Science Foundation for Young Scientists of China [31801804]; Guangxi Natural Science Foundation of China [2021JJA130221]; special funds for science technology innovation and industrial development of Shenzhen Dapeng New District [PT202001-06]</t>
  </si>
  <si>
    <t>National Natural Science Foundation for Young Scientists of China(National Natural Science Foundation of China (NSFC)); Guangxi Natural Science Foundation of China; special funds for science technology innovation and industrial development of Shenzhen Dapeng New District</t>
  </si>
  <si>
    <t>The authors thank native English-speaking expert from the editing team of American Journal Experts for polishing our paper. The work in this article was supported by the National Natural Science Foundation for Young Scientists of China (31801804), Guangxi Natural Science Foundation of China (2021JJA130221), and projects subsidized by special funds for science technology innovation and industrial development of Shenzhen Dapeng New District (PT202001-06).</t>
  </si>
  <si>
    <t>AMER SOC AGRICULTURAL &amp; BIOLOGICAL ENGINEERS</t>
  </si>
  <si>
    <t>ST JOSEPH</t>
  </si>
  <si>
    <t>2950 NILES RD, ST JOSEPH, MI 49085-9659 USA</t>
  </si>
  <si>
    <t>0883-8542</t>
  </si>
  <si>
    <t>1943-7838</t>
  </si>
  <si>
    <t>APPL ENG AGRIC</t>
  </si>
  <si>
    <t>Appl. Eng. Agric.</t>
  </si>
  <si>
    <t>10.13031/aea.14427</t>
  </si>
  <si>
    <t>YP3NT</t>
  </si>
  <si>
    <t>WOS:000748532200013</t>
  </si>
  <si>
    <t>Bai, XX; Huang, YW; Ren, W; Coyne, M; Jacinthe, PA; Tao, B; Hui, DF; Yang, J; Matocha, C</t>
  </si>
  <si>
    <t>Bai, Xiongxiong; Huang, Yawen; Ren, Wei; Coyne, Mark; Jacinthe, Pierre-Andre; Tao, Bo; Hui, Dafeng; Yang, Jian; Matocha, Chris</t>
  </si>
  <si>
    <t>Responses of soil carbon sequestration to climate-smart agriculture practices: A meta-analysis</t>
  </si>
  <si>
    <t>biochar; climate; conservation tillage; cover crop; meta-analysis; soil organic carbon</t>
  </si>
  <si>
    <t>GREENHOUSE-GAS EMISSIONS; NO-TILLAGE MANAGEMENT; ORGANIC-CARBON; COVER CROPS; NITROGEN-FERTILIZATION; CONSERVATION TILLAGE; MICROBIAL BIOMASS; CO2 EMISSIONS; BIOCHAR; MATTER</t>
  </si>
  <si>
    <t>Climate-smart agriculture (CSA) management practices (e.g., conservation tillage, cover crops, and biochar applications) have been widely adopted to enhance soil organic carbon (SOC) sequestration and to reduce greenhouse gas emissions while ensuring crop productivity. However, current measurements regarding the influences of CSA management practices on SOC sequestration diverge widely, making it difficult to derive conclusions about individual and combined CSA management effects and bringing large uncertainties in quantifying the potential of the agricultural sector to mitigate climate change. We conducted a meta-analysis of 3,049 paired measurements from 417 peer-reviewed articles to examine the effects of three common CSA management practices on SOC sequestration as well as the environmental controlling factors. We found that, on average, biochar applications represented the most effective approach for increasing SOC content (39%), followed by cover crops (6%) and conservation tillage (5%). Further analysis suggested that the effects of CSA management practices were more pronounced in areas with relatively warmer climates or lower nitrogen fertilizer inputs. Our meta-analysis demonstrated that, through adopting CSA practices, cropland could be an improved carbon sink. We also highlight the importance of considering local environmental factors (e.g., climate and soil conditions and their combination with other management practices) in identifying appropriate CSA practices for mitigating greenhouse gas emissions while ensuring crop productivity.</t>
  </si>
  <si>
    <t>[Bai, Xiongxiong; Huang, Yawen; Ren, Wei; Coyne, Mark; Tao, Bo; Matocha, Chris] Univ Kentucky, Dept Plant &amp; Soil Sci, Lexington, KY 40546 USA; [Bai, Xiongxiong] Henan Normal Univ, Coll Life Sci, Xinxiang, Henan, Peoples R China; [Jacinthe, Pierre-Andre] Indiana Univ Purdue Univ, Indianapolis, IN 46202 USA; [Hui, Dafeng] Tennessee State Univ, Dept Biol Sci, Nashville, TN 37203 USA; [Yang, Jian] Univ Kentucky, Dept Forestry &amp; Nat Resources, Lexington, KY USA</t>
  </si>
  <si>
    <t>University of Kentucky; Henan Normal University; Purdue University System; Purdue University; Purdue University in Indianapolis; Tennessee State University; University of Kentucky</t>
  </si>
  <si>
    <t>Ren, W (corresponding author), Univ Kentucky, Dept Plant &amp; Soil Sci, Lexington, KY 40546 USA.</t>
  </si>
  <si>
    <t>wei.ren@uky.edu</t>
  </si>
  <si>
    <t>; Yang, Jian/L-3415-2016; Yang, Jian/H-3169-2011; Coyne, Mark/HCB-1162-2022; Hui, Dafeng/D-9954-2017; Bai, Xiongxiong/LPQ-4974-2024</t>
  </si>
  <si>
    <t>Huang, Yawen/0000-0001-8854-6005; Yang, Jian/0000-0002-2170-589X; Hui, Dafeng/0000-0002-5284-2897; Bai, Xiongxiong/0000-0001-5104-2946;</t>
  </si>
  <si>
    <t>NIFA-USDA [2352437000]; National Science Foundation [1355438]; U.S. Department of Agriculture</t>
  </si>
  <si>
    <t>NIFA-USDA(United States Department of Agriculture (USDA)); National Science Foundation(National Science Foundation (NSF)); U.S. Department of Agriculture(United States Department of Agriculture (USDA))</t>
  </si>
  <si>
    <t>NIFA-USDA, Grant/Award Number: 2352437000; National Science Foundation under Cooperative Agreement, Grant/Award Number: 1355438; U.S. Department of Agriculture</t>
  </si>
  <si>
    <t>10.1111/gcb.14658</t>
  </si>
  <si>
    <t>JO3TF</t>
  </si>
  <si>
    <t>WOS:000497502700008</t>
  </si>
  <si>
    <t>Wróbel-Jedrzejewska, M; Wlodarczyk, E; Przybysz, L</t>
  </si>
  <si>
    <t>Wrobel-Jedrzejewska, Magdalena; Wlodarczyk, Ewelina; Przybysz, Lukasz</t>
  </si>
  <si>
    <t>Carbon Footprint of Flour Production in Poland</t>
  </si>
  <si>
    <t>flour carbon footprint; renewable energy sources; flour production; CSRD directives; greenhouse gas emissions reduction</t>
  </si>
  <si>
    <t>WHEAT; SUSTAINABILITY; L.</t>
  </si>
  <si>
    <t>The importance of carbon footprint (CF) analysis in the agricultural and food industries as a fundamental element of the means to achieve sustainable food production is emphasized here. In this study, flour production in Poland and the technological processes were characterized. This study's aim was to determine and compare flour production CF for different companies. The production stages were examined, and aspects related to transportation and storage were analyzed. The obtained data made it possible to identify areas of potential improvement to increase the efficiency of production and logistics processes and reduce greenhouse gas (GHG) emissions. The results showed that flour production CFav ranges from 0.042 to 0.080 kg CO2eq/kg of product (in different companies). The results obtained for individual plants did not differ. One method of reducing CF was through the use of renewable energy sources. Photovoltaics (share of 17-20%) has significantly reduced flour production CF by 13-15%. The decrease was significant from March to October due to the country's climatic conditions. The work highlights CF's importance as a tool to reduce environmental impacts and optimize production costs while pointing out the need to customize the calculation methodology to the specifics of the product and process.</t>
  </si>
  <si>
    <t>[Wrobel-Jedrzejewska, Magdalena; Wlodarczyk, Ewelina; Przybysz, Lukasz] Prof Waclaw Dabrowski Inst Agr &amp; Food Biotechnol, State Res Inst, Dept Technol &amp; Refrigerat Tech, PL-92202 Lodz, Poland</t>
  </si>
  <si>
    <t>Waclaw Dabrowski Institute of Biotechnology of Agricultural &amp; Food</t>
  </si>
  <si>
    <t>Wróbel-Jedrzejewska, M (corresponding author), Prof Waclaw Dabrowski Inst Agr &amp; Food Biotechnol, State Res Inst, Dept Technol &amp; Refrigerat Tech, PL-92202 Lodz, Poland.</t>
  </si>
  <si>
    <t>magdalena.jedrzejewska@ibprs.pl; ewelina.wlodarczyk@ibprs.pl; lukasz.przybysz@ibprs.pl</t>
  </si>
  <si>
    <t>; WrobelJedrzejewska, Magdalena/KHE-0895-2024; Przybysz, Łukasz/IUM-7436-2023</t>
  </si>
  <si>
    <t>Włodarczyk, Ewelina/0000-0002-6214-2384; Wróbel-Jęzejewska, Magdalena/0000-0002-7633-5398</t>
  </si>
  <si>
    <t>Ministry of Agriculture and Rural Development</t>
  </si>
  <si>
    <t>10.3390/su16114475</t>
  </si>
  <si>
    <t>UA6Q2</t>
  </si>
  <si>
    <t>WOS:001245384900001</t>
  </si>
  <si>
    <t>Meng, Y; Shen, ZY; Streimikiene, D; Balezentis, T; Wang, SK; Zhang, YL</t>
  </si>
  <si>
    <t>Meng, Yuan; Shen, Zhiyang; Streimikiene, Dalia; Balezentis, Tomas; Wang, Songkai; Zhang, Yunlong</t>
  </si>
  <si>
    <t>Investigating the impact of agricultural informatization on the carbon shadow price</t>
  </si>
  <si>
    <t>Data envelopment analysis; Carbon shadow price; Sustainable agricultural development; Agricultural informatization</t>
  </si>
  <si>
    <t>TECHNICAL EFFICIENCY; TECHNOLOGY</t>
  </si>
  <si>
    <t>The mitigation of climate change requires that agricultural development would proceed in accordance with green and sustainable practices. This implies that economic performance should be improved while minimizing the impact on the environment. One way to assess the underlying costs of sustainable agricultural development, and to model the relationship between the environment and the economy in general, is to use the carbon shadow price (CSP). In this paper, we utilize a by -production model within a non -parametric framework to estimate the agricultural CSP from 1997 to 2020 in 31 provinces of China. The patterns of the agricultural CSP are unveiled through kernel density analysis and convergence tests. Additionally, this paper constructs a comprehensive agricultural informatization indicator using the entropy method. We then empirically investigate its influence on agricultural CSP. The results reveal that China's agricultural CSP has demonstrated consistent growth over the past two decades which suggests serious improvement in environmental performance. Furthermore, the CSP show cross -province variation, albeit with conditional beta convergence. Our empirical findings indicate that agricultural information technology contributes to an increase in CSP, thereby indicating its positive role on the green growth of agriculture in China.</t>
  </si>
  <si>
    <t>[Meng, Yuan; Shen, Zhiyang; Wang, Songkai; Zhang, Yunlong] Beijing Inst Technol, Sch Management &amp; Econ, Beijing 100081, Peoples R China; [Streimikiene, Dalia; Balezentis, Tomas] Inst Econ &amp; Rural Dev, Lithuanian Ctr Social Sci, Vivulskio Str 4a-13, LT-03220 Vilnius, Lithuania</t>
  </si>
  <si>
    <t>Beijing Institute of Technology</t>
  </si>
  <si>
    <t>Wang, SK; Zhang, YL (corresponding author), Beijing Inst Technol, Sch Management &amp; Econ, Beijing 100081, Peoples R China.</t>
  </si>
  <si>
    <t>myyyy661@163.com; zhiyang86@163.com; dalia@mail.lei.lt; tomas.balezentis@ekvi.lt; songkai0915@163.com; zyl2399376610@163.com</t>
  </si>
  <si>
    <t>Streimikiene, Dalia/AAF-2180-2020; SHEN, Zhiyang/AAY-7556-2021; Wang, Songkai/JPA-4578-2023; Streimikiene, Dalia/AAF-2180-2020; Balezentis, Tomas/D-8609-2015</t>
  </si>
  <si>
    <t>Streimikiene, Dalia/0000-0002-3247-9912; Streimikiene, Dalia/0000-0002-3247-9912;</t>
  </si>
  <si>
    <t>10.1016/j.jclepro.2024.141330</t>
  </si>
  <si>
    <t>NR2F4</t>
  </si>
  <si>
    <t>WOS:001202108100001</t>
  </si>
  <si>
    <t>Onyeneke, RU; Emenekwe, CC; Adeolu, AI; Ihebuzor, UA</t>
  </si>
  <si>
    <t>Onyeneke, R. U.; Emenekwe, C. C.; Adeolu, A. I.; Ihebuzor, U. A.</t>
  </si>
  <si>
    <t>Climate change and cattle production in Nigeria: any role for ecological and carbon footprints?</t>
  </si>
  <si>
    <t>Autoregressive distributed lag model; Environmental quality; Mean temperature; Rainfall; Time-series data</t>
  </si>
  <si>
    <t>LIVESTOCK PRODUCTION; ANIMAL PRODUCTION; CHANGE IMPACT; OPPORTUNITIES; BIODIVERSITY; CHALLENGES; ADAPTATION; DYNAMICS; MILK</t>
  </si>
  <si>
    <t>Cattle beef is an essential animal protein in sub-Saharan Africa. However, pastoralists dominate cattle production in sub-Saharan Africa, and their output is dependent on the availability of fodder from grasslands in rain-fed systems, which makes cattle production more vulnerable to climate change and environmental degradation. However, evidence of climate change impacts on cattle production in the region is scarce. Also, studies on the effects of environmental quality on cattle production using superior proxies (such as ecological and carbon footprints, and grazing land) rather than carbon dioxide emissions are rare. The effects of climatic factors (such as temperature and precipitation) and environmental quality measures (such as ecological and carbon footprints and grazing land) on cattle production in Nigeria, Africa's most populous country, were studied. Other covariates such as cattle share of total livestock population and cattle unit per agricultural land were also considered in the study. Time-series data from 1971 to 2018 were obtained from the Food and Agriculture Organization statistical database, World Bank Climate Change Knowledge Portal, and Global Footprint Network. Using autoregressive distributed lag model to analyze the data, the paper found that carbon footprint, ecological footprint, grazing area, rainfall, cattle share of total livestock population, and cattle unit per agricultural land all have long-term effects on cattle production in Nigeria. Under the current climate change and environmental degradation regime, appropriate policy measures for effective and efficient cattle production were recommended.</t>
  </si>
  <si>
    <t>[Onyeneke, R. U.] Alex Ekwueme Fed Univ Ndufu Alike, Dept Agr, Agr Econ &amp; Extens Programme, Ikwo, Ebonyi State, Nigeria; [Emenekwe, C. C.] Alex Ekwueme Fed Univ Ndufu Alike, Dept Econ &amp; Dev Studies, Ikwo, Ebonyi State, Nigeria; [Adeolu, A. I.] Alex Ekwueme Fed Univ Ndufu Alike, Dept Agr, Anim Sci Programme, Ikwo, Ebonyi State, Nigeria; [Ihebuzor, U. A.] Abia State Univ, Fac Agr, Umuahia Campus, Uturu, Nigeria</t>
  </si>
  <si>
    <t>Onyeneke, RU (corresponding author), Alex Ekwueme Fed Univ Ndufu Alike, Dept Agr, Agr Econ &amp; Extens Programme, Ikwo, Ebonyi State, Nigeria.</t>
  </si>
  <si>
    <t>robert.onyeneke@funai.edu.ng</t>
  </si>
  <si>
    <t>Onyeneke, Robert/AAS-6211-2021</t>
  </si>
  <si>
    <t>10.1007/s13762-022-04721-8</t>
  </si>
  <si>
    <t>S4GV5</t>
  </si>
  <si>
    <t>WOS:000903814900001</t>
  </si>
  <si>
    <t>Li, BZ; Song, H; Cao, WC; Wang, YJ; Chen, JS; Guo, JH</t>
  </si>
  <si>
    <t>Li, Binzhe; Song, He; Cao, Wenchao; Wang, Yajing; Chen, Jingsheng; Guo, Jingheng</t>
  </si>
  <si>
    <t>Responses of soil organic carbon stock to animal manure application: A new global synthesis integrating the impacts of agricultural managements and environmental conditions</t>
  </si>
  <si>
    <t>agricultural managements; animal manure application; environmental conditions; GHG emissions; integrative analysis; SOC stock responses; soil fertility; soil property</t>
  </si>
  <si>
    <t>LONG-TERM FERTILIZATION; ELECTRICAL-CONDUCTIVITY; NITROGEN-FERTILIZATION; PLANT RESIDUES; CROP YIELDS; MATTER; PH; CHINA; SEQUESTRATION; ACIDIFICATION</t>
  </si>
  <si>
    <t>Enhancing soil organic carbon (SOC) through applying animal manure is of interest for both sustaining cereal production and mitigating greenhouse gas (GHG) emissions. Previous syntheses showed that manuring-induced SOC changes varied substantially with agricultural managements and environmental conditions, while their significance and relative importance to such variability are still largely uncertain. Here, we presented a new synthesis using an updated and balanced database integrating the manuring-induced SOC stock changes and their plausible explanatory factors in 250 observations at global 120 sites. Manure application increased SOC stock by 7.41 +/- 1.14 (95% confidence interval, CI) and 8.96 +/- 1.83 (95% CI) Mg C ha(-1), respectively, compared to their mineral fertilized (REF-min) and unfertilized (REF-zero) references. Of which approx. 72% and 34% were directly contributed by manure-C input, respectively. Following the IPCC (Intergovernmental Panel on Climate Change) approach, these changes corresponded to the manuring-induced SOC change factors of 1.27 +/- 0.04 (95% CI) and 1.40 +/- 0.08 (95% CI), respectively. Basing on a balanced database, we identified the amount of manure-C input as the most important factor to the global variations in the resultant SOC stock changes. More importantly, our integrative analysis distinguished the significance of soil properties (e.g., soil pH and initial SOC content) in regulating the efficiency of manure application in enhancing SOC stock. These results indicate that, at the similar rate, applying manure could sequestrate much more carbon in alkaline soils than in neutral and acidic soils. By integrating the impacts of agricultural managements and environmental conditions, our findings would help to develop region-specific tailor-made manure application measures in agriculture and to refine the SOC change factors for regional GHG inventories.</t>
  </si>
  <si>
    <t>[Li, Binzhe; Chen, Jingsheng; Guo, Jingheng] China Agr Univ, Coll Resources &amp; Environm Sci, Beijing 100193, Peoples R China; [Song, He] Anhui Agr Univ, Coll Agron, Hefei, Peoples R China; [Cao, Wenchao] Chinese Acad Trop Agr Sci, Environm &amp; Plant Protect Inst, Haikou, Hainan, Peoples R China; [Wang, Yajing] Hebei Agr Univ, Coll Resources &amp; Environm Sci, Baoding, Peoples R China</t>
  </si>
  <si>
    <t>China Agricultural University; Anhui Agricultural University; Chinese Academy of Tropical Agricultural Sciences; Hebei Agricultural University</t>
  </si>
  <si>
    <t>Guo, JH (corresponding author), China Agr Univ, Coll Resources &amp; Environm Sci, Beijing 100193, Peoples R China.</t>
  </si>
  <si>
    <t>guojingheng@cau.edu.cn</t>
  </si>
  <si>
    <t>Guo, Jingheng/0000-0002-5286-958X; Cao, Wenchao/0000-0002-3129-2128</t>
  </si>
  <si>
    <t>National Natural Science Foundation of China [40773049, 41230856]</t>
  </si>
  <si>
    <t>National Natural Science Foundation of China, Grant/Award Number: 40773049 and 41230856</t>
  </si>
  <si>
    <t>10.1111/gcb.15731</t>
  </si>
  <si>
    <t>UQ4CT</t>
  </si>
  <si>
    <t>WOS:000675595700001</t>
  </si>
  <si>
    <t>Shi, YS; Wang, HF; Shi, SZ</t>
  </si>
  <si>
    <t>Shi, Yishao; Wang, Hefeng; Shi, Shouzheng</t>
  </si>
  <si>
    <t>Relationship between social civilization forms and carbon emission intensity: A study of the Shanghai metropolitan area</t>
  </si>
  <si>
    <t>Social civilization forms; Land use space; Carbon emission intensity; Shanghai metropolitan area</t>
  </si>
  <si>
    <t>LAND-USE CHANGE; CO2 EMISSIONS; ENERGY-CONSUMPTION; ECONOMIC-GROWTH; DIOXIDE EMISSIONS; DRIVING FORCES; UNITED-STATES; URBAN FORM; CITIES; CHINA</t>
  </si>
  <si>
    <t>Historically, the classification of traditional social civilization forms on a macroscopic scale has been mainly based on religious or cultural differences, and the identification of spatial heterogeneity was not detailed. Likewise, Morris' methodology for measuring social development only considered the overall difference between the Western and the Eastern world but ignored the more detailed measurement of spatial differentiation. Additionally, the relationship between social civilization forms and carbon cycling remains uncertain. Aiming to improve these deficiencies, the goal of this article is to identify the heterogeneous social civilization forms on a metropolitan scale based on the data of land use patches and to quantify the carbon emission intensity of different social civilization forms in the Shanghai metropolitan area. The results show the following: (1) The carbon emission intensity of the industrial civilization form is 4.5 times that of the urban civilization form, 8 times that of the rural civilization form and 10 times that of the public civilization form. (2) The carbon sink capacity per unit area of the agricultural civilization form is 1.6 times that of the ecological civilization form and 17.4 times that of the wilderness form. (3) Shanghai's suburbs, especially the inner suburbs, have become a major area for carbon emissions due to the continued migration of population and industry. (4) Generally, the evolution of social civilization yields changes in the total amount and intensity of carbon emissions and carbon sinks. This study not only identifies the spatial heterogeneity of social civilization forms from the perspective of land use functional types rather than religious and cultural differences but also reveals the evolution characteristics of social civilization forms from the perspective of carbon cycle rather than cultural factors. (C) 2019 Elsevier Ltd. All rights reserved.</t>
  </si>
  <si>
    <t>[Shi, Yishao] Tongji Univ, Coll Surveying &amp; Geoinformat, Shanghai 200092, Peoples R China; [Wang, Hefeng] Hebei Univ Engn, Coll Min &amp; Geomat, Handan 053860, Hebei, Peoples R China; [Shi, Shouzheng] Suzhou Univ Sci &amp; Technol, Coll Environm Sci &amp; Engn, Suzhou 215011, Peoples R China</t>
  </si>
  <si>
    <t>Tongji University; Hebei University of Engineering; Suzhou University of Science &amp; Technology</t>
  </si>
  <si>
    <t>Shi, YS (corresponding author), Tongji Univ, Coll Surveying &amp; Geoinformat, Shanghai 200092, Peoples R China.</t>
  </si>
  <si>
    <t>shiyishao@tongji.edu.cn; wanghefeng1980@163.com; 2010shishouzheng@tongji.edu.cn</t>
  </si>
  <si>
    <t>one of key projects of the state key research and development program [2017YFA0603102]; one of key projects for Shanghai General Land Use Planning Revision [2015(D)-002(F)-11]</t>
  </si>
  <si>
    <t>one of key projects of the state key research and development program; one of key projects for Shanghai General Land Use Planning Revision</t>
  </si>
  <si>
    <t>This paper is funded by the one of key projects of the state key research and development program (2017YFA0603102) and the one of key projects for Shanghai General Land Use Planning Revision (2015(D)-002(F)-11). The authors would like to thank the editor and two anonymous reviewers for their valuable comments and suggestions.</t>
  </si>
  <si>
    <t>10.1016/j.jclepro.2019.04.356</t>
  </si>
  <si>
    <t>IC4PE</t>
  </si>
  <si>
    <t>WOS:000470947000129</t>
  </si>
  <si>
    <t>Todde, G; Murgia, L; Caria, M; Pazzona, A</t>
  </si>
  <si>
    <t>Todde, Giuseppe; Murgia, Lelia; Caria, Maria; Pazzona, Antonio</t>
  </si>
  <si>
    <t>A Comprehensive Energy Analysis and Related Carbon Footprint of Dairy Farms, Part 1: Direct Energy Requirements</t>
  </si>
  <si>
    <t>diesel fuel; electricity; milk; greenhouse gas (GHG); Life Cycle Assessment (LCA)</t>
  </si>
  <si>
    <t>ENVIRONMENTAL-IMPACT; SYSTEMS; MILK; MULTIVARIATE; MODEL</t>
  </si>
  <si>
    <t>Dairy cattle farms are continuously developing more intensive systems of management which require higher utilization of durable and not-durable inputs. These inputs are responsible of significant direct and indirect fossil energy requirements which are related to remarkable emissions of CO2. This study aims to analyze direct energy requirements and the related carbon footprint of a large population of conventional dairy farms located in the south of Italy. A detailed survey of electricity, diesel and Liquefied Petroleum Gas (LPG) consumptions has been carried out among on-farm activities. The results of the analyses showed an annual average fuel consumption of 40 kg per tonne of milk, while electricity accounted for 73 kWh per tonne of milk produced. Expressing the direct energy inputs as primary energy, diesel fuel results the main resource used in on-farm activities, accounting for 72% of the total fossil primary energy requirement, while electricity represents only 27%. Moreover, larger farms were able to use more efficiently the direct energy inputs and reduce the related emissions of carbon dioxide per unit of milk produced, since the milk yield increases with the herd size. The global average farm emissions of carbon dioxide equivalent, due to all direct energy usages, accounted for 156 kg CO2-eq per tonne of Fat and Protein Corrected Milk (FPCM), while farms that raise more than 200 heads emitted 36% less than the average value. In this two-part series, the total energy demand (Part 1 + Part 2) per farm is mainly due to agricultural inputs and fuel consumption, which have the largest quota of the annual requirements for each milk yield class. These results also showed that large size farms held lower CO2-eq emissions when referred to the mass of milk produced.</t>
  </si>
  <si>
    <t>[Todde, Giuseppe; Murgia, Lelia; Caria, Maria; Pazzona, Antonio] Univ Sassari, Dept Agr Sci, Viale Italia 39, I-07100 Sassari, Italy</t>
  </si>
  <si>
    <t>University of Sassari</t>
  </si>
  <si>
    <t>Todde, G (corresponding author), Univ Sassari, Dept Agr Sci, Viale Italia 39, I-07100 Sassari, Italy.</t>
  </si>
  <si>
    <t>gtodde@uniss.it; dit_mecc@uniss.it; mariac@uniss.it; pazzona@uniss.it</t>
  </si>
  <si>
    <t>; Caria, Maria/L-5410-2019</t>
  </si>
  <si>
    <t>TODDE, Giuseppe/0000-0002-3293-2705; CARIA, Maria/0000-0002-6393-958X;</t>
  </si>
  <si>
    <t>Filiera AQ s.r.l; Filiera AQ s.r.l</t>
  </si>
  <si>
    <t>This work is part of the Dairy Carbon Footprint Project funded by the Filiera AQ s.r.l. The authors are grateful to the 3A, ProgettoNatura, Granlatte and Assolac dairy plant co-operative and their technician who kindly collected and provided the farm data.</t>
  </si>
  <si>
    <t>10.3390/en11020451</t>
  </si>
  <si>
    <t>FY3PY</t>
  </si>
  <si>
    <t>WOS:000426734600193</t>
  </si>
  <si>
    <t>Sun, Y; Zhi, JJ; Han, CX; Xue, C; Zhao, WJ; Liu, WB; Bao, SJ</t>
  </si>
  <si>
    <t>Sun, Yang; Zhi, Junjun; Han, Chenxu; Xue, Chen; Zhao, Wenjing; Liu, Wangbing; Bao, Shanju</t>
  </si>
  <si>
    <t>The Impact of Future Land Use Change on Carbon Emission and Its Optimization Strategy</t>
  </si>
  <si>
    <t>land use; future simulation; carbon emissions; sustainable development scenario; carbon peaking and carbon neutrality</t>
  </si>
  <si>
    <t>CO2 EMISSIONS; COVER CHANGE; CHINA; SIMULATION; REDUCTION; EVOLUTION; DYNAMICS</t>
  </si>
  <si>
    <t>Rapidly changing climate issues and increasingly severe carbon emissions are great challenges to the carbon peaking and carbon neutrality strategy. Analyzing the impact of future land use changes on carbon emissions can provide an important basis and reference for scientifically constructing a low-carbon and sustainable territorial spatial planning, as well as realizing the goal of the dual-carbon strategy. Based on land use data, agricultural production activity data, and energy consumption statistics, this study simulated the land use changes of the Yangtze River Delta region (YRDR) from 2030 to 2060 under the natural development (ND) scenario and sustainable development (SD) scenario by using the Patch-generating Land Use Simulation (PLUS) model and analyzed the impacts of future land use changes on carbon emissions. The results showed that: (1) The land use simulation results obtained by using the PLUS model under the sustainable development scenario were highly consistent with the actual land use with an OA value of 97.0%, a Kappa coefficient of 0.952, and a FoM coefficient of 0.403; (2) Based on the simulated land use under the SD scenario from 2030 to 2060, the quantity of construction land was effectively controlled, and the spatial distributions of cropland and forests were found to dominate in the north and south of the Yangtze River, respectively; (3) Anhui Province was the major contributor (accounted for 49.5%) to the net carbon absorption by cropland while Zhejiang Province was the major contributor (accounted for 63.3%) to the net carbon absorption by forest in the YRDR during the period 2020-2060 under the SD scenario; (4) Carbon emissions from construction land were the main source of carbon emissions from land use in the YRDR during the period 2020-2060 with proportions higher than 99% under both the ND and SD development scenarios. These findings underscore the urgent need for the government to take measures to balance the relationships between cropland and ecological protection and economic development, which provides a reference for the optimization of land use structure and policy formulation in the future.</t>
  </si>
  <si>
    <t>[Sun, Yang; Zhi, Junjun; Han, Chenxu; Xue, Chen; Zhao, Wenjing; Bao, Shanju] Anhui Normal Univ, Sch Geog &amp; Tourism, Wuhu 241002, Peoples R China; [Sun, Yang] Lanzhou Univ, Coll Earth &amp; Environm Sci, Lanzhou 730000, Peoples R China; [Zhi, Junjun] Engn Technol Res Ctr Resources Environm &amp; GIS Anhu, Wuhu 241002, Peoples R China; [Liu, Wangbing] Key Lab Jianghuai Arable Land Resources Protect &amp;, Hefei 230088, Peoples R China</t>
  </si>
  <si>
    <t>Anhui Normal University; Lanzhou University</t>
  </si>
  <si>
    <t>Zhi, JJ (corresponding author), Anhui Normal Univ, Sch Geog &amp; Tourism, Wuhu 241002, Peoples R China.;Zhi, JJ (corresponding author), Engn Technol Res Ctr Resources Environm &amp; GIS Anhu, Wuhu 241002, Peoples R China.</t>
  </si>
  <si>
    <t>syyji2140@ahnu.edu.cn; zhijunjun@ahnu.edu.cn; hancx99@ahnu.edu.cn; 21111604095@ahnu.edu.cn; zwj285160@163.com; qinting@ahnu.edu.cn; 2014222@ahnu.edu.cn</t>
  </si>
  <si>
    <t>Zhao, Wenjing/AAS-1953-2020; Zhi, Junjun/GVU-3721-2022; Han, Chenxu/KXR-2883-2024</t>
  </si>
  <si>
    <t>Zhi, Junjun/0000-0003-1965-447X; xue, chen/0009-0005-5150-4713;</t>
  </si>
  <si>
    <t>Natural Science Foundation of China; Natural Science Foundation of Anhui Province [2208085MD91]; Natural Resources Science and Technology Project of Anhui Province [2023-K-5]; Provincial Quality Project at Anhui Higher Education Institutions [2023zybj006]; [42271060]; [42371249]</t>
  </si>
  <si>
    <t>Natural Science Foundation of China(National Natural Science Foundation of China (NSFC)); Natural Science Foundation of Anhui Province(Natural Science Foundation of Anhui Province); Natural Resources Science and Technology Project of Anhui Province; Provincial Quality Project at Anhui Higher Education Institutions; ;</t>
  </si>
  <si>
    <t>This work was financed by the Natural Science Foundation of China (Nos. 42271060 and 42371249), the Natural Science Foundation of Anhui Province (No. 2208085MD91), the Natural Resources Science and Technology Project of Anhui Province (No. 2023-K-5), and the Provincial Quality Project at Anhui Higher Education Institutions (No. 2023zybj006).</t>
  </si>
  <si>
    <t>10.3390/f15081292</t>
  </si>
  <si>
    <t>E7I6M</t>
  </si>
  <si>
    <t>WOS:001304708900001</t>
  </si>
  <si>
    <t>Ramírez, PB; Calderón, F; Singh, S; Machado, S</t>
  </si>
  <si>
    <t>Ramirez, Paulina B.; Calderon, Francisco; Singh, Surendra; Machado, Stephen</t>
  </si>
  <si>
    <t>Legume-based rotation enhance long-term soil carbon storage in eastern Oregon dryland wheat systems</t>
  </si>
  <si>
    <t>Archived soil; Credits markets; Carbon dioxide equivalent; Infrared spectroscopy; Organic matter stabilization; Semiarid Pacific Northwest</t>
  </si>
  <si>
    <t>ORGANIC-CARBON; NO-TILLAGE; CROPPING SYSTEMS; SUMMER FALLOW; SEQUESTRATION; CLIMATE; CULTIVATION; WASHINGTON</t>
  </si>
  <si>
    <t>The potential for increasing soil carbon (C) storage in dryland croplands is still under debate, and there is a lack of comprehensive data regarding storage capacity under conservation management practices. In this study, we analyze the potential for sequestration and stabilization by soil minerals in agricultural land in Eastern Oregon when legume-based rotations are incorporated into cereal cropping systems. This study encompasses long-term experiments that compare the traditional conventional tillage (CT) with winter wheat-summer fallow (WW-SF) cropping system to winter wheat (Triticum aestivum L.) (WW) - spring pea (Pisum sativum L.) (SP) rotation (WW-SP) under both CT and no-till (NT). Soil C sequestration rates were estimated by analyzing mid-infrared spectral data in archived soil samples from the WW-SP and WW-SF systems. Partial least squares (PLS) models were trained to predict different properties in archived soil samples, such as total C and nitrogen (N) in bulk soil and C in mineral-associated organic matter (MAOM). Our findings show that over nearly 60 years in the WW-SP cropping system, soil C in the top 30 cm depth profile increased annually by at least 0.16 t C per hectare under CT and 0.25 t C per hectare under NT following conversion from WW-SF systems. The WW-SF cropping system was highly susceptible to C losses in the MAOM fraction, while the NT cereal legume-based rotation showed significantly higher C levels in this fraction. Furthermore, the NT WW-SP resulted in a 60% increase in C sequestration in this fraction following the incorporation of cereal-legume systems. Although the studied sub-basin represents less than 1% of the state's croplands, we estimate that incorporating legumes into the WW-SF system could sequester enough C to offset approximately 0.20% of Oregon's annual agricultural CO2 emissions. Our findings indicate that incorporating legumes into arable WW-SF systems can effectively increase C stock and stabilize eastern Oregon's dryland farms, promising to offset GHG emissions.</t>
  </si>
  <si>
    <t>[Ramirez, Paulina B.; Calderon, Francisco; Machado, Stephen] Oregon State Univ, Columbia Basin Agr Res Ctr, Pendleton, OR 97801 USA; [Singh, Surendra] Washington State Univ, Lind Dryland Res Stn, Lind, WA 99341 USA</t>
  </si>
  <si>
    <t>Oregon State University; Washington State University</t>
  </si>
  <si>
    <t>Ramírez, PB (corresponding author), Oregon State Univ, Columbia Basin Agr Res Ctr, Pendleton, OR 97801 USA.</t>
  </si>
  <si>
    <t>paulina.ramirezcisterna@oregonstate.edu</t>
  </si>
  <si>
    <t>Ramirez, Paulina/HLQ-3083-2023</t>
  </si>
  <si>
    <t>USDA ARS entitled Soil Health and Crop Productivity in Pacific Northwest Dryland Wheat Production Systems [58-2074-1001]</t>
  </si>
  <si>
    <t>USDA ARS entitled Soil Health and Crop Productivity in Pacific Northwest Dryland Wheat Production Systems</t>
  </si>
  <si>
    <t>This work was supported by a Non-Assistance Cooperative Agreement with the USDA ARS entitled Soil Health and Crop Productivity in Pacific Northwest Dryland Wheat Production Systems. Agreement No. 58-2074-1001.</t>
  </si>
  <si>
    <t>APR 22</t>
  </si>
  <si>
    <t>10.1038/s41598-025-98916-x</t>
  </si>
  <si>
    <t>1SW8T</t>
  </si>
  <si>
    <t>WOS:001472869000013</t>
  </si>
  <si>
    <t>Li, CJ; Li, S</t>
  </si>
  <si>
    <t>Li, Changjiang; Li, Shuo</t>
  </si>
  <si>
    <t>Energy budget and carbon footprint in a wheat and maize system under ridge furrow strategy in dry semi humid areas</t>
  </si>
  <si>
    <t>RESOURCE USE EFFICIENCY; CROPPING SYSTEM; WINTER-WHEAT; GRAIN PRODUCTION; LOESS PLATEAU; CONSERVATION AGRICULTURE; MANAGEMENT-PRACTICES; WATER-USE; FILM; YIELD</t>
  </si>
  <si>
    <t>The well-irrigated planting strategy (WI) consumes a large amount of energy and exacerbates greenhouse gas emissions, endangering the sustainable agricultural production. This 2-year work aims to estimate the economic benefit, energy budget and carbon footprint of a wheat-maize double cropping system under conventional rain-fed flat planting (irrigation once a year, control), ridge-furrows with plastic film mulching on the ridge (irrigation once a year, RP), and the WI in dry semi-humid areas of China. Significantly higher wheat and maize yields and net returns were achieved under RP than those under the control, while a visible reduction was found for wheat yields when compared with the WI. The ratio of benefit: cost under RP was also higher by 10.5% than that under the control in the first rotation cycle, but did not differ with those under WI. The net energy output and carbon output followed the same trends with net returns, but the RP had the largest energy use efficiency, energy productivity carbon efficiency and carbon sustainability among treatments. Therefore, the RP was an effective substitution for well-irrigated planting strategy for achieving sustained agricultural development in dry semi-humid areas.</t>
  </si>
  <si>
    <t>[Li, Changjiang] Hainan Univ, Coll Trop Crops, Hainan Key Lab Sustainable Utilizat Trop Bioresou, Haikou 570228, Hainan, Peoples R China; [Li, Shuo] Hebei Univ, Sch Life Sci, Inst Life Sci &amp; Green Dev, Baoding 071002, Peoples R China; [Li, Changjiang; Li, Shuo] Northwest A&amp;F Univ, Coll Agron, Yangling 712100, Shaanxi, Peoples R China</t>
  </si>
  <si>
    <t>Hainan University; Hebei University; Northwest A&amp;F University - China</t>
  </si>
  <si>
    <t>Li, S (corresponding author), Hebei Univ, Sch Life Sci, Inst Life Sci &amp; Green Dev, Baoding 071002, Peoples R China.;Li, S (corresponding author), Northwest A&amp;F Univ, Coll Agron, Yangling 712100, Shaanxi, Peoples R China.</t>
  </si>
  <si>
    <t>shuol9011@126.com</t>
  </si>
  <si>
    <t>Li, Changjiang/LEL-8637-2024</t>
  </si>
  <si>
    <t>Scientific Research Found for Hainan University (KYQD) [(ZR)1850]; National Natural Science Foundation of China [31401348]</t>
  </si>
  <si>
    <t>Scientific Research Found for Hainan University (KYQD); National Natural Science Foundation of China(National Natural Science Foundation of China (NSFC))</t>
  </si>
  <si>
    <t>Funding was provided by the Scientific Research Found for Hainan University (KYQD(ZR)1850), the National Natural Science Foundation of China (31860130) and National Natural Science Foundation of China (Project No. 31401348).</t>
  </si>
  <si>
    <t>10.1038/s41598-021-88717-3</t>
  </si>
  <si>
    <t>SK8VN</t>
  </si>
  <si>
    <t>WOS:000656497500015</t>
  </si>
  <si>
    <t>Cheng, K; Zhong, YT; Li, X; Li, ST; Ayitken, M; Zhang, W; Liu, XC</t>
  </si>
  <si>
    <t>Cheng, Kai; Zhong, Yuting; Li, Xia; Li, Shuting; Ayitken, Maulen; Zhang, Wang; Liu, Xinchun</t>
  </si>
  <si>
    <t>Assessment of pollution sources and health risks of black carbon aerosols in industrial cities of Northwestern China using light absorption observations</t>
  </si>
  <si>
    <t>ATMOSPHERIC POLLUTION RESEARCH</t>
  </si>
  <si>
    <t>Black carbon; Fossil fuel combustion; Biomass burning; Potential sources; Health risk</t>
  </si>
  <si>
    <t>SOURCE APPORTIONMENT; PUBLIC-HEALTH; AIR-POLLUTION; PARTICULATE MATTER; OPTICAL-PROPERTIES; ELEMENTAL CARBON; TIBETAN PLATEAU; SOURCE REGIONS; EXPOSURE; URUMQI</t>
  </si>
  <si>
    <t>Black carbon (BC) aerosols have notably negative impacts on climate, environment, and public health. However, current knowledge of the sources and health hazards of BC remains limited. Equivalent black carbon (eBC) measurements were conducted using an AE33 aethalometer in Urumqi, China, from July 2022 to April 2023. The temporal variability, potential pollution areas and health hazards of fossil fuel (eBCff) and biomass burning (eBCbb) sources were analysed. The average concentrations of eBCff and eBCbb were 1.3 mu g m-3 and 0.5 mu g m-3, respectively, highlighting the dominant role of fossil fuel combustion. In winter, due to increased coal heating and industrial emissions under adverse weather conditions, the contribution rate of eBCff surged to 80.3% (2.44 mu g m-3). The highest concentrations of eBCbb were observed in spring (0.71 mu g m-3), influenced by pre-sowing burning of agricultural residues. The concentrations of eBCff were higher during the day than at night, with a morning peak due to vehicular emissions. High concentrations of eBCff and eBCbb mainly originate from pollution sources around the observation site, along with residential and agricultural areas to the southeastern. Regional transport between cities on the northern slopes of the Tianshan Mountains and long-range drift from Central Asian countries also had important effects on eBCff and eBCbb. Health risk assessments revealed that carcinogenic risks (CR) from eBC exceeded acceptable levels by two orders of magnitude, with passive smoking equivalents (PSC) four times higher in winter than in summer. Our findings highlight the significant environmental and public health benefits of reducing fossil fuel consumption.</t>
  </si>
  <si>
    <t>[Cheng, Kai; Zhong, Yuting; Li, Xia; Li, Shuting; Ayitken, Maulen; Zhang, Wang; Liu, Xinchun] China Meteorol Adm, Xinjiang Key Lab Desert Meteorol &amp; Sandstorm, Inst Desert Meteorol, Key Lab Tree ring Phys &amp; Chem Res, Urumqi 830002, Peoples R China; [Cheng, Kai; Zhong, Yuting; Li, Xia; Li, Shuting; Ayitken, Maulen; Zhang, Wang; Liu, Xinchun] China Meteorol Adm, Field Sci Expt Base Akdala Atmospher Background, Urumqi 830002, Peoples R China</t>
  </si>
  <si>
    <t>China Meteorological Administration; Institute of Desert Meteorology, China Meteorological Administration; China Meteorological Administration</t>
  </si>
  <si>
    <t>Zhong, YT (corresponding author), China Meteorol Adm, Xinjiang Key Lab Desert Meteorol &amp; Sandstorm, Inst Desert Meteorol, Key Lab Tree ring Phys &amp; Chem Res, Urumqi 830002, Peoples R China.</t>
  </si>
  <si>
    <t>zhongyt@idm.cn</t>
  </si>
  <si>
    <t>Zhong, Yuting/KVA-6786-2024</t>
  </si>
  <si>
    <t>China Desert Meteorological Science Research Foundation [Sqj2023001, Sqj2022004]; Xinjiang Meteorological Administration Scientific Research Project [ZD202401]; Xinjiang Natural Science Foundation [2024D01B94, 2022D01A364]; Xinjiang Natural Science Foundation Key Fund [2024D01D33]; National Natural Science Foundation of China [42407140]</t>
  </si>
  <si>
    <t>China Desert Meteorological Science Research Foundation; Xinjiang Meteorological Administration Scientific Research Project; Xinjiang Natural Science Foundation; Xinjiang Natural Science Foundation Key Fund; National Natural Science Foundation of China(National Natural Science Foundation of China (NSFC))</t>
  </si>
  <si>
    <t>This research was funded by the China Desert Meteorological Science Research Foundation (Sqj2023001) , the Xinjiang Meteorological Administration Scientific Research Project (ZD202401) , the Xinjiang Natural Science Foundation (2024D01B94) , the Xinjiang Natural Science Foundation Key Fund (2024D01D33) , the National Natural Science Foundation of China (42407140) , the Xinjiang Natural Science Foundation (2022D01A364) , the China Desert Meteorological Science Research Foundation (Sqj2022004) .</t>
  </si>
  <si>
    <t>TURKISH NATL COMMITTEE AIR POLLUTION RES &amp; CONTROL-TUNCAP</t>
  </si>
  <si>
    <t>BUCA</t>
  </si>
  <si>
    <t>DOKUZ EYLUL UNIV, DEPT ENVIRONMENTAL ENGINEERING, TINAZTEPE CAMPUS, BUCA, IZMIR 35160, Turkiye</t>
  </si>
  <si>
    <t>1309-1042</t>
  </si>
  <si>
    <t>ATMOS POLLUT RES</t>
  </si>
  <si>
    <t>Atmos. Pollut. Res.</t>
  </si>
  <si>
    <t>10.1016/j.apr.2024.102381</t>
  </si>
  <si>
    <t>R3W2P</t>
  </si>
  <si>
    <t>WOS:001390785700001</t>
  </si>
  <si>
    <t>Zengeni, R; Kakembo, V; Nkongolo, N</t>
  </si>
  <si>
    <t>Zengeni, Rebecca; Kakembo, Vincent; Nkongolo, Nsalambi</t>
  </si>
  <si>
    <t>Soil carbon dioxide effluxes from different vegetation environments in semi-arid Eastern Cape, South Africa</t>
  </si>
  <si>
    <t>AFRICAN JOURNAL OF RANGE &amp; FORAGE SCIENCE</t>
  </si>
  <si>
    <t>Eastern Cape; grassland; soil carbon dioxide effluxes; soil organic carbon; thicket</t>
  </si>
  <si>
    <t>RESPIRATION; CO2; THICKET; FLUXES; FOREST</t>
  </si>
  <si>
    <t>Though important, CO2 effluxes from non-agricultural ecosystems are poorly characterised. Given that thicket vegetation is prevalent in Eastern Cape, South Africa, we monitored soil CO2 effluxes from an intact thicket, degraded thicket (DT) and grassland (G) over 10 months, as affected by temperature, moisture and penetration resistance (PR). High soil moisture (16%) reduced PR (4 kg cm(-2)), which raised winter effluxes (1.2 mu mol m(-2) s(-1)), while low moisture (2%) resulted in hard dry soil (14 kg cm-2) that suppressed spring effluxes (0.2 mu mol m(-2) s(-1)). There was good interaction between PR and moisture (r = -0.53), with seasonal effluxes increasing with increasing moisture (r = 0.9, p = 0.0001) and decreasing PR (r = -0.66, p = 0.02). Temperature effects were significant under unlimited moisture supply. Thus high summer temperature (40 degrees C) gave lower effluxes in DT and G (&lt; 1 mu mol m(-2) s(-1)) due to limited moisture (&lt; 10%), whereas high autumn temperature (48 degrees C) and good moisture (16%) accelerated CO2 emissions (averaging 2 mu mol m(-2) s(-1)) from all covers. Although semi-arid ecosystems are limited by low moisture and sandy soils, they contribute to CO2 emissions under high moisture and increasing temperature.</t>
  </si>
  <si>
    <t>[Zengeni, Rebecca] Univ KwaZulu Natal, Dept Soil Sci, Pietermaritzburg Campus, Pietermaritzburg, South Africa; [Kakembo, Vincent] Nelson Mandela Metropolitan Univ, Dept Geosci, Summerstrand Campus South, Port Elizabeth, South Africa; [Nkongolo, Nsalambi] Lincoln Univ Missouri, Ctr Excellence Geospatial Informat Sci, Jefferson City, MO USA</t>
  </si>
  <si>
    <t>University of Kwazulu Natal; Nelson Mandela University; Lincoln University - Missouri</t>
  </si>
  <si>
    <t>Zengeni, R (corresponding author), Univ KwaZulu Natal, Dept Soil Sci, Pietermaritzburg Campus, Pietermaritzburg, South Africa.</t>
  </si>
  <si>
    <t>rtzengeni@yahoo.com</t>
  </si>
  <si>
    <t>; Zengeni, Rebecca/AAO-8946-2020; Nkongolo, Nsalambi/A-5165-2012</t>
  </si>
  <si>
    <t>Nkongolo, Nsalambi/0000-0003-2485-4759; Zengeni, Rebecca/0000-0001-6745-8807; Kakembo, Vincent/0000-0003-3388-1716</t>
  </si>
  <si>
    <t>Nelson Mandela Metropolitan University's Research Capacity Development</t>
  </si>
  <si>
    <t>We thank Dr Jennifer Gush for her helpful input in the field data collection and Willie Deysel for assisting with the laboratory analyses. This research was funded by Nelson Mandela Metropolitan University's Research Capacity Development.</t>
  </si>
  <si>
    <t>1022-0119</t>
  </si>
  <si>
    <t>1727-9380</t>
  </si>
  <si>
    <t>AFR J RANGE FOR SCI</t>
  </si>
  <si>
    <t>Afr. J. Range Forage Sci.</t>
  </si>
  <si>
    <t>10.2989/10220119.2015.1088573</t>
  </si>
  <si>
    <t>DQ0NE</t>
  </si>
  <si>
    <t>WOS:000378895200004</t>
  </si>
  <si>
    <t>Wang, XY; Li, D</t>
  </si>
  <si>
    <t>Wang, Xinyao; Li, Dan</t>
  </si>
  <si>
    <t>Analysis of the impact of agricultural products import trade on agricultural carbon productivity: empirical evidence from China</t>
  </si>
  <si>
    <t>INTERNATIONAL JOURNAL OF LOW-CARBON TECHNOLOGIES</t>
  </si>
  <si>
    <t>agricultural products import trade; agricultural carbon emissions; agricultural carbon productivity; economic development level</t>
  </si>
  <si>
    <t>China strives to achieve low-carbon agricultural development, and its agricultural trade deficit has become a reality. Therefore, this paper empirically analyzes the impact of agricultural products import trade on agricultural carbon productivity and its mechanism. The following conclusions are drawn: firstly, agricultural products import trade positively impacts agricultural carbon productivity. Secondly, there is a single threshold effect based on economic development level in the impact relationship between the above two. Thirdly, agricultural products import trade increases agricultural carbon productivity by reducing agricultural production factor inputs, adjusting the agricultural structure, and upgrading the agricultural production technology level.</t>
  </si>
  <si>
    <t>[Wang, Xinyao] Heilongjiang Univ, Sch Econ &amp; Business Adm, 74 Xuefu Rd, Harbin 150006, Peoples R China; [Wang, Xinyao; Li, Dan] Northeast Agr Univ, Sch Econ &amp; Management, 600 Changjiang Rd, Harbin 150038, Peoples R China</t>
  </si>
  <si>
    <t>Heilongjiang University; Northeast Agricultural University - China</t>
  </si>
  <si>
    <t>Wang, XY (corresponding author), Northeast Agr Univ, Sch Econ &amp; Management, 600 Changjiang Rd, Harbin 150038, Peoples R China.</t>
  </si>
  <si>
    <t>810192203@qq.com; 15545116361@163.com</t>
  </si>
  <si>
    <t>1748-1317</t>
  </si>
  <si>
    <t>1748-1325</t>
  </si>
  <si>
    <t>INT J LOW-CARBON TEC</t>
  </si>
  <si>
    <t>Int. J. Low-Carbon Technol.</t>
  </si>
  <si>
    <t>10.1093/ijlct/ctae247</t>
  </si>
  <si>
    <t>6AU1L</t>
  </si>
  <si>
    <t>WOS:001548919400001</t>
  </si>
  <si>
    <t>Shi, R; Shen, YJ; Du, RR; Yao, LY; Zhao, MJ</t>
  </si>
  <si>
    <t>Shi, Rui; Shen, Yujie; Du, Ruirui; Yao, Liuyang; Zhao, Minjuan</t>
  </si>
  <si>
    <t>The impact of agricultural productive service on agricultural carbon efficiency-From urbanization development heterogeneity</t>
  </si>
  <si>
    <t>Agricultural productive service; Carbon efficiency; Panel threshold model; Agricultural low -carbon production</t>
  </si>
  <si>
    <t>DATA ENVELOPMENT ANALYSIS; CLIMATE-CHANGE; EMISSIONS; EDUCATION</t>
  </si>
  <si>
    <t>Agricultural productive service plays an important role in China's modernization of agricultural production, and its development is closely related to urbanization. However, its effect on agricultural carbon efficiency has seldom been discussed at different stages of urbanization level. Thus, the paper investigated the relationship between agricultural productive service and agricultural carbon efficiency considering the change in urbaniza-tion level, using panel data of China's 31 provinces from 2010 to 2020. We find that agricultural productive service can promote agricultural carbon efficiency, and its promotion effect of agricultural productive service will become more powerful with the increase of urbanization level. In addition, its promotion effect is relatively powerful in China's eastern provinces, while relatively weak in central and western provinces characterized by low urbanization levels. According to the paper's findings, we propose that we should strengthen the develop-ment of agricultural productive service in breadbasket provinces and focus on the coordinated development between agricultural productive service and urbanization.</t>
  </si>
  <si>
    <t>[Shi, Rui; Shen, Yujie; Du, Ruirui; Yao, Liuyang; Zhao, Minjuan] Northwest A&amp;F Univ, Coll Econ &amp; Management, 3 Taicheng Rd, Yangling 712100, Shaanxi, Peoples R China</t>
  </si>
  <si>
    <t>Zhao, MJ (corresponding author), Northwest A&amp;F Univ, Coll Econ &amp; Management, 3 Taicheng Rd, Yangling 712100, Shaanxi, Peoples R China.</t>
  </si>
  <si>
    <t>shirui@nwafu.edu.cn; yujie.shen@nwafu.edu.cn; duruirui@nwafu.edu.cn; liuyang.yao@nwafu.edu.cn; minjuan.zhao@nwsuaf.edu.cn</t>
  </si>
  <si>
    <t>Yao, Liuyang/LIG-4084-2024</t>
  </si>
  <si>
    <t>Yao, Liuyang/0000-0003-4526-3333</t>
  </si>
  <si>
    <t>National Social Science Foundation of China [22 ZD083]</t>
  </si>
  <si>
    <t>The paper is funded by National Social Science Foundation of China (No. 22 &amp; ZD083) .</t>
  </si>
  <si>
    <t>10.1016/j.scitotenv.2023.167604</t>
  </si>
  <si>
    <t>Y1IV7</t>
  </si>
  <si>
    <t>WOS:001102883400001</t>
  </si>
  <si>
    <t>Barrett, M; Khalil, MI; Jahangir, MMR; Lee, C; Cardenas, LM; Collins, G; Richards, KG; O'Flaherty, V</t>
  </si>
  <si>
    <t>Barrett, M.; Khalil, M. I.; Jahangir, M. M. R.; Lee, C.; Cardenas, L. M.; Collins, G.; Richards, K. G.; O'Flaherty, V.</t>
  </si>
  <si>
    <t>Carbon amendment and soil depth affect the distribution and abundance of denitrifiers in agricultural soils</t>
  </si>
  <si>
    <t>Denitrification; nirK; nirS; nosZ; Subsoil; N2O/N-2 emissions</t>
  </si>
  <si>
    <t>MICROBIAL COMMUNITY STRUCTURE; NITROUS-OXIDE PRODUCTION; REDUCTASE GENES NIRK; NOSZ GENES; INCUBATION TECHNIQUE; ENZYME-ACTIVITY; ORGANIC-CARBON; PCR PRIMERS; BACTERIA; TIME</t>
  </si>
  <si>
    <t>The nitrite reductase (nirS and nirK) and nitrous oxide reductase-encoding (nosZ) genes of denitrifying populations present in an agricultural grassland soil were quantified using real-time polymerase chain reaction (PCR) assays. Samples from three separate pedological depths at the chosen site were investigated: horizon A (0-10 cm), horizon B (45-55 cm), and horizon C (120-130 cm). The effect of carbon addition (treatment 1, control; treatment 2, glucose-C; treatment 3, dissolved organic carbon (DOC)) on denitrifier gene abundance and N2O and N-2 fluxes was determined. In general, denitrifier abundance correlated well with flux measurements; nirS was positively correlated with N2O, and nosZ was positively correlated with N-2 (P &lt; 0.03). Denitrifier gene copy concentrations per gram of soil (GCC) varied in response to carbon type amendment (P &lt; 0.01). Denitrifier GCCs were high (ca. 10(7)) and the bac:nirK, bac:nirS, bac:nir (T) , and bac:nosZ ratios were low (ca. 10(-1)/10) in horizon A in all three respective treatments. Glucose-C amendment favored partial denitrification, resulting in higher nir abundance and higher N2O fluxes compared to the control. DOC amendment, by contrast, resulted in relatively higher nosZ abundance and N-2 emissions, thus favoring complete denitrification. We also noted soil depth directly affected bacterial, archaeal, and denitrifier abundance, possibly due to changes in soil carbon availability with depth.</t>
  </si>
  <si>
    <t>[Barrett, M.; O'Flaherty, V.] Natl Univ Ireland Galway, Sch Nat Sci, Microbiol, Microbial Ecol Lab, Univ Rd, Galway, Ireland; [Barrett, M.; Collins, G.; O'Flaherty, V.] Natl Univ Ireland Galway, Sch Nat Sci, Ryan Inst, Univ Rd, Galway, Ireland; [Khalil, M. I.; Jahangir, M. M. R.; Richards, K. G.] Johnstown Castle Co, TEAGASC, Crops Environm &amp; Land Use Dept, Wexford, Ireland; [Collins, G.] Natl Univ Ireland Galway, Microbial EcoEngn Lab, Microbiol, Sch Nat Sci, Univ Rd, Galway, Ireland; [Lee, C.] Nanyang Technol Univ, Sch Civil &amp; Environm Engn, Singapore 639798, Singapore; [Cardenas, L. M.] Rothamsted Res, Okehampton EX20 2SB, Devon, England; [Collins, G.] Univ Glasgow, Sch Engn, Environm Engn Lab, Rankine Bldg,Oakfield Ave, Glasgow G12 8LT, Lanark, Scotland</t>
  </si>
  <si>
    <t>Ollscoil na Gaillimhe-University of Galway; Ollscoil na Gaillimhe-University of Galway; Teagasc; Ollscoil na Gaillimhe-University of Galway; Nanyang Technological University; UK Research &amp; Innovation (UKRI); Biotechnology and Biological Sciences Research Council (BBSRC); Rothamsted Research; University of Glasgow</t>
  </si>
  <si>
    <t>O'Flaherty, V (corresponding author), Natl Univ Ireland Galway, Sch Nat Sci, Microbiol, Microbial Ecol Lab, Univ Rd, Galway, Ireland.;O'Flaherty, V (corresponding author), Natl Univ Ireland Galway, Sch Nat Sci, Ryan Inst, Univ Rd, Galway, Ireland.</t>
  </si>
  <si>
    <t>barrett.mia@gmail.com; I.Khalil@epa.ie; Mohammad.Jahangir@teagasc.ie; LeeChangsoo@ntu.edu.sg; laura.cardenas@bbsrc.ac.uk; gavin.collins@glasgow.ac.uk; Karl.Richards@teagasc.ie; vincent.oflaherty@nuigalway.ie</t>
  </si>
  <si>
    <t>; Richards, Karl/ABF-1109-2020; O'Flaherty, VIncent/KIH-4084-2024; Cardenas, Laura/HHC-2953-2022; Jahangir, Mohammad Mofizur Rahman/F-3104-2011; Richards, Karl/A-5606-2010; Khalil, Mohammad Ibrahim/I-1995-2014; Lee, Changsoo/A-3802-2011; Jahangir, Mohammad/F-3104-2011; Khalil, Mohammad/I-1995-2014</t>
  </si>
  <si>
    <t>O'Flaherty, Vincent/0000-0003-4785-1382; Barrett, Maria/0000-0001-5129-0296; Jahangir, Mohammad Mofizur Rahman/0000-0002-9501-3239; Richards, Karl/0000-0002-3703-3450; Khalil, Mohammad Ibrahim/0000-0002-0968-2672; Lee, Changsoo/0000-0002-8373-8101;</t>
  </si>
  <si>
    <t>Irish Department of Agriculture, Fisheries and Food [RSF 06 383]; Science foundation Ireland (SFI) [2004/PI/416]; BBSRC, UK; Biotechnology and Biological Sciences Research Council [BB/K001051/1] Funding Source: researchfish; BBSRC [BB/K001051/1] Funding Source: UKRI</t>
  </si>
  <si>
    <t>Irish Department of Agriculture, Fisheries and Food; Science foundation Ireland (SFI)(Science Foundation Ireland (SFI)); BBSRC, UK(UK Research &amp; Innovation (UKRI)Biotechnology and Biological Sciences Research Council (BBSRC)); Biotechnology and Biological Sciences Research Council(UK Research &amp; Innovation (UKRI)Biotechnology and Biological Sciences Research Council (BBSRC)); BBSRC(UK Research &amp; Innovation (UKRI)Biotechnology and Biological Sciences Research Council (BBSRC))</t>
  </si>
  <si>
    <t>The authors gratefully acknowledge the financial support for this study provided through the Research Stimulus Fund Programme of the Irish Department of Agriculture, Fisheries and Food (Grant RSF 06 383) and Science foundation Ireland (SFI) (2004/PI/416). The Authors would like to acknowledge Dr. D. Hatch and M. Butler at Rothamsted Research North Wyke Research, Devon, for all their help and support; Rothamsted Research is sponsored by the BBSRC, UK. Sincere thanks also to Dr. Laurent Phillipot and Dr. David Bru, for the gift of the nosZ plasmid (INRA-Universite de Bourgogne, Soil and Environmental Microbiology, UMR MSE 1229, MSE, 17 rue Sully, BP 86510, 21065 Dijon Cedex, France).</t>
  </si>
  <si>
    <t>10.1007/s11356-015-6030-1</t>
  </si>
  <si>
    <t>DK5XN</t>
  </si>
  <si>
    <t>WOS:000374994600081</t>
  </si>
  <si>
    <t>Xu, C; Wang, JD; Wu, D; Li, CZ; Wang, L; Ji, C; Zhang, YC; Ai, YC</t>
  </si>
  <si>
    <t>Xu, Cong; Wang, Jidong; Wu, Di; Li, Chuanzhe; Wang, Lei; Ji, Cheng; Zhang, Yongchun; Ai, Yuchun</t>
  </si>
  <si>
    <t>Optimizing organic amendment applications to enhance carbon sequestration and economic benefits in an infertile sandy soil</t>
  </si>
  <si>
    <t>Organic amendment; Infertile sandy soil; Soil organic carbon; Spent mushroom residue; Economic evaluation; Net ecosystem economic benefit</t>
  </si>
  <si>
    <t>GREENHOUSE-GAS EMISSIONS; NONPOINT-SOURCE POLLUTION; NORTH CHINA PLAIN; CROPPING SYSTEMS; INORGANIC FERTILIZER; AGRICULTURAL SOILS; FARMING PRACTICES; TERM APPLICATION; LOAM SOIL; YIELD</t>
  </si>
  <si>
    <t>A thorough understanding of the agricultural, ecological, and economic benefits of organic amendment (OA) application in infertile soils is crucial for facilitating agricultural sustainability. We conducted a three-year field study to evaluate the effects of OA application on soil organic carbon (SOC) sequestration, crop yields, and the net ecosystem economic benefit (NEEB) in a typical infertile sandy soil (with an initial SOC content of 2.56 g kg(-1)) of the ancient Yellow River alluvial plain. In addition to the control (CK; non-OA application), two types of OAs, namely, manure-based organic fertilizer (M) and spent mushroom residue (MR), were each applied at 12, 24, and 36 Mg ha(-1) yr(-1). Two scenarios of OA application practices, namely, conventional manual OA application (AMA) and mechanical OA application (AME), were considered in the economic evaluation. An increase of 1 g kg(-1) SOC content could improve the crop yield by 2.25 Mg ha(-1) yr(-1). Compared with the CK, the application of OAs enhanced the SOC content and SOC stock by 14.6%-39.8% and 8.5%-28.2%, respectively. However, the SOC sequestration efficiency of the OAs tended to decrease under high rates of OA application. MR was observed to have greater potential than M in sequestering SOC and promoting soil aggregates. OA-induced SOC sequestration could neutralize 36.6%-97.8% of greenhouse gas emissions, which resulted in a reduction in the global warming potential and its cost by 0.62-2.68 Mg CO2-eq ha(-1) yr(-1) and 15.46-65.78 CNY ha(-1) yr(-1), respectively. Nevertheless, in terms of the NEEB, the benefits of OA application on crop yield and SOC sequestration were largely offset by the increased material and labor costs. Compared with AMA, AME could save 10%-27% of agricultural costs. The AME of MR at a rate of 24 Mg ha(-1) yr(-1) achieved the highest NEEB. The results of this study suggest that a strategy involving the appropriate OA, optimal application rate, and cheapest incorporation cost for a specific individual soil should be adopted to achieve a sustainable solution for promoting crop productivity, enhancing SOC sequestration, and ensuring farmer income in infertile farming regions.</t>
  </si>
  <si>
    <t>[Xu, Cong; Ji, Cheng; Zhang, Yongchun] Jiangsu Acad Agr Sci, Sci Observat &amp; Expt Stn Arable Land Conservat Jia, Minist Agr &amp; Rural Affairs, Inst Agr Resources &amp; Environm, Nanjing 210014, Peoples R China; [Xu, Cong; Ji, Cheng; Zhang, Yongchun] Sch Environm &amp; Safety Engn Jiangsu Univ, Zhenjiang 212013, Jiangsu, Peoples R China; [Wang, Jidong] Jiangsu Univ, Sch Agr Equipment Engn, Zhenjiang 212013, Jiangsu, Peoples R China; [Wu, Di] Nanjing Agr Univ, Coll Resources &amp; Environm Sci, Nanjing 210095, Peoples R China; [Li, Chuanzhe] Huaiyin Inst Agr Sci Xuhuai Reg Jiangsu, Huaian 223001, Peoples R China</t>
  </si>
  <si>
    <t>Jiangsu Academy of Agricultural Sciences; Jiangsu University; Nanjing Agricultural University; Jiangsu Academy of Agricultural Sciences</t>
  </si>
  <si>
    <t>Wang, JD (corresponding author), Jiangsu Acad Agr Sci, 50 Zhonglingjie St, Nanjing 210014, Jiangsu, Peoples R China.</t>
  </si>
  <si>
    <t>Zhang, Yongchun/Q-2364-2016</t>
  </si>
  <si>
    <t>Key Research and Development Project of Jiangsu Province [BE2019378, BE2021378]; China Agri-culture Research System of M and MARA [CARS-10-B10-2021]; National Natural Science Foundation of China [41907069]; Basic Research Program of Jiangsu Province [BK20190258]; Explor-ative and Disruptive Innovation Program of JAAS [ZX (21) 1223]</t>
  </si>
  <si>
    <t>Key Research and Development Project of Jiangsu Province; China Agri-culture Research System of M and MARA; National Natural Science Foundation of China(National Natural Science Foundation of China (NSFC)); Basic Research Program of Jiangsu Province; Explor-ative and Disruptive Innovation Program of JAAS</t>
  </si>
  <si>
    <t>This work was supported by the Key Research and Development Project of Jiangsu Province (BE2019378 and BE2021378) , China Agri-culture Research System of M and MARA (CARS-10-B10-2021) , the National Natural Science Foundation of China (41907069) , the Basic Research Program of Jiangsu Province (BK20190258) , and the Explor-ative and Disruptive Innovation Program of JAAS (ZX (21) 1223) .</t>
  </si>
  <si>
    <t>10.1016/j.jenvman.2021.114129</t>
  </si>
  <si>
    <t>YF9OU</t>
  </si>
  <si>
    <t>WOS:000742129700004</t>
  </si>
  <si>
    <t>Ma, N; Xu, YX</t>
  </si>
  <si>
    <t>Ma, Nian; Xu, Yongxin</t>
  </si>
  <si>
    <t>Carbon Emission Reduction of Reclaimed Water Use Substitution for Inter-Basin Water Transfer and Sustainability of Urban Water Supply in Valley Area</t>
  </si>
  <si>
    <t>reclaimed water; inter-basin water transfer; reclaimed water substitution; operational energy consumption; carbon emission reduction; valley urban area</t>
  </si>
  <si>
    <t>WASTE-WATER; RESOURCES MANAGEMENT; CURRENT SITUATION; ENERGY INTENSITY; REUSE; SYSTEMS; FOOTPRINT; SCARCITY; NEXUS; ALTERNATIVES</t>
  </si>
  <si>
    <t>Urbanization confronts the dual challenges of water scarcity and environmental degradation, prompting the exploration of diverse water sources for mitigating these impacts. Inter-basin water transfer (IBWT) has emerged as a solution to balance urban water demand and supply in areas with local water shortages. While IBWT can deliver high-quality water over long distances, it is costly, often contributing significantly to carbon emissions. Reclaimed water use (RWU) presents a promising alternative to address this dilemma. In this paper, a valley region of Chongqing municipality in Southwest China, which is confronted with water and environmental risks resulting from rapid urbanization, was explored and discussed as a case study to assess the potential impact of RWU on reducing carbon emissions as compared to IBWT. A method of accumulative accounting was adapted to calculate and sum up carbon emission intensities at various stages, revealing that the operational carbon emission intensities of IBWT and RWU are 0.7447 KgCO2/m3 and 0.1880 KgCO2/m3, respectively. This indicates that RWU substitution can reduce carbon emissions by 0.5567 KgCO2/m3 or 75%. This paper further elucidates the mechanism behind carbon emission reduction, highlighting the energy-saving benefits of using reclaimed water locally without recourse to extensive transportation or elevation changes. Additionally, this result presents three scenarios of reclaimed water use, including urban miscellaneous water, river flow replenishment, and agricultural irrigation in relation to their substitution effects and environmental impacts. Estimates of carbon emission reductions from reclaimed water use were projected at the planned scale, with the maximum potential of reclaimed water utilization predicted. Finally, this paper proposes an enhanced strategy to identify and prioritize factors affecting reclaimed water utilization and the effect of carbon emission reduction. This paper aims to facilitate the establishment of a robust legal, institutional, and managerial framework while fostering interdisciplinary and cross-sectoral cooperation mechanisms in valley urban areas. The methodology employed can be universally applied to other regions grappling with severe water stress, thereby facilitating endeavors toward carbon reduction and contributing significantly to the attainment of water sustainability.</t>
  </si>
  <si>
    <t>[Ma, Nian; Xu, Yongxin] Univ Western Cape, Fac Nat Sci, ZA-7535 Cape Town, South Africa; [Ma, Nian] TY Lin Int Engn Consulting China Co Ltd, Chongqing 401121, Peoples R China</t>
  </si>
  <si>
    <t>University of the Western Cape</t>
  </si>
  <si>
    <t>Xu, YX (corresponding author), Univ Western Cape, Fac Nat Sci, ZA-7535 Cape Town, South Africa.</t>
  </si>
  <si>
    <t>manian@tylin.com.cn; yxu@uwc.ac.za</t>
  </si>
  <si>
    <t>Xu, Yongxin/0000-0002-9721-3349</t>
  </si>
  <si>
    <t>10.3390/w16121733</t>
  </si>
  <si>
    <t>WQ5W1</t>
  </si>
  <si>
    <t>WOS:001256361000001</t>
  </si>
  <si>
    <t>Gao, LI; Wang, CH; Wen, P; Shao, C; Geng, HY; Wang, ZQ</t>
  </si>
  <si>
    <t>Gao, Liai; Wang, Changhong; Wen, Peng; Shao, Chen; Geng, Hanyu; Wang, Ziqi</t>
  </si>
  <si>
    <t>Low-carbon optimal scheduling integrating precision plant carbon sequestration supplementation with energy system synergy in rural full-chain carbon cycles</t>
  </si>
  <si>
    <t>Carbon cycle; Optimize scheduling; Agricultural park; Plant carbon sequestration; Multi-energy complementarity</t>
  </si>
  <si>
    <t>ECONOMIC-DISPATCH</t>
  </si>
  <si>
    <t>Promoting deep decarbonization of energy systems is crucial for achieving China's carbon peaking and carbon neutrality goals. Plant carbon sequestration, as a key carbon sink pathway, has not yet been incorporated as a schedulable resource into existing energy optimization systems. To address this limitation, this study proposes a low-carbon optimal scheduling method that integrates precise plant carbon sequestration replenishment with energy systems. First, a five-dimensional synergistic rural energy system architecture encompassing source-grid-load-storage-carbon is established to achieve flexible resource scheduling. Second, a coupling model integrating carbon capture system, power-to-gas, and plant carbon sequestration is developed to facilitate coordinated regulation of carbon sources and sinks, establishing a full-chain carbon cycle. Finally, a bi-level collaborative optimization scheduling method is proposed to simultaneously optimize carbon flow allocation and energy dispatch. Simulations conducted on a rural energy system in Hebei Province, China, demonstrate that the proposed coupling model reduces operating costs by 12.8 %, increases the carbon-energy utilization efficiency to 20.3 %, and lowers the carbon emission intensity by 7.41 %, compared to the baseline scenario. The implementation of the bi-level optimization method further reduces the total operating cost by 13.4 % and decreases the reliance on externally procured carbon sources by 71.1 %, thereby simultaneously minimizing system operating costs and maximizing carbon trading benefits. This study provides a replicable technical solution for the low-carbon transition of rural energy systems. Future research should consider the impact of seasonal variations on the model and enhance the model's adaptability to various crops and greenhouse structures.</t>
  </si>
  <si>
    <t>[Gao, Liai; Wang, Changhong; Wen, Peng; Shao, Chen; Geng, Hanyu; Wang, Ziqi] Hebei Agr Univ, Coll Mech &amp; Elect Engn, Baoding 071000, Peoples R China; [Gao, Liai; Wen, Peng] Key Lab Intelligent Equipment &amp; New Energy Utiliza, Baoding 071000, Peoples R China; [Gao, Liai; Wen, Peng; Shao, Chen; Wang, Ziqi] Baoding Key Lab Precis Control &amp; Clean Energy Supp, Baoding 071000, Peoples R China</t>
  </si>
  <si>
    <t>Gao, LI (corresponding author), Hebei Agr Univ, Coll Mech &amp; Elect Engn, Baoding 071000, Peoples R China.</t>
  </si>
  <si>
    <t>jdmm@hebau.edu.cn</t>
  </si>
  <si>
    <t>wen, peng/ADK-5866-2022</t>
  </si>
  <si>
    <t>Baoding Science and Technology Program [2372P001]; Hebei Provincial Key Research Projects [20327307D]; State Grid Hebei Electric Power Co., Ltd. [kj2023-021]</t>
  </si>
  <si>
    <t>Baoding Science and Technology Program; Hebei Provincial Key Research Projects; State Grid Hebei Electric Power Co., Ltd.</t>
  </si>
  <si>
    <t>This work was supported by the Baoding Science and Technology Program [grant number 2372P001] ; the Hebei Provincial Key Research Projects [grant number 20327307D] ; and the State Grid Hebei Electric Power Co., Ltd. Technology Projects [grant number kj2023-021] .</t>
  </si>
  <si>
    <t>10.1016/j.jclepro.2025.146754</t>
  </si>
  <si>
    <t>8LI4J</t>
  </si>
  <si>
    <t>WOS:001591402300001</t>
  </si>
  <si>
    <t>Ni, YZ; Zhang, M; Qian, XY; Shen, GX; Mwabonje, O</t>
  </si>
  <si>
    <t>Ni, Yuanzhi; Zhang, Min; Qian, Xiaoyong; Shen, Genxiang; Mwabonje, Onesmus</t>
  </si>
  <si>
    <t>Anaerobic Digestion of Rice Straw as Profitable Climate Solution Reduces Paddy Field Greenhousegas Emissions and Produces Climate-Smart Fertilizer Under Carbon Trading Mechanisms</t>
  </si>
  <si>
    <t>anaerobic digestion; rice straw; agricultural carbon emission; carbon trading mechanisms</t>
  </si>
  <si>
    <t>GAS EMISSIONS; LCA; ENERGY; CH4</t>
  </si>
  <si>
    <t>Continuous incorporation of rice straw has caused significant CH4 emissions from the paddy field production system in East China. Anaerobic digestion (AD) of the rice straw has been considered as a promising approach that could not only mitigate the land-based CH4 emissions, but also generate low-carbon electricity and high-quality organic fertilizer. However, this approach, in many circumstances, is unable to be cost-competitive with other straw treatment processes or power sources. To understand the potential incentives that recently launched carbon trading schemes, the China Carbon Emission Trade Exchange (CCETE) and Chinese Certified Emission Reduction (CCER), could bring to the rice straw utilization value chain, we conducted a cradle-to-factory gate life cycle assessment and economic analysis of a small-scale AD system with rice straw as the main feedstock in East China. The results indicate that, depending on the choice of allocation method, the climate change impact of the bioenergy generated through the studied small-scale AD system is 0.21 to 0.28 kg CO2eq./kWh, and the digester fertilizer produced is 6.88 to 22.09 kg CO2eq./kg N. The economic analysis validates the financial sustainability of such small-scale AD projects with rice straw feedstock under carbon trading mechanisms. The climate mitigation potential could be achieved at the marginal reduction cost of 13.98 to -53.02 USD/t CO2eq. in different carbon price scenarios.</t>
  </si>
  <si>
    <t>[Ni, Yuanzhi; Zhang, Min; Qian, Xiaoyong; Shen, Genxiang] Shanghai Acad Environm Sci, Shanghai 200233, Peoples R China; [Mwabonje, Onesmus] Imperial Coll London, Ctr Environm Policy, London SW7 1NA, England; [Mwabonje, Onesmus] Strathmore Univ, Res &amp; Innovat, Ole Sangale Rd,Madaraka Estate,POB 5985700200, Nairobi, Kenya</t>
  </si>
  <si>
    <t>Imperial College London; Strathmore University</t>
  </si>
  <si>
    <t>Qian, XY (corresponding author), Shanghai Acad Environm Sci, Shanghai 200233, Peoples R China.;Mwabonje, O (corresponding author), Imperial Coll London, Ctr Environm Policy, London SW7 1NA, England.;Mwabonje, O (corresponding author), Strathmore Univ, Res &amp; Innovat, Ole Sangale Rd,Madaraka Estate,POB 5985700200, Nairobi, Kenya.</t>
  </si>
  <si>
    <t>niyz@saes.sh.cn; qianxy@saes.sh.cn; o.mwabonje@imperial.ac.uk</t>
  </si>
  <si>
    <t>; Ni, Yuanzhi/ABG-4902-2020</t>
  </si>
  <si>
    <t>Ni, Yuanzhi/0000-0001-9997-9172; Mwabonje, Onesmus/0000-0003-2334-8504; Qian, Xiaoyong/0000-0002-3234-8090</t>
  </si>
  <si>
    <t>Shanghai Agricultural Science and Technology Innovation Program; Imperial College London Open Access Fund for the OA; [K2023017]</t>
  </si>
  <si>
    <t>Shanghai Agricultural Science and Technology Innovation Program; Imperial College London Open Access Fund for the OA;</t>
  </si>
  <si>
    <t>This research was funded by the Shanghai Agricultural Science and Technology Innovation Program (Grant No. K2023017). We also acknowledge the Imperial College London Open Access Fund for the OA funding support.</t>
  </si>
  <si>
    <t>10.3390/su17062439</t>
  </si>
  <si>
    <t>0QT2O</t>
  </si>
  <si>
    <t>WOS:001453775400001</t>
  </si>
  <si>
    <t>Masum, MFH; Dwivedi, P; Anderson, WF</t>
  </si>
  <si>
    <t>Masum, Md Farhad Hossain; Dwivedi, Puneet; Anderson, William F.</t>
  </si>
  <si>
    <t>Estimating unit production cost, carbon intensity, and carbon abatement cost of electricity generation from bioenergy feedstocks in Georgia, United States</t>
  </si>
  <si>
    <t>Biopower; Renewable energy; Economic analysis; Life cycle assessment; Sustainable energy</t>
  </si>
  <si>
    <t>COASTAL-PLAIN; LOBLOLLY-PINE; NAPIER GRASS; PERENNIAL BIOENERGY; BIOMASS PRODUCTION; FOREST RESIDUES; COTTON STALKS; SUPPLY CHAIN; SOIL CARBON; CORN STOVER</t>
  </si>
  <si>
    <t>In Georgia, the coal-based electricity generation emitted about 26% of the total greenhouse gas (GHG) emissions in 2016. Considering the availability of biomass resources in the state and advent of emerging technologies like torrefaction, biomass-based feedstocks could be directly used in existing coal-based power plants. We performed economic and environmental analyses of electricity derived from nine feedstocks (loblolly pine, corn stover, cotton stalks, bermudagrass, switchgrass, napier grass, giant reed, energycane, and miscanthus) over 25 years relative to coal-based electricity in Georgia. We assumed processing biomass via torrefaction before using the same to substitute coal at the power plant. Pine chips were the least expensive ($113 MWh(-1)) and the least GHG intensive (134 kg CO(2)e MWh(-1)) option for generating electricity, with the lowest abatement cost ($17 t CO(2)e(-1)). Based on sensitivity analysis, the abatement cost could be as low as $8 t CO(2)e(-1) for a 900 MW power plant, the most common capacity of coal-based electricity generating units in Georgia. Between the two agricultural residues, cotton stalk ($26 t CO(2)e(-1)) had a lower abatement cost than corn stover ($34 t CO(2)e(-1)). Among perennial grasses, switchgrass and giant reed had the lowest carbon abatement cost (about $25 t CO(2)e(-1)) because of their low unit production cost of electricity. Other perennial grasses had comparable abatement costs, ranging between $28 and $30 t CO(2)e(-1), except napier grass and energycane, which had the highest abatement cost (about $38 t CO(2)e(-1)). A carbon tax of $40 t CO(2)e(-1) could make bioenergy feedstocks found in Georgia competitive against coal for reducing carbon emissions from the electricity sector.</t>
  </si>
  <si>
    <t>[Masum, Md Farhad Hossain; Dwivedi, Puneet] Univ Georgia, Warnell Sch Forestry &amp; Nat Resources, Athens, GA 30602 USA; [Anderson, William F.] USDA ARS, Crop Genet &amp; Breeding Res Unit, Tifton, GA 31793 USA</t>
  </si>
  <si>
    <t>University System of Georgia; University of Georgia; United States Department of Agriculture (USDA)</t>
  </si>
  <si>
    <t>Masum, MFH (corresponding author), Univ Georgia, Warnell Sch Forestry &amp; Nat Resources, Athens, GA 30602 USA.</t>
  </si>
  <si>
    <t>mm44295@uga.edu</t>
  </si>
  <si>
    <t>Masum, Farhad/O-6676-2019</t>
  </si>
  <si>
    <t>Masum, Farhad Hossain/0000-0002-6279-5545</t>
  </si>
  <si>
    <t>USDA National Institute of Food and Agriculture, McIntire Stennis project [GEOZ0192-MS.]</t>
  </si>
  <si>
    <t>USDA National Institute of Food and Agriculture, McIntire Stennis project</t>
  </si>
  <si>
    <t>This work is supported by the USDA National Institute of Food and Agriculture, McIntire Stennis project #GEOZ0192-MS.</t>
  </si>
  <si>
    <t>10.1016/j.rser.2019.109514</t>
  </si>
  <si>
    <t>JU3WE</t>
  </si>
  <si>
    <t>WOS:000501608500037</t>
  </si>
  <si>
    <t>de Oliveira, GM; Zylbersztajn, D</t>
  </si>
  <si>
    <t>de Oliveira, Gustavo Magalhaes; Zylbersztajn, Decio</t>
  </si>
  <si>
    <t>Make or buy: the case of harvesting mechanization in coffee crop in Brazil</t>
  </si>
  <si>
    <t>INTERNATIONAL FOOD AND AGRIBUSINESS MANAGEMENT REVIEW</t>
  </si>
  <si>
    <t>outsourcing contracts; coordination; harvesting mechanization; coffee crop; Brazil</t>
  </si>
  <si>
    <t>AGRICULTURAL MECHANIZATION; VERTICAL INTEGRATION; SERVICES</t>
  </si>
  <si>
    <t>This paper investigates the make-or-buy choice on the harvesting mechanization transaction in Brazilian coffee production. It empirically tests this organization choice following the transaction attributes of asset specificity, uncertainty and path dependence. Using a two-stage probit model conditioned by credit availability in a sample of 105 coffee growers in Brazil, our study evidences that the governance decision follows the efficient alignment argument of the Transaction Cost Economics. The research contributes to the understanding of institutional arrangements in place at coffee grower perspective. An additional descriptive field investigation presented the existence of three different types of arrangement as a solution for coffee harvesting mechanization: total vertical integration (make), outsourcing contracts (buy) and tapped vertical integration. Those results demonstrate a shift from a spot transaction pattern to more sophisticated contractual tools. We present managerial implications by illustrating the determinants of each decision, either make or buy, in the harvesting mechanization transaction in coffee production which can provide support to efficient strategies elaboration by farmers or service providers.</t>
  </si>
  <si>
    <t>[de Oliveira, Gustavo Magalhaes; Zylbersztajn, Decio] Univ Sao Paulo, Econ Org, Sch Econ Business &amp; Accounting, Ave Prof Luciano Gualberto,908,Cidade Univ, BR-05508900 Sao Paulo, SP, Brazil; [Zylbersztajn, Decio] Agribusiness Knowledge Ctr PENSA, Ave Prof Luciano Gualberto,908,Room C-18, BR-05508900 Sao Paulo, SP, Brazil</t>
  </si>
  <si>
    <t>de Oliveira, GM (corresponding author), Univ Sao Paulo, Econ Org, Sch Econ Business &amp; Accounting, Ave Prof Luciano Gualberto,908,Cidade Univ, BR-05508900 Sao Paulo, SP, Brazil.</t>
  </si>
  <si>
    <t>gustavomoliv@gmail.com</t>
  </si>
  <si>
    <t>Zylbersztajn, Decio/K-8148-2012</t>
  </si>
  <si>
    <t>Oliveira, Gustavo Magalhães de/0000-0002-5296-662X</t>
  </si>
  <si>
    <t>illycaffe; Universita del Caffe Brazil; Experimental Agricola Brasil</t>
  </si>
  <si>
    <t>We thank illycaffe, Universita del Caffe Brazil and Experimental Agricola Brasil for their valuable support.</t>
  </si>
  <si>
    <t>WAGENINGEN ACADEMIC PUBLISHERS</t>
  </si>
  <si>
    <t>WAGENINGEN</t>
  </si>
  <si>
    <t>PO BOX 220, WAGENINGEN, 6700 AE, NETHERLANDS</t>
  </si>
  <si>
    <t>1559-2448</t>
  </si>
  <si>
    <t>INT FOOD AGRIBUS MAN</t>
  </si>
  <si>
    <t>Int. Food Agribus. Manag. Rev.</t>
  </si>
  <si>
    <t>10.22434/IFAMR2017.0085</t>
  </si>
  <si>
    <t>GT7OG</t>
  </si>
  <si>
    <t>WOS:000444717200004</t>
  </si>
  <si>
    <t>Cerri, CC; Moreira, CS; Alves, PA; Raucci, GS; Castigioni, BD; Mello, FFC; Cerri, DGP; Cerri, CEP</t>
  </si>
  <si>
    <t>Cerri, Carlos Clemente; Moreira, Cindy Silva; Alves, Priscila Aparecida; Raucci, Guilherme Silva; Castigioni, Bruno de Almeida; Mello, Francisco F. C.; Cerri, Domingos Guilherme P.; Cerri, Carlos Eduardo P.</t>
  </si>
  <si>
    <t>Assessing the carbon footprint of beef cattle in Brazil: a case study with 22 farms in the State of Mato Grosso</t>
  </si>
  <si>
    <t>Carbon footprint; Greenhouse gas emissions; Nitrous oxide; Methane; Livestock; Global warming</t>
  </si>
  <si>
    <t>GREENHOUSE-GAS EMISSIONS; LIFE-CYCLE ASSESSMENT; LAND-USE CHANGE; LIVESTOCK; METHANE; INTENSIFICATION; OPTIONS; DEMAND</t>
  </si>
  <si>
    <t>In order to meet the predicted growth in world population and increasing demand for food, the offer of animal products, especially in developing countries will also have to increase. Cattle-farming for beef production is one of the most important agricultural activities in Brazil. The country has the major commercial herd in the world and has achieved the position of leading beef exporter. The Brazilian beef sector has been under constant pressure from the international community to reduce the greenhouse gas (GHG) emissions and meet international sustainability standards. There are few studies regarding the GHG emissions associated with the Brazilian cattle production. The aim of this study was to evaluate the main sources of GHG in beef cattle production in the State of Mato Grosso, Brazil. We evaluated 22 farms distributed throughout the state in the year of 2011, accounting for approximately 60,000 ha of pasture area. The results indicated that the largest source of GHG in extensive beef production comes directly from the animals (89-98%). From these, 67-79% are from enteric fermentation, followed by manure decomposition (20-33%). Fuel combustion for farm operations, use of agricultural inputs and electricity consumption where other evaluated sources. The carbon footprints of the farms with herd size limited to 2000 head ranged from 4.8 to 8.2 kg of CO(2)eq per kg of live weight gain. For the farms with more than 2000 head, the carbon footprints ranged from 5.0 to 72 kg of CO(2)eq per kg of live weight gain. This study contributed to identify the main sources of GHG in the extensive cattle production and indicate mitigation priorities in Brazil. (C) 2015 Elsevier Ltd. All rights reserved.</t>
  </si>
  <si>
    <t>[Cerri, Carlos Clemente] Univ Sao Paulo, Ctr Energia Nucl Agr, Lab Biogeoquim Ambiental, BR-13400970 Piracicaba, SP, Brazil; [Moreira, Cindy Silva; Alves, Priscila Aparecida; Raucci, Guilherme Silva; Castigioni, Bruno de Almeida; Mello, Francisco F. C.; Cerri, Domingos Guilherme P.] DeltaCO2 Sustentabilidade Ambiental, BR-13414020 Piracicaba, SP, Brazil; [Cerri, Carlos Eduardo P.] Univ Sao Paulo, Dept Ciencia Solo, ESALQ, BR-13418900 Piracicaba, SP, Brazil</t>
  </si>
  <si>
    <t>Universidade de Sao Paulo; Universidade de Sao Paulo</t>
  </si>
  <si>
    <t>Cerri, CC (corresponding author), Univ Sao Paulo, Ctr Energia Nucl Agr, Lab Biogeoquim Ambiental, Ave Centenorio 303,CP 96, BR-13400970 Piracicaba, SP, Brazil.</t>
  </si>
  <si>
    <t>cerri@cena.usp.br</t>
  </si>
  <si>
    <t>Cerri, Carlos/C-5039-2012; Cerri, Carlos Eduardo/C-5039-2012; Alves, Priscila/IAO-6779-2023; Cerri, Carlos Eduardo/C-5039-2012; Cerri, Carlos/E-6456-2015</t>
  </si>
  <si>
    <t>Cerri, Carlos Eduardo/0000-0002-4374-4056; Cerri, Carlos Eduardo/0000-0002-4374-4056;</t>
  </si>
  <si>
    <t>10.1016/j.jclepro.2015.10.072</t>
  </si>
  <si>
    <t>WOS:000368207400042</t>
  </si>
  <si>
    <t>Yi, HP; Guo, DW; Wang, HM; Yi, GH; Min, LZ</t>
  </si>
  <si>
    <t>Yi, Haoping; Guo, Dengwang; Wang, Haomin; Yi, Guohui; Min, Longzhen</t>
  </si>
  <si>
    <t>Money for operator: the impact of linked agricultural subsidy on incomes</t>
  </si>
  <si>
    <t>FARM INCOME; POLICY; CHINA; PAYMENTS; MEDIATION</t>
  </si>
  <si>
    <t>The reform of China's three subsidies has shifted the method of subsidization from payment based on the contracted area to payment based on the actual operational area. Within this context, studying the income-generating impact of the three subsidies holds significant practical relevance. Using data from the 2018 China Labor-force Dynamic Survey, this paper employs basic estimation, mediating effect, and moderating effect models to analyze the heterogeneity of agricultural subsidies' impact on rural household income, the mediating effect of agricultural mechanization, and the moderating effect of operation scale. Our findings indicate that agricultural subsidies, known as the three subsidies, have increased total rural household income and agricultural income while decreasing wage income. However, they have shown no significant impact on business income. Notably, agricultural subsidies have significantly elevated the income of food-producing households, with agricultural mechanization partially mediating this effect. Operation scale positively moderates the impact of agricultural subsidies on rural household income and agricultural mechanization. Heterogeneity analysis indicates that agricultural subsidies have a more significant impact on rural household income among agricultural producers in the eastern region.</t>
  </si>
  <si>
    <t>[Yi, Haoping; Min, Longzhen] Sichuan Agr Univ, Coll Management, Chengdu, Sichuan, Peoples R China; [Guo, Dengwang; Wang, Haomin] Sichuan Agr Univ, Coll Econ, Chengdu, Sichuan, Peoples R China; [Yi, Guohui] Pingxiang Agr &amp; Rural Ind Dev Serv Ctr, Pingxiang, Jiangxi, Peoples R China</t>
  </si>
  <si>
    <t>Min, LZ (corresponding author), Sichuan Agr Univ, Coll Management, Chengdu, Sichuan, Peoples R China.</t>
  </si>
  <si>
    <t>2021109010@stu.sicau.edu.cn</t>
  </si>
  <si>
    <t>Wang, Haomin/GVT-5170-2022; Yi, Haoping/MTB-5710-2025; Min, Longzhen/OLR-0910-2025</t>
  </si>
  <si>
    <t>JUN 12</t>
  </si>
  <si>
    <t>10.1038/s41598-024-64100-w</t>
  </si>
  <si>
    <t>XH6J7</t>
  </si>
  <si>
    <t>WOS:001260828000114</t>
  </si>
  <si>
    <t>Infante-Amate, J; Iriarte-Goñi, I; Aguilera, E</t>
  </si>
  <si>
    <t>Infante-Amate, Juan; Iriarte-Goni, Inaki; Aguilera, Eduardo</t>
  </si>
  <si>
    <t>Historical changes in biomass carbon stocks in the Mediterranean (Spain, 1860-2010)</t>
  </si>
  <si>
    <t>Carbon stocks; Forest Transition; Antrhopocene; Environmental history; Mediterranean; Woody Crops</t>
  </si>
  <si>
    <t>LAND-COVER CHANGE; FOREST TRANSITION; TREES; AFFORESTATION; ACCUMULATION; EMISSIONS; INCREASE; DRIVERS; FINLAND; STORAGE</t>
  </si>
  <si>
    <t>Land-use change was the main source of anthropogenic CO2 emissions until the mid-twentieth century, especially due to deforestation processes. In recent decades, however, CO2 sequestration is being induced in some countries where forest area is experiencing net increases. Despite the key role of these processes, we hardly dispose of any empirical evidence of historical changes in biomass stocks, especially in the long-term (over 50 years) and in cultivated areas. In this study, we quantify the evolution of the surface area, carbon stocks (C) and C density of living biomass in Spain (50 provinces) between 1860 and 2010. According to our results, the C stock fell from 340.3 Tg C to 254.2 Tg C between 1860 and 1950, to then reach 844.0 Tg C in 2010. Although the stock began to increase much later than in other European countries, annual growth rates were much more significant. A decomposition analysis allowed us to observe that the increase in stock was mainly due to the change in C density (61.2% of the effect), surface area (35.3%) and, to a lesser extent, to the effect of location in more productive areas (5.7%). Woody crops - which were historically managed as agroforestry systems when combined with other crops - stored 15.8% of total stocks during the period studied. They play a particularly important role in areas with a Mediterranean climate because in these provinces, crops such as olive groves, vineyards or oranges have proliferated. The reasons for C stock increases are: the substitution of firewood with fossil fuels; agricultural intensification; and the outsourcing of land use to other countries through agricultural imports.</t>
  </si>
  <si>
    <t>[Infante-Amate, Juan] Univ Granada, Dept Econ Theory &amp; Econ Hist, Campus Cartuja S-N, Granada 18071, Spain; [Iriarte-Goni, Inaki] Univ Zaragoza, Dept Appl Econ, Gran Via 2, Zaragoza 50005, Spain; [Aguilera, Eduardo] Polythecn Univ Madrid, CEIGRAM ETSIAAB, Senda Rey 13, Madrid 28040, Spain</t>
  </si>
  <si>
    <t>University of Granada; University of Zaragoza; Universidad Politecnica de Madrid</t>
  </si>
  <si>
    <t>Infante-Amate, J (corresponding author), Univ Granada, Dept Econ Theory &amp; Econ Hist, Campus Cartuja S-N, Granada 18071, Spain.</t>
  </si>
  <si>
    <t>jinfama@ugr.es</t>
  </si>
  <si>
    <t>Infante-Amate, Juan/H-4556-2015; Iriarte-Goñi, Inaki/H-3501-2015; Aguilera, Eduardo/H-4864-2015</t>
  </si>
  <si>
    <t>Aguilera, Eduardo/0000-0003-4382-124X</t>
  </si>
  <si>
    <t>Ramon Areces Foundation [CISP19A6420]; Ministry of Science and Innovation of Spain [PID2021-123220NB-I00]</t>
  </si>
  <si>
    <t>Ramon Areces Foundation; Ministry of Science and Innovation of Spain(Spanish GovernmentMinistry of Science &amp; Innovation, Spain (MICINN))</t>
  </si>
  <si>
    <t>This work has been funded through a research project by the Ramon Areces Foundation (CISP19A6420) and a research project by the Ministry of Science and Innovation of Spain (PID2021-123220NB-I00) . We acknowledge the comments from the text reviewers.</t>
  </si>
  <si>
    <t>10.1016/j.ancene.2023.100416</t>
  </si>
  <si>
    <t>Z5ZM1</t>
  </si>
  <si>
    <t>WOS:001112852900001</t>
  </si>
  <si>
    <t>Wang, ZG; Hoffmann, T; Six, J; Kaplan, JO; Govers, G; Doetterl, S; Van Oost, K</t>
  </si>
  <si>
    <t>Wang, Zhengang; Hoffmann, Thomas; Six, Johan; Kaplan, Jed O.; Govers, Gerard; Doetterl, Sebastian; Van Oost, Kristof</t>
  </si>
  <si>
    <t>Human-induced erosion has offset one-third of carbon emissions from land cover change</t>
  </si>
  <si>
    <t>SOIL ORGANIC-CARBON; BURIAL; DIOXIDE; CLIMATE; FATE; SEDIMENTS; EUROPE; IMPACT; MATTER; RATES</t>
  </si>
  <si>
    <t>Anthropogenic land cover change (ALCC) is an important carbon (C) loss mechanism(1-3), but current methods do not consider the role of accelerated soil organic C erosion and its burial in sediments in their assessments of net soil-atmosphere C exchange. Using a comprehensive global database and parsimonious modelling, we evaluate the impact of anthropogenic soil erosion on C fluxes between the Earth's surface and atmosphere from the onset of agriculture to the present day. We find that agricultural erosion represents a very large and transient perturbation to the C cycle and has induced a cumulative net uptake of 78 +/- 22 Pg C in terrestrial ecosystems during the period 6000 BC to AD 2015. This erosion-induced soil organic C sink is estimated to have offset 37 +/- 10% of previously recognized C emissions resulting from ALCC. We estimate that rates of C burial have increased by a factor of 4.6 since AD 1850. Thus, current assessments may significantly overestimate both past and future anthropogenic emissions from the land. Given that ALCC is the most uncertain component of the global C budget and that there is a strong connection between ALCC and erosion, an explicit representation of erosion and burial processes is essential to fully understand the impact of human activities on the net soil-atmosphere C exchange.</t>
  </si>
  <si>
    <t>[Wang, Zhengang; Van Oost, Kristof] Catholic Univ Louvain, Earth &amp; Life Inst, Georges Lemaitre Ctr Earth &amp; Climate Res TECLIM, B-1348 Louvain La Neuve, Belgium; [Hoffmann, Thomas] Univ Bonn, Dept Geog, Meckenheimer Allee 166, D-53115 Bonn, Germany; [Hoffmann, Thomas] German Fed Inst Hydrol, Mainzer Tor 1, D-56068 Koblenz, Germany; [Six, Johan] ETH, Dept Environm Syst Sci, Swiss Fed Inst Technol, CH-8092 Zurich, Switzerland; [Kaplan, Jed O.] Univ Lausanne, Inst Earth Surface Dynam, CH-1015 Lausanne, Switzerland; [Govers, Gerard] Katholieke Univ Leuven, Dept Earth &amp; Environm Sci, B-3001 Heverlee, Belgium; [Doetterl, Sebastian] Augsburg Univ, Inst Geog, Alter Postweg 118, D-86159 Augsburg, Germany; [Doetterl, Sebastian] Univ Ghent, ISOFYS, Isotope Biosci Lab, Coupure Links 653, B-9000 Ghent, Belgium</t>
  </si>
  <si>
    <t>Universite Catholique Louvain; University of Bonn; Swiss Federal Institutes of Technology Domain; ETH Zurich; University of Lausanne; KU Leuven; Ghent University</t>
  </si>
  <si>
    <t>Wang, ZG (corresponding author), Catholic Univ Louvain, Earth &amp; Life Inst, Georges Lemaitre Ctr Earth &amp; Climate Res TECLIM, B-1348 Louvain La Neuve, Belgium.</t>
  </si>
  <si>
    <t>zhengang.wang@uclouvain.be</t>
  </si>
  <si>
    <t>six, johan/J-5228-2015; wang, zhengang/A-7659-2010; Doetterl, Sebastian/KIA-6575-2024; Kaplan, Jed/P-1796-2015; Hoffmann, Thomas/G-5100-2011; Van Oost, Kristof/B-6941-2008; Govers, Gerard/A-8298-2008</t>
  </si>
  <si>
    <t>six, johan/0000-0001-9336-4185; Doetterl, Sebastian/0000-0002-0986-891X; Hoffmann, Thomas/0000-0002-3853-1830; Van Oost, Kristof/0000-0002-4938-9438; Govers, Gerard/0000-0001-9884-4778</t>
  </si>
  <si>
    <t>BELSPO (IUAP programme) [P7-24]; European Research Council [313797 COEVOLVE]; FNRS [2.4590.12]</t>
  </si>
  <si>
    <t>BELSPO (IUAP programme); European Research Council(European Research Council (ERC)); FNRS(Fonds de la Recherche Scientifique - FNRS)</t>
  </si>
  <si>
    <t>Z.W. is funded by BELSPO (IUAP programme, contract: P7-24). J.O.K. is supported by the European Research Council (313797 COEVOLVE). K.V.O. is a Senior Research Associate of the Fonds de la Recherche Scientifique (FNRS), Belgium. Support for this project was provided by the FNRS (convention number 2.4590.12). We thank S. Bouillon, H. Maclean, T. A. Quine and A. Stevens for comments on earlier versions of the manuscript.</t>
  </si>
  <si>
    <t>10.1038/NCLIMATE3263</t>
  </si>
  <si>
    <t>ET6AU</t>
  </si>
  <si>
    <t>WOS:000400373500014</t>
  </si>
  <si>
    <t>Balima, LH; Nacoulma, BMI; Bayen, P; Kouamé, FN; Thiombiano, A</t>
  </si>
  <si>
    <t>Balima, Larba Hubert; Nacoulma, Blandine Marie Ivette; Bayen, Philippe; Kouame, Francois N'Guessan; Thiombiano, Adjima</t>
  </si>
  <si>
    <t>Agricultural land use reduces plant biodiversity and carbon storage in tropical West African savanna ecosystems: Implications for sustainability</t>
  </si>
  <si>
    <t>GLOBAL ECOLOGY AND CONSERVATION</t>
  </si>
  <si>
    <t>Land disturbance; Woody flora diversity; Stand structure; Aboveground carbon stocks; Sudanian region</t>
  </si>
  <si>
    <t>ALLOMETRIC EQUATIONS; CLIMATE-CHANGE; ABOVEGROUND BIOMASS; BURKINA-FASO; SUDANIAN ZONE; COVER CHANGE; FOREST; STOCKS; TREE; DEFORESTATION</t>
  </si>
  <si>
    <t>Savanna ecosystems in tropical West Africa undergo severe land use pressure, resulting in ecosystem degradation and biogenic carbon emissions. In such context, highlighting the key ecological attributes of land degradation and the underlying processes are essential within the national adaptation and mitigation plans. This study analyzed the impacts of land use on plant biodiversity, stand structure and carbon storage. Inventories of ligneous species were conducted on 240 plots laid out along four levels of land disturbance in Burkina Faso. Dendrometric data collected from 6035 shrubs and trees were converted to aboveground biomass and carbon density. The results revealed a gamma-diversity of 107 woody species belonging to 73 genera and 35 families. Significant effect of land use was found on species diversity, stand structure and carbon density (p &lt; 0.001). Agricultural lands had the lowest diversity, density and carbon stocks, whereas protected areas held the highest values. Carbon density ranged from 10.362 +/- 1.209 Mg C.ha(-1) in fallows to 42.663 +/- 1.982 Mg C.ha(-1) in protected areas. Principal Component Analysis showed tight links between carbon storage, species diversity and stand structure. The multiple linear regression revealed that tree density explained 21.25% of the variation in the plot-level total carbon stocks (alpha = 19.301; p &lt; 3.38e-14). Similarly, tree diameter and height together accounted for 45.43% of the variation in mean carbon stocks (alpha = 19.301; p &lt; 2.2 e-16). This study demonstrated that the higher the land use pressure, the lower the species diversity and carbon storage in woody vegetation. The findings highlight the importance of accounting for improved or smart agricultural practices within the intended nationally determined contributions' framework. Published by Elsevier B.V.</t>
  </si>
  <si>
    <t>[Balima, Larba Hubert; Kouame, Francois N'Guessan] Univ Felix Houphouet Boigny, WASCAL Grad Res Program Climate Change &amp; Biodiver, BP 165, Abidjan 31, Cote Ivoire; [Balima, Larba Hubert; Nacoulma, Blandine Marie Ivette; Bayen, Philippe; Thiombiano, Adjima] Univ Joseph Ki Zerbo, Lab Plant Biol &amp; Ecol, 03 BP 7021, Ouagadougou 03, Burkina Faso</t>
  </si>
  <si>
    <t>Universite Felix Houphouet-Boigny; Universite Joseph Ki-Zerbo</t>
  </si>
  <si>
    <t>Balima, LH (corresponding author), Univ Felix Houphouet Boigny, WASCAL Grad Res Program Climate Change &amp; Biodiver, BP 165, Abidjan 31, Cote Ivoire.</t>
  </si>
  <si>
    <t>lhubertbalima@gmail.com; nblandine@gmail.com; phbayen@yahoo.fr; fnkouame3@gmail.com; adjima_thiombiano@yahoo.fr</t>
  </si>
  <si>
    <t>Kouamé, François/LKK-7398-2024; BALIMA, Larba/AGR-9734-2022; Nacoulma, Blandine Marie Ivette/AAJ-3125-2020; BAYEN, Philippe/HKF-5546-2023</t>
  </si>
  <si>
    <t>Kouamé, François N'Guessan/0000-0002-7396-6055; , Blandine/0000-0003-0689-0983; BALIMA, Larba Hubert/0000-0003-1799-9634; Philippe, Bayen/0000-0002-3620-4342</t>
  </si>
  <si>
    <t>German Federal Ministry of Education and Research (BMBF) through the West African Science Service Centre on Climate Change and Adapted Land Use (WASCAL) program</t>
  </si>
  <si>
    <t>German Federal Ministry of Education and Research (BMBF) through the West African Science Service Centre on Climate Change and Adapted Land Use (WASCAL) program(Federal Ministry of Education &amp; Research (BMBF))</t>
  </si>
  <si>
    <t>This study was fully supported by the German Federal Ministry of Education and Research (BMBF) through the West African Science Service Centre on Climate Change and Adapted Land Use (WASCAL) program. The funding contributed in the study design and data collection and analysis.</t>
  </si>
  <si>
    <t>2351-9894</t>
  </si>
  <si>
    <t>GLOB ECOL CONSERV</t>
  </si>
  <si>
    <t>Glob. Ecol. Conserv.</t>
  </si>
  <si>
    <t>e00875</t>
  </si>
  <si>
    <t>10.1016/j.gecco.2019.e00875</t>
  </si>
  <si>
    <t>KR7RT</t>
  </si>
  <si>
    <t>WOS:000517814100084</t>
  </si>
  <si>
    <t>Xu, CC; Chen, ZD; Ji, L; Lu, JF</t>
  </si>
  <si>
    <t>Xu Chunchun; Chen Zhongdu; Ji Long; Lu Jianfei</t>
  </si>
  <si>
    <t>Carbon and Nitrogen Footprints of Major Cereal Crop Production in China: A Study Based on Farm Management Surveys</t>
  </si>
  <si>
    <t>RICE SCIENCE</t>
  </si>
  <si>
    <t>carbon footprint; nitrogen footprint; life cycle assessment; grain crop; sustainability</t>
  </si>
  <si>
    <t>GREENHOUSE-GAS EMISSIONS; SOIL; INTENSITY; YIELD; GRAIN; N2O; SYSTEM; ENERGY; WHEAT</t>
  </si>
  <si>
    <t>Greenhouse gas (GHG) emissions and reactive nitrogen (Nr) releases are central environmental problems, which are closely linked to climate change, environmental ecology and crop production. Sustainable development of agriculture plays an important role in GHG emissions and Nr loss. The life cycle assessment (LCA) method was used to calculate the product and farm carbon footprints (CFs) and nitrogen footprints (NFs) in rice, wheat and maize production in China based on farm survey data. The results pinpointed that the CFs of rice, wheat and maize were 0.87, 0.30 and 0.24 kg/kg. Meanwhile, the computed NFs were 17.11, 14.26 and 6.83 g/kg, respectively. Synthetic nitrogen fertilizer applications and methane (CH4) emissions were dominant CF sources, while ammonia (NH3) volatilization was the main NF contributor. Moreover, significant decreases in CF and NF by 20%-54% and 33%-61%, respectively, were found in large-size farms (&gt; 20 hm(2)) when compared to small-size farms (&lt; 0.7 hm(2)). Furthermore, the significantly positive relationships between CF and NF indicated the potential for simultaneous mitigation in the regions with high agricultural inputs, like amounts of fertilizer. Based on our results, some effective solutions would be favorable toward mitigating climate change and eutrophication of the major cereal crop production in China, especially optimizing fertilizer use and farm machinery operation efficiencies, as well as developing large-size farms with intensive farming.</t>
  </si>
  <si>
    <t>[Xu Chunchun; Lu Jianfei] Yangzhou Univ, Coll Agr, Yangzhou 225009, Jiangsu, Peoples R China; [Xu Chunchun; Chen Zhongdu; Ji Long] China Natl Rice Res Inst, Hangzhou 310006, Peoples R China</t>
  </si>
  <si>
    <t>Yangzhou University; Chinese Academy of Agricultural Sciences; China National Rice Research Institute, CAAS</t>
  </si>
  <si>
    <t>Lu, JF (corresponding author), Yangzhou Univ, Coll Agr, Yangzhou 225009, Jiangsu, Peoples R China.</t>
  </si>
  <si>
    <t>jflu@yzu.edu.cn</t>
  </si>
  <si>
    <t>Natural Science Foundation of Zhejiang Province, China [LQ21C130002]; Engineering Science and Technology Development Strategy Consulting and Research Project of China [Js2019-zd01]; Central Public-Interest Scientific Institution Basal Research Fund of China [CPSIBRF-CNRRI-202130]</t>
  </si>
  <si>
    <t>Natural Science Foundation of Zhejiang Province, China(Natural Science Foundation of Zhejiang Province); Engineering Science and Technology Development Strategy Consulting and Research Project of China; Central Public-Interest Scientific Institution Basal Research Fund of China</t>
  </si>
  <si>
    <t>This study was supported by the Natural Science Foundation of Zhejiang Province, China (Grant No. LQ21C130002), the Engineering Science and Technology Development Strategy Consulting and Research Project of China (Grant No. Js2019-zd01), and the Central Public-Interest Scientific Institution Basal Research Fund of China (Grant No. CPSIBRF-CNRRI-202130). The authors thank Accdon, LCC for its linguistic assistance of this manuscript.</t>
  </si>
  <si>
    <t>1672-6308</t>
  </si>
  <si>
    <t>1876-4762</t>
  </si>
  <si>
    <t>RICE SCI</t>
  </si>
  <si>
    <t>Rice Sci.</t>
  </si>
  <si>
    <t>10.1016/j.rsci.2021.11.003</t>
  </si>
  <si>
    <t>5R2IC</t>
  </si>
  <si>
    <t>WOS:000874338300008</t>
  </si>
  <si>
    <t>Lantin, RM</t>
  </si>
  <si>
    <t>Lantin, Reynaldo M.</t>
  </si>
  <si>
    <t>Agricultural Mechanization in the Philippines, Part II Current Status</t>
  </si>
  <si>
    <t>Part I of the two-part article on agricultural mechanization in the Philippines provides the brief historical background of its development. The past colonial governments of Spain (1521 to 1898), which had focused on plantation crop production for supply of raw materials to the mother country and made the local inhabitants hewers of wood and drawers of water, and the US (1901 to 1946), which focused mostly on basic and soft profession education (teaching, law and medicine) and little in hard profession and technology education (agriculture, engineering and industry) had not transferred agricultural mechanization technologies early on and more importantly, had not established a culture base of entrepreneurship and manufacturing of power and machinery such as blacksmithing and foundry to support agriculture. Such historical developments have shaped the less risky and easier importation culture than local manufacture of the agricultural machinery at the expense of exports of raw agricultural and natural resource products. The foreign exchange revenues could have financed infrastructures and manufacturing equipment. The vision of President Quirino (1948-1953) to strengthen industrialization by initially protecting the fledgling industries that he encouraged to be established during his term was met with strong opposition lobby among the import oriented business sector of the time and led to his failure to get re-elected for a second term. What started out as an economic tiger in Asia, second only to Japan, resulted in the Philippines being a laggard among the newly industrializing countries because the succeeding administrations ignored his vision of an industrialized Philippines although President Marcos (1965-1986) and President Ramos (1992-1998) revived it, albeit partially during their terms. Part II discusses the current status of agricultural mechanization, which may lead to the formulation of strategies as provided by the Agriculture and Fisheries Mechanization (AFMech) Law of 2013, a landmark legislation that firms up the policy of modernizing Philippine agriculture through agricultural mechanization supported by the installation of institutional and physical infrastructures starting in the early 1970s. Industrialization for economic development is recommended as strategy to support agricultural development.</t>
  </si>
  <si>
    <t>[Lantin, Reynaldo M.] Univ Philippines Los Banos, Los Banos, Philippines</t>
  </si>
  <si>
    <t>University of the Philippines System; University of the Philippines Los Banos</t>
  </si>
  <si>
    <t>Lantin, RM (corresponding author), Univ Philippines Los Banos, Los Banos, Philippines.</t>
  </si>
  <si>
    <t>WOS:000376227000014</t>
  </si>
  <si>
    <t>Deng, XQ; Mao, LJ; Wu, YL; Tan, ZH; Feng, WZ; Zhang, YZ; Zhou, CF</t>
  </si>
  <si>
    <t>Deng, Xiaoqian; Mao, Longjiang; Wu, Yuling; Tan, Zhihai; Feng, Wanzhu; Zhang, Yuanzhi; Zhou, Chaofan</t>
  </si>
  <si>
    <t>Distribution and source of black carbon in coastal river sediments around Haizhou Bay, Eastern China: implications for anthropogenic inputs</t>
  </si>
  <si>
    <t>Black carbon; Grey correlation analysis; Char/soot; river sediments; Haizhou bay</t>
  </si>
  <si>
    <t>POLYCYCLIC AROMATIC-HYDROCARBONS; ELEMENTAL CARBON; SURFACE SEDIMENTS; ORGANIC-CARBON; POLYCHLORINATED-BIPHENYLS; HEAVY-METALS; SOILS; EMISSION; PAHS; SEA</t>
  </si>
  <si>
    <t>It is crucial to investigate the distribution and origin of black carbon (BC) in the environment for evaluating human inputs and developing pollution control strategies. This study analyzed BC in coastal river sediments from Haizhou Bay, Eastern China. The concentrations (dry weight) of the BC, char, soot, and total organic carbon (TOC) in coastal river sediments flowing into Haizhou Bay were 0.11-4.68, 0.06-4.24, 0.04-0.70, and 0.15-2.29 mg/g, respectively. Char and soot accounted for 38.54-90.70% and 9.30-61.46% of BC, with an average of 68.95% and 31.05%, respectively. The results show that the spatial variation of char was markedly presented in river sediment (108.27%), followed by that of BC (89.25%), TOC (58.69%), and soot (55.85%). The BC was mainly distributed in the Shawang River and the Shiliang River, soot was distributed primarily in the Shawang River, and char was mainly distributed in the Shiliang River. This finding supports the presence of anthropogenic activity sources in coastal rivers. The grey correlation analysis results show that industrial and agricultural activities greatly influenced BC emissions, as the influence degree of four socio-economic variables on BC contamination decreased as follows: regional total production value, population density, total agricultural production value, and total industrial production value. The chart soot ratio, an index to discriminate the source of BC contamination in sediments, was found to range from 0.63 to 9.75 with an average of 2.75. The result indicates that BC in Haizhou Bay was contributed from mixed sources including transportation emissions, fossil fuel combustion, and biomass combustion. The study demonstrates that BC could be an effective indicator for the degree and spatial distribution of organic pollutants in coastal river sediments.</t>
  </si>
  <si>
    <t>[Deng, Xiaoqian; Mao, Longjiang; Wu, Yuling; Zhang, Yuanzhi] Nanjing Univ Informat Sci &amp; Technol, Sch Marine Sci, Nanjing 210044, Peoples R China; [Tan, Zhihai; Feng, Wanzhu] Xian Polytech Univ, Sch Environm &amp; Chem Engn, Xian 710048, Peoples R China; [Zhou, Chaofan] Jiangsu Prov Environm Monitoring Ctr, Nanjing 210019, Peoples R China</t>
  </si>
  <si>
    <t>Nanjing University of Information Science &amp; Technology; Xi'an Polytechnic University</t>
  </si>
  <si>
    <t>Mao, LJ (corresponding author), Nanjing Univ Informat Sci &amp; Technol, Sch Marine Sci, Nanjing 210044, Peoples R China.</t>
  </si>
  <si>
    <t>mlj1214@163.com</t>
  </si>
  <si>
    <t>Wu, Yuling/AGX-5539-2022</t>
  </si>
  <si>
    <t>Jiangsu Province Department of Ecology and Environment bidding projects [JSZC320000-JSSJ-G2022-0007]; Marine Special Program of Jiangsu Province in China [JSZRHYKJ202007]; National Natural Science Foundation [U1901215]; National Natural Science Foundation of China [41771218, 41271228]; Open Project of Jiangsu Provincial Environmental Monitoring Center [2119]</t>
  </si>
  <si>
    <t>Jiangsu Province Department of Ecology and Environment bidding projects; Marine Special Program of Jiangsu Province in China; National Natural Science Foundation(National Natural Science Foundation of China (NSFC)); National Natural Science Foundation of China(National Natural Science Foundation of China (NSFC)); Open Project of Jiangsu Provincial Environmental Monitoring Center</t>
  </si>
  <si>
    <t>This study was financially supported by Jiangsu Province Department of Ecology and Environment bidding projects (JSZC320000-JSSJ-G2022-0007), the Marine Special Program of Jiangsu Province in China (JSZRHYKJ202007), the National Natural Science Foundation (U1901215), the National Natural Science Foundation of China (Nos. 41771218 and 41271228), and the Open Project of Jiangsu Provincial Environmental Monitoring Center (No. 2119, 2001).</t>
  </si>
  <si>
    <t>10.1007/s11356-022-23713-2</t>
  </si>
  <si>
    <t>F7RO5</t>
  </si>
  <si>
    <t>WOS:000870637200003</t>
  </si>
  <si>
    <t>Camargo-Alvarez, H; Bampoh, D; Mazzola, V; Alexander, P; Henry, R; Rabin, S; Rounsevell, M; Arneth, A</t>
  </si>
  <si>
    <t>Camargo-Alvarez, Hector; Bampoh, Daniel; Mazzola, Valeria; Alexander, Peter; Henry, Roslyn; Rabin, Sam; Rounsevell, Mark; Arneth, Almut</t>
  </si>
  <si>
    <t>Assessing the impact of strictly protecting 30%-50% of global land on carbon dynamics in natural and agricultural ecosystems</t>
  </si>
  <si>
    <t>PLANTS PEOPLE PLANET</t>
  </si>
  <si>
    <t>biodiversity; carbon storage; climate change; ecosystem services; land-use change; LPJ-GUESS; PLUM</t>
  </si>
  <si>
    <t>INTERCOMPARISON PROJECT SCENARIOMIP; GREENHOUSE-GAS EMISSIONS; CLIMATE; CO2</t>
  </si>
  <si>
    <t>Societal Impact StatementStrictly protected areas for nature conservation are a key policy to benefit biodiversity and climate change mitigation since reduced deforestation and ecosystem restoration enhance carbon stocks. However, there is controversy regarding their potential societal impacts, such as competition for land and food security. Here, we investigate the implications of protecting 30% and 50% of the global ice-free land surface on the spatiotemporal dynamics of ecosystem carbon uptake and losses, agricultural land use and synergies with food production. The study provides insights into the role of protected areas on the global terrestrial carbon store, contributing to climate change mitigation and biodiversity conservation efforts.Summary Agriculture and forestry use around half of the global ice-free land and are major drivers of biodiversity loss. For this reason, the post-2020 Global Biodiversity Framework of the Convention on Biological Diversity (CBD) targets at least 30% of protected global land by 2030. This study evaluates the impacts of different land-use change scenarios on the storage of carbon in terrestrial ecosystems and trade-offs and synergies in the global food production system by comparing a reference scenario with no additional protected area expansion targets and two scenarios with strict area-based protection targets of 30% and 50% of the ice-free land surface. A net global gain in carbon storage up to 110 PgC was projected for 2056-2060 in the protection scenarios compared to the reference scenario (equivalent to around 10 years of current global anthropogenic C emissions). However, regional disparities in carbon storage are large and include carbon losses in areas identified as having-at least on a decadal perspective-'irrecoverable' carbon. In the protection scenarios, cropland expansion in some regions is accompanied by intensification of production with an increase of up to 8% in the use of N fertiliser, which may lead to pollution and additional greenhouse gas emissions.</t>
  </si>
  <si>
    <t>[Camargo-Alvarez, Hector; Bampoh, Daniel; Mazzola, Valeria; Rounsevell, Mark; Arneth, Almut] Karlsruhe Inst Technol, Inst Meteorol &amp; Climate Res, Atmospher Environm Res, Garmisch Partenkirchen, Germany; [Alexander, Peter; Henry, Roslyn; Rounsevell, Mark] Univ Edinburgh, Sch Geosci, Edinburgh, Scotland; [Alexander, Peter] Univ Edinburgh, Global Acad Agr &amp; Food Secur, Royal Dick Sch Vet Studies, Edinburgh, Midlothian, Scotland; [Alexander, Peter] Univ Edinburgh, Roslin Inst, Edinburgh, Midlothian, Scotland; [Henry, Roslyn] Univ Aberdeen, Kings Coll, Inst Biol Sci, Aberdeen, Scotland; [Rabin, Sam] NSF Natl Ctr Atmospher Res, Climate &amp; Global Dynam Lab, Boulder, CO USA; [Rounsevell, Mark; Arneth, Almut] Karlsruhe Inst Technol, Dept Geog &amp; Geoecol IFGG, Karlsruhe, Germany</t>
  </si>
  <si>
    <t>Helmholtz Association; Karlsruhe Institute of Technology; University of Edinburgh; University of Edinburgh; University of Edinburgh; UK Research &amp; Innovation (UKRI); Biotechnology and Biological Sciences Research Council (BBSRC); Roslin Institute; University of Aberdeen; Helmholtz Association; Karlsruhe Institute of Technology</t>
  </si>
  <si>
    <t>Bampoh, D (corresponding author), Karlsruhe Inst Technol, Inst Meteorol &amp; Climate Res, Atmospher Environm Res, Garmisch Partenkirchen, Germany.</t>
  </si>
  <si>
    <t>daniel.bampoh@kit.edu</t>
  </si>
  <si>
    <t>; Alexander, Peter/AGE-8260-2022; Rabin, Sam/P-3602-2019; Rounsevell, Mark/AAC-4498-2021; Mazzola, Valeria/JOZ-9159-2023</t>
  </si>
  <si>
    <t>Rounsevell, Mark/0000-0001-7476-9398; Arneth, Almut/0000-0001-6616-0822; Henry, Roslyn/0000-0003-2942-6753; Alexander, Peter/0000-0001-6010-1186; Camargo-Alvarez, Hector/0000-0002-8556-7633; Rabin, Sam/0000-0003-4095-1129; Mazzola, Valeria/0000-0003-3906-9876</t>
  </si>
  <si>
    <t>Helmholtz Association; Alexander von Humboldt Stiftung; UK's Global Food Security Programme Project Resilience of the UK food system to Global Shocks</t>
  </si>
  <si>
    <t>Helmholtz Association(Helmholtz Association); Alexander von Humboldt Stiftung(Alexander von Humboldt Foundation); UK's Global Food Security Programme Project Resilience of the UK food system to Global Shocks</t>
  </si>
  <si>
    <t>HC acknowledges funding from Alexander von Humboldt Stiftung, AA, and MR acknowledge support through the Helmholtz Association. RH and PA were supported by the UK's Global Food Security Programme Project Resilience of the UK food system to Global Shocks. Open Access funding enabled and organized by Projekt DEAL.</t>
  </si>
  <si>
    <t>2572-2611</t>
  </si>
  <si>
    <t>Plants People Planet</t>
  </si>
  <si>
    <t>10.1002/ppp3.10612</t>
  </si>
  <si>
    <t>Biodiversity Conservation; Plant Sciences; Ecology</t>
  </si>
  <si>
    <t>Biodiversity &amp; Conservation; Plant Sciences; Environmental Sciences &amp; Ecology</t>
  </si>
  <si>
    <t>3VU0K</t>
  </si>
  <si>
    <t>WOS:001362418700001</t>
  </si>
  <si>
    <t>Chen, XH; Xu, XZ; Lu, ZY; Zhang, WQ; Yang, JC; Hou, Y; Wang, XZ; Zhou, SG; Li, Y; Wu, LQ; Zhang, FS</t>
  </si>
  <si>
    <t>Chen, Xiaohui; Xu, Xiuzhu; Lu, Zhenya; Zhang, Weiqiang; Yang, Jinchang; Hou, Yong; Wang, Xiaozhong; Zhou, Shungui; Li, Yan; Wu, Liangquan; Zhang, Fusuo</t>
  </si>
  <si>
    <t>Carbon footprint of a typical pomelo production region in China based on farm survey data</t>
  </si>
  <si>
    <t>Carbon footprint; Greenhouse gas emission; Carbon sequestration; Carbon efficiency; Greenhouse gas mitigation; Nitrogen management</t>
  </si>
  <si>
    <t>GREENHOUSE-GAS EMISSIONS; LIFE-CYCLE ASSESSMENT; CROP PRODUCTION; TOMATO PRODUCTION; PRODUCTION SYSTEMS; FERTILIZER APPLICATION; ENVIRONMENTAL-IMPACT; N2O EMISSION; STRAW RETURN; INPUT COSTS</t>
  </si>
  <si>
    <t>Greenhouse gas emissions are a central environmental concern in China, and quantifying the carbon footprint of crop production can help identify key options for mitigating greenhouse gas emissions from agriculture. Using two-year farm survey data from a typical pomelo production area in China, the carbon footprint of a pomelo orchard was assessed by quantifying the greenhouse gas emissions from farming inputs and operations with a full life cycle assessment methodology. The carbon emission and carbon sequestration levels were 19.9 and 3.43 t CO2 eq ha(-1), respectively. The farm carbon footprint and product carbon footprint were 16.5 t CO2 eq ha(-1) and 0.33 t CO2 eq t(-1), respectively, which were 3.8 and 1.5 times greater than the corresponding mean values for other fruit orchards in different areas of the world. Compared with farms with low yield and high carbon footprint, farms with high yield and low carbon footprint reduced nitrogen fertilizer input significantly, by 44.7%. Furthermore, the yield of farms which with high yield and low carbon footprint increased significantly by 69.4%, and the farm carbon footprint and product carbon footprint significantly decreased by 40.7% and 67.2%, respectively, compared to those of farms with low yield and high carbon footprint. The synthetic nitrogen fertilizer application rate was significantly linearly correlated with, and contributed 84.7% to the carbon footprint of pomelo production. The relationships between the carbon footprint and the nitrogen partial factor productivity also indicated that improving nitrogen utilization can effectively reduce greenhouse gas emissions. In addition, based on group analysis, the difference in carbon footprint among farm groups was also mainly due to nitrogen fertilization. Reducing costs can significantly improve carbon efficiency without affecting the economic benefit at similar yield levels. Therefore, the carbon intensity of pomelo production in China could be reduced primarily by reducing excessive nitrogen fertilizer application and potentially increasing nitrogen use efficiency. Apart from this, these differences could be implemented by modifying farming fertilization strategies and farm size. Overall, this study highlights the importance of strengthening nitrogen management in pomelo production based on agricultural practices as well as upscaling farm size, which could achieve higher yields with lower greenhouse gas emissions and thereby avoid tradeoffs between productivity and carbon costs. (C) 2020 Elsevier Ltd. All rights reserved.</t>
  </si>
  <si>
    <t>[Chen, Xiaohui; Xu, Xiuzhu; Zhang, Weiqiang; Yang, Jinchang; Wu, Liangquan; Zhang, Fusuo] Fujian Agr &amp; Forestry Univ, Coll Resources &amp; Environm, Int Magnesium Inst, Fuzhou 35002, Peoples R China; [Chen, Xiaohui; Zhou, Shungui; Li, Yan] Fujian Agr &amp; Forestry Univ, Coll Resources &amp; Environm, Fujian Prov Key Lab Soil Environm Hlth &amp; Regulat, Fuzhou 350002, Peoples R China; [Lu, Zhenya; Hou, Yong; Zhang, Fusuo] China Agr Univ, Natl Acad Agr Green Dev, Coll Resources &amp; Environm Sci, Key Lab Plant Soil Interact,Minist Educ, Beijing 100193, Peoples R China; [Wang, Xiaozhong] Southwest Univ, Coll Resources &amp; Environm, Chongqing 400716, Peoples R China</t>
  </si>
  <si>
    <t>Fujian Agriculture &amp; Forestry University; Fujian Agriculture &amp; Forestry University; China Agricultural University; Southwest University - China</t>
  </si>
  <si>
    <t>Wu, LQ (corresponding author), Fujian Agr &amp; Forestry Univ, Coll Resources &amp; Environm, Int Magnesium Inst, Fuzhou 35002, Peoples R China.</t>
  </si>
  <si>
    <t>liangquan01@163.com</t>
  </si>
  <si>
    <t>Zhang, Fusuo/AAV-4517-2021; Yang, JC/MHQ-5926-2025; zhang, weiqiang/U-7999-2017; Zhou, Shungui/B-3581-2012; Chen, Xiaohui/AAX-2600-2021; Wu, Liangquan/NIU-5156-2025; chen, xiaohui/AAX-2600-2021</t>
  </si>
  <si>
    <t>Chen, Xiaohui/0000-0001-7672-0432;</t>
  </si>
  <si>
    <t>National Key R&amp;D Program of China [2016YFD0200400/2016YFD0200401]; National Citrus Production System in China [CARS-26-01A]</t>
  </si>
  <si>
    <t>National Key R&amp;D Program of China; National Citrus Production System in China</t>
  </si>
  <si>
    <t>This study was supported by National Key R&amp;D Program of China (2016YFD0200400/2016YFD0200401) and the National Citrus Production System in China (CARS-26-01A). We thank Pro. Mingkuang Wang of National Taiwan University for his assistance in the process of manuscript rework. We also thank the students of Fujian Agriculture and Forestry University for taking part in the survey work.</t>
  </si>
  <si>
    <t>DEC 20</t>
  </si>
  <si>
    <t>10.1016/j.jclepro.2020.124041</t>
  </si>
  <si>
    <t>ON8AX</t>
  </si>
  <si>
    <t>WOS:000586917600177</t>
  </si>
  <si>
    <t>Aruna, M; Nagabhooshanam, N; Kumar, R; Chahar, M; Sudhakar, T; Murthy, NBCSN; Maranan, R; Murali, M; Sathiyamurthy, S</t>
  </si>
  <si>
    <t>Aruna, M.; Nagabhooshanam, N.; Kumar, Rintu; Chahar, Mamata; Sudhakar, T.; Murthy, N. B. C. S. N.; Maranan, Ramya; Murali, M.; Sathiyamurthy, S.</t>
  </si>
  <si>
    <t>Carbon-based nanofertilizers from marine biowaste: Innovations, applications, and sustainable nanoengineering strategies</t>
  </si>
  <si>
    <t>JOURNAL OF ENVIRONMENTAL CHEMICAL ENGINEERING</t>
  </si>
  <si>
    <t>Carbon-Based Nanofertilizers; Marine Biowaste Valorization; Sustainable Agriculture; Nanomaterial Synthesis; Nutrient Use Efficiency</t>
  </si>
  <si>
    <t>WASTE</t>
  </si>
  <si>
    <t>The intensifying pressures on global food systems, stemming from climate change, soil degradation, and population growth, underscore the need for implementing sustainable nutrient management practices. Conventional fertilizers, although crucial for achieving high agricultural yields, substantially contribute to nitrogen runoff, groundwater pollution, and the emission of greenhouse gases. Carbon-based nanofertilizers (CBNFs) derived from marine biowaste offer an innovative solution, facilitating controlled nutrient release, enhanced nutrient uptake efficiency, and a reduced environmental impact. Marine biowaste, including crustacean shells, fish scales, mollusk exoskeletons, and macroalgae, is abundantly available. It is rich in chitin, proteins, and polysaccharides, rendering it a feasible carbon source for the synthesis of nanostructures such as carbon dots, graphene oxide, and nano-biochar. Recent advancements in microwave-assisted pyrolysis, hydrothermal carbonization, and solvothermal techniques have facilitated the effective transformation of these waste streams into functionalized carbon nanomaterials (CNMs) characterized by high surface area (&gt;500 m(2)/g), adjustable porosity (2-50 nm), and enhanced nutrient-loading capabilities. Empirical research indicates that CBNFs can enhance nitrogen use efficiency (NUE) by as much as 40 % and increase phosphorus bioavailability by 28-35 %, while simultaneously elevating crop yields by 16-25 % across the cultivation of maize, rice, and tomatoes. Moreover, nanoengineering strategies, such as surface doping with nitrogen or sulfur, along with encapsulation in biopolymer matrices like chitosan and alginate, enable the release of moisture-sensitive and pH-responsive nutrients. This review meticulously evaluates the potential of marine biowaste-derived CBNFs within the context of sustainable agriculture, scrutinizing synthesis pathways, nanobio interactions, environmental implications, scalability challenges, and regulatory hurdles. The incorporation of these nanofertilizers into circular bioeconomy frameworks may significantly alleviate agro-waste burdens and foster climate-resilient agricultural systems.</t>
  </si>
  <si>
    <t>[Aruna, M.] Liwa Univ, Coll Business, Dept Ind Management, Abu Dhabi, U Arab Emirates; [Nagabhooshanam, N.] Aditya Univ, Dept Mech Engn, Surampalem 533437, Andhra Pradesh, India; [Nagabhooshanam, N.] GLA Univ, Inst Engn &amp; Technol, Dept Mech Engn, Mathura 281406, Uttar Pradesh, India; [Kumar, Rintu] IES Univ, IES Inst Technol &amp; Management, Dept Mech Engn, Bhopal 462044, Madhya Pradesh, India; [Chahar, Mamata] NIMS Univ Rajasthan, NIMS Inst Engn &amp; Technol, Dept Appl Sci Chem, Jaipur 303121, India; [Sudhakar, T.] Sathyabama Inst Sci &amp; Technol, Dept Biomed, Chennai, Tamil Nadu, India; [Murthy, N. B. C. S. N.] Aditya Degree &amp; PG Coll A, Dept Comp Sci, Kakinada 533003, Andhra Pradesh, India; [Maranan, Ramya] Lovely Profess Univ, Div Res &amp; Dev, Jalandhar Delhi GT Rd, Phagwara 144411, Punjab, India; [Murali, M.] Saveetha Inst Med &amp; Tech Sci SIMATS, Saveetha Sch Engn, Dept Mech Engn, Chennai 602105, Tamil Nadu, India; [Sathiyamurthy, S.] Easwari Engn Coll, Dept Mech Engn, Chennai 600089, Tamil Nadu, India</t>
  </si>
  <si>
    <t>GLA University; Sathyabama Institute of Science &amp; Technology; Lovely Professional University; Saveetha Institute of Medical &amp; Technical Science; Saveetha School of Engineering; Easwari Engineering College</t>
  </si>
  <si>
    <t>Murali, M (corresponding author), Saveetha Inst Med &amp; Tech Sci SIMATS, Saveetha Sch Engn, Dept Mech Engn, Chennai 602105, Tamil Nadu, India.</t>
  </si>
  <si>
    <t>aruna.Pugalenthi@lu.ac.ae; nagabhooshanamn@aec.edu.in; rintu.research@iesuniversity.ac.in; mamata.chahar1@nimsuniversity.org; sudhakar.biomed@sathyabama.ac.in; murthycsn62@outlook.com; ramyalpu@yahoo.com; muralisimats@gmail.com; ssathya1978@gmail.com</t>
  </si>
  <si>
    <t>2213-2929</t>
  </si>
  <si>
    <t>2213-3437</t>
  </si>
  <si>
    <t>J ENVIRON CHEM ENG</t>
  </si>
  <si>
    <t>J. Environ. Chem. Eng.</t>
  </si>
  <si>
    <t>10.1016/j.jece.2025.118880</t>
  </si>
  <si>
    <t>6ZL0L</t>
  </si>
  <si>
    <t>WOS:001565681300012</t>
  </si>
  <si>
    <t>Du, XZ; Hao, M; Guo, LJ; Li, SH; Hu, WL; Sheng, F; Li, CF</t>
  </si>
  <si>
    <t>Du, Xue-zhu; Hao, Mian; Guo, Li-jin; Li, Shi-hao; Hu, Wan-ling; Sheng, Feng; Li, Cheng-fang</t>
  </si>
  <si>
    <t>Integrated assessment of carbon footprint and economic profit from paddy fields under microbial decaying agents with diverse water regimes in central China</t>
  </si>
  <si>
    <t>Agricultural input; Alternation of wetting and drying; Carbon footprint; Microbial decomposing agent; Net ecosystem economic profit</t>
  </si>
  <si>
    <t>GREENHOUSE-GAS EMISSIONS; NITROUS-OXIDE EMISSIONS; RICE CROPPING SYSTEMS; SAVING IRRIGATION; METHANE EMISSION; NO-TILL; MANAGEMENT; YIELD; DECOMPOSITION; ROTATION</t>
  </si>
  <si>
    <t>Numerous studies have reported effects of straws with microbial decaying agents on greenhouse gas emissions from rice fields. However, studies regarding the effects of microbial decaying agents on carbon footprint and economic profit under diverse water regimes remained unclear. A two-factor field experiment was adopted to assess effects of different straw treatments (straw returning alone abbreviated as S, and straw returning with microbial decaying agent abbreviated as SMD) on CH4 and N2O emissions, rice yield, carbon footprint, economic profit and net ecosystem economic profit (NEEP) from paddy field under different water regimes (continuous flooding abbreviated as F, and alternation of wetting and drying abbreviated as AWD) in central China. Compared with S treatment, SMD treatment significantly enhanced the crop water productivity by 7.9%-8.4% and the rice yield by 7.3%-7.7%. Though SMD treatment increased the economic profit by 9.9%-18.5%, and the NEEP by 9.6%-18.0% relative to S treatment, it also resulted in higher the CH4 emissions by 12.7%-32.4% and global warming potential by 11.2%-21.5% regardless of water regimes. Water regimes had significant effects on the crop water productivity, rice yield, CH4 and N2O emissions, global warming potential, economic profit, NEEP and carbon footprint. Compared with F treatment, AWD treatment improved the crop water productivity by 51.7%-79.4%, maintained rice yield, increased N2O emissions by 17.7%-40.0%, and mitigated CH(4 )emissions by 33.2%-75.1%, which therefore resulted in lower global warming potential by 31.5%-69.8% and carbon footprint by 32.7%-66.0%. Moreover, AWD treatment significantly increased the economic profit by 25.4%-41.9% and the NEEP by 28.8%-46.6% relative to F treatment. Overall, the straw incorporated with microbial decaying agents is not an environmental friendly practice for the tradeoff of mitigation of CH4 emissions and increase in economic profit. It is necessary to further optimize straw treatment for mitigating CH4 emissions in order to develop rice sustainable production.</t>
  </si>
  <si>
    <t>[Du, Xue-zhu; Hao, Mian; Li, Shi-hao; Hu, Wan-ling; Sheng, Feng] Hubei Univ, Res Ctr China Agr Carbon Emiss Reduct &amp; Carbon Exc, Sch Life Sci, State Key Lab Biocatalysis &amp; Enzyme Engn, Wuhan 430062, Hubei, Peoples R China; [Li, Shi-hao; Li, Cheng-fang] Huazhong Agr Univ, Coll Plant Sci &amp; Technol, MOA Key Lab Crop Ecophysiol &amp; Farming Syst Middle, Wuhan 430070, Peoples R China; [Guo, Li-jin] Hainan Univ, Sch Forestry, Key Lab Genet &amp; Germplasm Innovat Trop Special For, Minist Educ, Haikou 570228, Peoples R China; [Li, Cheng-fang] Yangtze Univ, Hubei Collaborat Innovat Ctr Grain Ind, Jingzhou 434023, Hubei, Peoples R China</t>
  </si>
  <si>
    <t>Hubei University; Hainan University; Yangtze University</t>
  </si>
  <si>
    <t>Sheng, F (corresponding author), Hubei Univ, Res Ctr China Agr Carbon Emiss Reduct &amp; Carbon Exc, Sch Life Sci, State Key Lab Biocatalysis &amp; Enzyme Engn, Wuhan 430062, Hubei, Peoples R China.;Li, CF (corresponding author), Huazhong Agr Univ, Coll Plant Sci &amp; Technol, MOA Key Lab Crop Ecophysiol &amp; Farming Syst Middle, Wuhan 430070, Peoples R China.</t>
  </si>
  <si>
    <t>shengfsk@163.com; lichengfang@126.com</t>
  </si>
  <si>
    <t>Sheng, Feng/AAV-7993-2020; Hu, Wanling/E-9066-2017</t>
  </si>
  <si>
    <t>Fundamental Research Funds for the Central Universities [2662019FW009]; Major Projects of Technological Innovation in Hubei Province [2018ABA080, 2020BBB052]; National Natural Science Foundation of China [71871086]; Natural Science Foundation of Hubei Province [2018CFB608, 2019CFA027]</t>
  </si>
  <si>
    <t>Fundamental Research Funds for the Central Universities(Fundamental Research Funds for the Central Universities); Major Projects of Technological Innovation in Hubei Province; National Natural Science Foundation of China(National Natural Science Foundation of China (NSFC)); Natural Science Foundation of Hubei Province(Natural Science Foundation of Hubei Province)</t>
  </si>
  <si>
    <t>This research was funded by the Fundamental Research Funds for the Central Universities (2662019FW009) , Major Projects of Technological Innovation in Hubei Province (2018ABA080, 2020BBB052) , the National Natural Science Foundation of China (71871086) , and the Natural Science Foundation of Hubei Province (2018CFB608, 2019CFA027) .</t>
  </si>
  <si>
    <t>MAR 31</t>
  </si>
  <si>
    <t>10.1016/j.agwat.2021.107403</t>
  </si>
  <si>
    <t>0W1KZ</t>
  </si>
  <si>
    <t>WOS:000788796200001</t>
  </si>
  <si>
    <t>Koparde, SV; Nille, OS; Kolekar, AG; Kamble, PA; Tiwari, AP; Kolekar, GB; Pawar, SP</t>
  </si>
  <si>
    <t>Koparde, Sneha, V; Nille, Omkar S.; Kolekar, Akanksha G.; Kamble, Pranoti A.; Tiwari, Arpita Pandey; Kolekar, Govind B.; Pawar, Samadhan P.</t>
  </si>
  <si>
    <t>Transforming waste into multifunctional nanomaterials: Mg-doped carbon dots from cow dung for Y(III) detection and biomedical applications</t>
  </si>
  <si>
    <t>INORGANIC CHEMISTRY COMMUNICATIONS</t>
  </si>
  <si>
    <t>Cow Dung; Agricultural Waste Upcycling; Doped Carbon Dots; Fluorescence Sensing; Rare Earth Metal Ion Sensing; Environmental Remediation</t>
  </si>
  <si>
    <t>FLUORESCENT-PROBE; D-PENICILLAMINE; SENSOR; IONS; Y3+</t>
  </si>
  <si>
    <t>Rare earth metal Yttrium (Y3+) plays a vital role in many electronic devices however, discarding these devices eventually contaminates the environmental sources. Herein, we have developed a Mg-doped carbon dots (MCDs) as a fluorescent probe for selective and sensitive determination of Y3+ in water bodies. The M-CDs having maximum emission at 420 nm upon 310 nm excitation with 20 % quantum yield and which was synthesized from upcycling of agricultural waste i.e., cow dung by simple carbonization followed by hydrothermal method. M-CDs were confirmed using different analytical and characterization techniques as well as stable in different pH and ionic strength solutions. The M-CDs was highly selective towards Y3+ ions over different metal ions with significant blue shift. This fluorescent probe performs a good linear relationship between the different concentrations of Y3+ ion and fluorescence intensity (R2 = 0.99) within the range of 0.2 to 20 mu g/mL with a detection limit of 0.019 mu g/mL. The study indicates quenching of Y3+ was result of dynamic quenching and the Inner Filter Effect (IFE) effect. Also, the cytotoxicity of M-CDs was checked via CAM assay and significant growth in blood vascularization with healthy growth of chick embryo confirmed the M-CDs were biocompatible. The nontoxic MCDs was employed for MCF-7 breast cancer cell imaging which gives bright blue fluoresce under UV light excitation. Further, aiming to a circular economy approach the residual carbon remaining after hydrothermal was used as reactivated carbon for the abatement of environmental pollutants. The sustainable, cost-effective and agricultural waste-derived Mg-doped CDs have potential applications in analytical, environmental, forensic as well as biomedical fields.</t>
  </si>
  <si>
    <t>[Koparde, Sneha, V; Nille, Omkar S.; Kolekar, Akanksha G.; Kolekar, Govind B.; Pawar, Samadhan P.] Shivaji Univ, Fluorescence Spect Res Lab, Dept Chem, Kolhapur 416004, MS, India; [Koparde, Sneha, V; Pawar, Samadhan P.] Rajarshi Chhatrapati Shahu Coll, Dept Chem, Kolhapur 416003, Maharashtra, India; [Kamble, Pranoti A.; Tiwari, Arpita Pandey] DY Patil Educ Soc Deemed Univ, Dept Med Biotechnol &amp; Stem Cell &amp; Regenerat Med, Kolhapur 416006, Maharashtra, India</t>
  </si>
  <si>
    <t>Shivaji University</t>
  </si>
  <si>
    <t>Pawar, SP (corresponding author), Rajarshi Chhatrapati Shahu Coll, Dept Chem, Kolhapur 416003, Maharashtra, India.;Kolekar, GB (corresponding author), Shivaji Univ, Dept Chem, Kolhapur 416004, Maharashtra, India.</t>
  </si>
  <si>
    <t>gbk_chem@unishivaji.ac.in; sampawar1987@gmail.com</t>
  </si>
  <si>
    <t>Nille, Omkar/LRU-5556-2024; Tiwari, Arpita/AFA-1276-2022</t>
  </si>
  <si>
    <t>Mahatma Jyotiba Phule Research and Training Institute (MAHAJYOTI) , Maharashtra State [MAHAJYOTI/2022/Ph.D Fellow/1002 (909)]</t>
  </si>
  <si>
    <t>Mahatma Jyotiba Phule Research and Training Institute (MAHAJYOTI) , Maharashtra State</t>
  </si>
  <si>
    <t>The Author gratefully acknowledge, Mahatma Jyotiba Phule Research and Training Institute (MAHAJYOTI) , Maharashtra State (MAHAJYOTI/2022/Ph.D Fellow/1002 (909) for providing Financial support, Shivaji University, Kolhapur (MS) , India and Rajarshi Chhatrapati Shahu College, Kolhapur (MS) , India for providing lab facilities and Department of Medical Biotechnology and Stem Cell and Regener-ative Medicine, D. Y. Patil Education Society for biological application.</t>
  </si>
  <si>
    <t>1387-7003</t>
  </si>
  <si>
    <t>1879-0259</t>
  </si>
  <si>
    <t>INORG CHEM COMMUN</t>
  </si>
  <si>
    <t>Inorg. Chem. Commun.</t>
  </si>
  <si>
    <t>10.1016/j.inoche.2024.113357</t>
  </si>
  <si>
    <t>Chemistry, Inorganic &amp; Nuclear</t>
  </si>
  <si>
    <t>L1X1R</t>
  </si>
  <si>
    <t>WOS:001348711100001</t>
  </si>
  <si>
    <t>Badagliacca, G; Benítez, E; Amato, G; Badalucco, L; Giambalvo, D; Laudicina, VA; Ruisi, P</t>
  </si>
  <si>
    <t>Badagliacca, Giuseppe; Benitez, Emilio; Amato, Gaetano; Badalucco, Luigi; Giambalvo, Dario; Laudicina, Vito Armando; Ruisi, Paolo</t>
  </si>
  <si>
    <t>Long-term effects of contrasting tillage on soil organic carbon, nitrous oxide and ammonia emissions in a Mediterranean Vertisol under different crop sequences</t>
  </si>
  <si>
    <t>No tillage; Greenhouse gas emissions; Carbon stock; nosZ gene; Mediterranean environment; Wheat</t>
  </si>
  <si>
    <t>GREENHOUSE-GAS EMISSIONS; NO-TILLAGE; N2O EMISSIONS; MICROBIAL BIOMASS; CONVENTIONAL TILLAGE; AGRICULTURAL SOILS; GRAIN-YIELD; SYSTEMS; DENITRIFICATION; VOLATILIZATION</t>
  </si>
  <si>
    <t>This 2-year study aimed to verify whether the continuous application of no tillage (NT) for over 20 years, in comparison with conventional tillage (CT), affects nitrous oxide (N2O) and ammonia (NH3) emissions froma Vertisol and, if so, whether such an effect varies with crop sequence (continuous wheat, WWand wheat after faba bean, FW). To shed light on the mechanisms involved in determining N-gas emissions, soil bulk density, water filled pore space (WFPS), some carbon (C) and nitrogen (N) pools, denitrifying enzyme activity (DEA), and nitrous oxide reductase gene abundance (nosZ gene) were also assessed at 0-15 and 15-30 cm soil depth. Tillage system had no significant effect on total NH3 emissions. On average, total N2O emissions were higher under NT (2.45 kg N2O-N ha(-1)) than CT (1.72 kg N2O-N ha(-1)), being the differences between the two tillage systems greater in FWthanWW. The higher N2O emissions in NT treatments were ascribed to the increased bulk density, WFPS, and extractable organic C under NT compared to CT, all factors that generally promote the production of N2O. Moreover, compared to CT, NT enhanced the potential DEA (114 vs 16 mu g N kg(-1) h(-1)) and nosZ gene abundance (116 vs 69 copy number mg(-1) dry soil) in the topsoil. Finally, NT compared to CT led to an average annual increase in C stock of 0.70 Mg C ha(-1) year(-1). Though NT can increase the amount os soil organic matter so storing CO2 into soil, some criticisms related to the increase of N2O emission arise, thereby suggesting the need for defining management strategies to mitigate such a negative effect. (c) 2017 Elsevier B.V. All rights reserved.</t>
  </si>
  <si>
    <t>[Badagliacca, Giuseppe; Amato, Gaetano; Badalucco, Luigi; Giambalvo, Dario; Laudicina, Vito Armando; Ruisi, Paolo] Univ Palermo, Dipartimento Sci Agr Alimentari &amp; Forestali, Viale Sci, I-90128 Palermo, Italy; [Badagliacca, Giuseppe] Univ Mediterranea Reggio Calabria, Dipartimento Agr, I-89124 Reggio Di Calabria, Italy; [Benitez, Emilio] CSIC, Dept Protecc Ambiental, EEZ, Calle Prof Albareda 1, E-18008 Granada, Spain</t>
  </si>
  <si>
    <t>University of Palermo; Universita Mediterranea di Reggio Calabria; Consejo Superior de Investigaciones Cientificas (CSIC); CSIC - Estacion Experimental del Zaidin (EEZ)</t>
  </si>
  <si>
    <t>Laudicina, VA (corresponding author), Univ Palermo, Dipartimento Sci Agr Alimentari &amp; Forestali, Viale Sci, I-90128 Palermo, Italy.</t>
  </si>
  <si>
    <t>vitoarmando.laudicina@unipa.it</t>
  </si>
  <si>
    <t>Amato, Gaetano/AAT-2213-2020; Laudicina, Vito Armando/F-8187-2015; Benitez, Emilio/L-3110-2014; Giambalvo, Dario/I-5869-2012; Badalucco, Luigi/P-5130-2017; Amato, Gaetano/E-1105-2011; BADAGLIACCA, Giuseppe/I-4949-2019; Laudicina, Vito/F-8187-2015; Ruisi, Paolo/L-9337-2015</t>
  </si>
  <si>
    <t>Laudicina, Vito Armando/0000-0002-5531-0669; Giambalvo, Dario/0000-0003-0267-698X; Badalucco, Luigi/0000-0002-6951-7011; Amato, Gaetano/0000-0003-0660-7594; Ruisi, Paolo/0000-0002-5807-6986; Benitez, Emilio/0000-0002-8435-066X; BADAGLIACCA, Giuseppe/0000-0002-7688-6210</t>
  </si>
  <si>
    <t>Italian Ministry for Education, University, and Research (MIUR) [PON/01_01145]</t>
  </si>
  <si>
    <t>Italian Ministry for Education, University, and Research (MIUR)(Ministry of Education, Universities and Research (MIUR))</t>
  </si>
  <si>
    <t>We thank Beatriz Moreno (CSIC-EEZ) and Vincenzo Cannella (Universita degli Studi di Palermo) for technical advice and support. This work was funded by the Italian Ministry for Education, University, and Research (MIUR) to Fondazione Angelo e Salvatore Lima Mancuso (Universita degli Studi di Palermo) - PON/01_01145 Project - ISCOCEM.</t>
  </si>
  <si>
    <t>10.1016/j.scitotenv.2017.11.116</t>
  </si>
  <si>
    <t>FU8ZA</t>
  </si>
  <si>
    <t>WOS:000424144200003</t>
  </si>
  <si>
    <t>Xue, JF; Liu, SL; Chen, ZD; Chen, F; Lal, R; Tang, HM; Zhang, HL</t>
  </si>
  <si>
    <t>Xue, Jian-Fu; Liu, Sheng-Li; Chen, Zhong-Du; Chen, Fu; Lal, Rattan; Tang, Hai-Ming; Zhang, Hai-Lin</t>
  </si>
  <si>
    <t>Assessment of carbon sustainability under different tillage systems in a double rice cropping system in Southern China</t>
  </si>
  <si>
    <t>Carbon footprint; Carbon sustainability; Conservation tillage; Ecosystem services; Paddy soils; Southern China</t>
  </si>
  <si>
    <t>ECOSYSTEM SERVICES; SOIL CARBON; CONSERVATION AGRICULTURE; SEQUESTRATION; EMISSIONS; FRAMEWORK; FOOTPRINT; WHEAT; LCA</t>
  </si>
  <si>
    <t>Adoption of the carbon (C)-friendly and cleaner technology is an effective solution to offset some of the anthropogenic emissions. Conservation tillage is widely considered as an important sustainable technology and for the development of conservation agriculture (CA). Thus, the objective of this study was to assess the C sustainability of different tillage systems in a double rice (Oryza sativa L.) cropping system in southern China. The experiment was established with no-till (NT), rotary tillage (RT), and conventional tillage (CT) treatments since 2005. Emission of greenhouse gasses (GHG), C footprint (CF), and ecosystem service through C sequestration in different tillage systems were compared. Emission of GHG from agricultural inputs (Mg CO2-eq ha(-1) year(-1)) ranged from 1.81 to 1.97 for the early rice, 1.82 to 1.98 for the late rice, and 3.63 to 3.95 for the whole growing season, respectively. The CF (kg CO2-eq kg(-1) of rice year(-1)) in the whole growing seasons were 1.27, 1.85, and 1.40 [excluding soil organic carbon (SOC) storage] and 0.54, 1.20, and 0.72 (including SOC storage) for NT, RT, and CT, respectively. The value of ecosystem services on C sequestration for the whole growing seasons ranged from Ayen3,353 to 4,948 ha(-1) year(-1) and followed the order of NT &gt; CT &gt; RT. The C sustainability under NT was better than that under RT for the late, but reversed for the early rice. However, NT system had better C sustainability for the whole cropping system compared with CT. Therefore, NT is a preferred technology to reduce GHG emissions, increase ecosystem service functions of C sequestration, and improve C sustainability in a double rice cropping region of Southern China.</t>
  </si>
  <si>
    <t>[Xue, Jian-Fu; Liu, Sheng-Li; Chen, Zhong-Du; Chen, Fu; Zhang, Hai-Lin] China Agr Univ, Coll Agron &amp; Biotechnol, Key Lab Farming Syst, Minist Agr, Beijing 100193, Peoples R China; [Lal, Rattan] Ohio State Univ, Sch Environm &amp; Nat Resources, Carbon Management &amp; Sequestrat Ctr, Columbus, OH 43210 USA; [Tang, Hai-Ming] Hunan Soil &amp; Fertilizer Inst, Changsha 410125, Hunan, Peoples R China</t>
  </si>
  <si>
    <t>China Agricultural University; University System of Ohio; Ohio State University</t>
  </si>
  <si>
    <t>Zhang, HL (corresponding author), China Agr Univ, Coll Agron &amp; Biotechnol, Key Lab Farming Syst, Minist Agr, Beijing 100193, Peoples R China.</t>
  </si>
  <si>
    <t>Lal, Rattan/D-2505-2013; Liu, Shengli/D-1954-2017; Tang, Haiming/I-5162-2019; Zhang, Hai-Lin/H-2715-2017</t>
  </si>
  <si>
    <t>Liu, Shengli/0000-0002-8517-5197; Zhang, Hai-Lin/0000-0002-7426-2885</t>
  </si>
  <si>
    <t>Special Fund for Agro-scientific Research in the Public Interest in China [201103001]; Program for New Century Excellent Talents in University [NECT-13-0567]</t>
  </si>
  <si>
    <t>Special Fund for Agro-scientific Research in the Public Interest in China; Program for New Century Excellent Talents in University(Program for New Century Excellent Talents in University (NCET))</t>
  </si>
  <si>
    <t>This research was funded by Special Fund for Agro-scientific Research in the Public Interest in China (201103001) and Program for New Century Excellent Talents in University (NECT-13-0567). We would like to express our utmost appreciation to the Soil and Fertilizer Station of Ningxiang County, Hunan Province, and the Carbon Management and Sequestration Center, The Ohio State University, for logistical support.</t>
  </si>
  <si>
    <t>10.1007/s11367-014-0768-4</t>
  </si>
  <si>
    <t>AN5HN</t>
  </si>
  <si>
    <t>WOS:000340621500002</t>
  </si>
  <si>
    <t>Fusi, A; Bacenetti, J; González-García, S; Vercesi, A; Bocchi, S; Fiala, M</t>
  </si>
  <si>
    <t>Fusi, Alessandra; Bacenetti, Jacopo; Gonzalez-Garcia, Sara; Vercesi, Annamaria; Bocchi, Stefano; Fiala, Marco</t>
  </si>
  <si>
    <t>Environmental profile of paddy rice cultivation with different straw management</t>
  </si>
  <si>
    <t>Life Cycle Assessment; Straw management; Allocation; Environmental performance; Methane emission</t>
  </si>
  <si>
    <t>LIFE-CYCLE ASSESSMENT; GREENHOUSE-GAS EMISSIONS; DIFFERENT CROP SYSTEMS; IMPACT ASSESSMENT; ASSESSMENT LCA; WHEAT</t>
  </si>
  <si>
    <t>Italy is the most important European country in terms of paddy rice production. North Italian districts such as Vercelli, Pavia, Novara, and Milano are known as some of the world's most advanced rice cultivation sites. In 2013 Italian rice cultivation represented about 50% of all European rice production by area, and paddy fields extended for over 216,000 ha. Cultivation of rice involves different agricultural activities which have environmental impacts mainly due to fossil fuels and agrochemical requirements as well as the methane emission associated with the fermentation of organic material in the flooded rice fields. In order to assess the environmental consequences of rice production in the District of Vercelli, the cultivation practices most frequently carried out were inventoried and evaluated. The general approach of this study was not only to gather the inventory data for rice production and quantify their environmental impacts, but also to identify the key environmental factors where special attention must be paid. Life Cycle Assessment methodology was applied in this study from a cradle-to-farm gate perspective. The environmental profile was analyzed in terms of seven different impact categories: climate change, ozone depletion, human toxicity, terrestrial acidification, freshwater eutrophication, marine eutrophication, and fossil depletion. Regarding straw management, two different scenarios (burial into the soil of the straw versus harvesting) were compared. The analysis showed that the environmental impact was mainly due to field emissions, the fuel consumption needed for the mechanization of field operations, and the drying of the paddy rice. The comparison between the two scenarios highlighted that the collection of the straw improves the environmental performance of rice production except that for freshwater eutrophicatdon. To improve the environmental performance of rice production, solutions to save fossil fuel and reduce the emissions from fertilizers (leaching, volatilization) as well as methane emissions should be implemented. (C) 2014 Elsevier B.V. All rights reserved.</t>
  </si>
  <si>
    <t>[Fusi, Alessandra; Bacenetti, Jacopo; Vercesi, Annamaria; Bocchi, Stefano; Fiala, Marco] Univ Milan, Dept Agr &amp; Environm Sci, I-20133 Milan, Italy; [Gonzalez-Garcia, Sara] Univ Santiago de Compostela, Sch Engn, Dept Chem Engn, Santiago De Compostela 15782, Spain</t>
  </si>
  <si>
    <t>University of Milan; Universidade de Santiago de Compostela</t>
  </si>
  <si>
    <t>Bacenetti, J (corresponding author), Univ Milan, Dept Agr &amp; Environm Sci, Via G Celoria 2, I-20133 Milan, Italy.</t>
  </si>
  <si>
    <t>jacopo.bacenetti@unimi.it</t>
  </si>
  <si>
    <t>; Bacenetti, Jacopo/AAE-5161-2020</t>
  </si>
  <si>
    <t>González-García, Sara/0000-0002-2553-0863; FIALA, MARCO/0000-0002-3059-0940; bacenetti, jacopo/0000-0002-9188-4475</t>
  </si>
  <si>
    <t>Regione Lombardia - FSE - Regione Lombardia</t>
  </si>
  <si>
    <t>The authors thank Regione Lombardia which financed a Postdoctoral Research Fellowship (Progetto Dote Ricerca financed by FSE - Regione Lombardia).</t>
  </si>
  <si>
    <t>10.1016/j.scitotenv.2014.06.126</t>
  </si>
  <si>
    <t>AO4VR</t>
  </si>
  <si>
    <t>WOS:000341340000014</t>
  </si>
  <si>
    <t>Villarino, SH; Studdert, GA; Baldassini, P; Cendoya, MG; Ciuffoli, L; Mastrángelo, M; Piñeiro, G</t>
  </si>
  <si>
    <t>Horacio Villarino, Sebastian; Alberto Studdert, Guillermo; Baldassini, Pablo; Gabriela Cendoya, Maria; Ciuffoli, Lucia; Mastrangelo, Matias; Pineiro, Gervasio</t>
  </si>
  <si>
    <t>Deforestation impacts on soil organic carbon stocks in the Semiarid Chaco Region, Argentina</t>
  </si>
  <si>
    <t>Land use change; Soil organic carbon; Carbon dioxide emission; CO2; Dry forest; Soybean</t>
  </si>
  <si>
    <t>PHOTOSYNTHETICALLY ACTIVE RADIATION; SEASONALLY DRY FORESTS; MATTER FRACTIONS; LAND-USE; AGRICULTURAL SOILS; DYNAMICS; QUALITY; DEGRADATION; CULTIVATION; MANAGEMENT</t>
  </si>
  <si>
    <t>Land use change affects soil organic carbon (SOC) and generates CO2 emissions. Moreover, SOC depletion entails degradation of soil functions that support ecosystem services. Large areas covered by dry forests have been cleared in the Semiarid Chaco Region of Argentina for cropping expansion. However, deforestation impacts on the SOC stock and its distribution in the soil profile have been scarcely reported. We assessed these impacts based on the analysis of field data along a time-since-deforestation-for-cropping chronosequence, and remote sensing indices. Soil organic C was determined up to 100 cm depth and physically fractionated into mineral associated organic carbon (MAOC) and particulate organic C (POC). Models describing vertical distribution of SOC were fitted. Total SOC, POC and MAOC stocks decreased markedly with increasing cropping age. Particulate organic C was the most sensitive fraction to cultivation. After 10 yr of cropping SOC loss was around 30%, with greater POC loss (near 60%) and smaller MAOC loss (near 15%), at 0-30 cm depth. Similar relative SOC losses were observed in deeper soil layers (30-60 and 60-100 cm). Deforestation and subsequent cropping also modified SOC vertical distribution. Soil organic C loss was negatively associated with the proportion of maize in the rotation and total crop biomass inputs, but positively associated with the proportion of soybean in the rotation. Without effective land use polices, deforestation and agricultural expansion can lead to rapid soil degradation and reductions in the provision of important ecosystem services. (C) 2016 Elsevier B.V. All rights reserved.</t>
  </si>
  <si>
    <t>[Horacio Villarino, Sebastian; Alberto Studdert, Guillermo; Gabriela Cendoya, Maria; Mastrangelo, Matias] UNMdP, Unidad Integrada Balcarce, Fac Ciencias Agr, Estn Expt Agr Balcarce INTA, Mar Del Plata, Buenos Aires, Argentina; [Horacio Villarino, Sebastian; Mastrangelo, Matias; Pineiro, Gervasio] Consejo Nacl Invest Cient &amp; Tecn, RA-1033 Buenos Aires, DF, Argentina; [Baldassini, Pablo; Ciuffoli, Lucia; Pineiro, Gervasio] Univ Buenos Aires, CONICET, LART IFEVA, Fac Agron, RA-1053 Buenos Aires, DF, Argentina</t>
  </si>
  <si>
    <t>National University of Mar del Plata; Instituto Nacional de Tecnologia Agropecuaria (INTA); Consejo Nacional de Investigaciones Cientificas y Tecnicas (CONICET); Consejo Nacional de Investigaciones Cientificas y Tecnicas (CONICET); University of Buenos Aires</t>
  </si>
  <si>
    <t>Villarino, SH (corresponding author), Ruta Nac 226 Km 73,5,CC 276, RA-7620 Balcarce, Argentina.</t>
  </si>
  <si>
    <t>sebavillarino@gmail.com</t>
  </si>
  <si>
    <t>Cendoya, María/AAB-6476-2019; Studdert, Guillermo/AAA-8527-2020; Piñeiro, Gervasio/D-2743-2009</t>
  </si>
  <si>
    <t>Baldassini, Pablo/0000-0002-9741-604X; Studdert, Guillermo Alberto/0000-0002-8611-4441; Cendoya, María Gabriela/0000-0002-2523-3930; Villarino, Sebastian/0000-0003-1850-447X; Mastrangelo, Matias/0000-0002-3049-3534; Piñeiro, Gervasio/0000-0003-0184-9797</t>
  </si>
  <si>
    <t>National Institute of Agricultural Technology (INTA) [PNNAT-1128052, PNNAT-1128035]; National Agency for Promotion of Science and Technology (ANPCyT) [PICT-2012-1092, PICT-2012-0607]; Inter-American Institute for Global Change Research (IAI) - US National Science Foundation [CRN3095, GEO-1128040]; National Scientific and Technical Research Council (CONICET); ICER; Directorate For Geosciences [1128040] Funding Source: National Science Foundation</t>
  </si>
  <si>
    <t>National Institute of Agricultural Technology (INTA); National Agency for Promotion of Science and Technology (ANPCyT)(ANPCyT); Inter-American Institute for Global Change Research (IAI) - US National Science Foundation; National Scientific and Technical Research Council (CONICET)(Consejo Nacional de Investigaciones Cientificas y Tecnicas (CONICET)); ICER; Directorate For Geosciences(National Science Foundation (NSF)NSF - Directorate for Geosciences (GEO))</t>
  </si>
  <si>
    <t>The authors wish to thank Pedro Laterra who provided valuable assistance at the beginning of this research, Andrea Avalos for her support during sampling campaigns and Elena Okada for her English language assistance. This study was funded by National Institute of Agricultural Technology (INTA) through the PNNAT-1128052 and PNNAT-1128035 projects, National Agency for Promotion of Science and Technology (ANPCyT) through the PICT-2012-1092 and PICT-2012-0607 projects, the Inter-American Institute for Global Change Research (IAI) CRN3095 which is supported by the US National Science Foundation (Grant GEO-1128040), and a Ph.D. fellowship granted to the first author by the National Scientific and Technical Research Council (CONICET).</t>
  </si>
  <si>
    <t>10.1016/j.scitotenv.2016.09.175</t>
  </si>
  <si>
    <t>EF5MD</t>
  </si>
  <si>
    <t>WOS:000390373400106</t>
  </si>
  <si>
    <t>He, SN; Chen, Y; Xiang, W; Chen, XW; Wang, XL; Chen, Y</t>
  </si>
  <si>
    <t>He, Sunan; Chen, Yun; Xiang, Wang; Chen, Xiaowei; Wang, Xiaolong; Chen, Yong</t>
  </si>
  <si>
    <t>Carbon and nitrogen footprints accounting of peanut and peanut oil production in China</t>
  </si>
  <si>
    <t>Carbon footprint; Nitrogen footprint; Peanut; Peanut oil; China</t>
  </si>
  <si>
    <t>GREENHOUSE-GAS EMISSIONS; REACTIVE NITROGEN; N2O EMISSIONS; BIOCHAR AMENDMENT; OXIDE EMISSIONS; RICE PRODUCTION; CROP PRODUCTION; USE EFFICIENCY; ENERGY USE; FIELD</t>
  </si>
  <si>
    <t>The peanut sector has significant potential for decreasing greenhouse gas (GHG) emissions and reactive nitrogen (Nr) loss from agricultural production activity in China. This study calculated the carbon (C) and nitrgen (N) emissions of the peanut sector in China by jointly using the carbon footprint (CF) and nitrogen footprint (NF) methods based on the national statistical data from 2008 to 2017. The results showed that the average area-based CF (CFa) and NF (NFa) of peanut cropping in China were 1912.58 kg CO2-eq ha(-1) and 41.19 kg N-eq ha(-1), respectively. The average yield-based CF (CFy) and NF (NFy) of peanut oil reached 1.38 kg CO2-eq kg(-1) and 28.23 g N-eq kg(-1), respectively. The CFa of the peanut cropping subsystem in China increased from 2008 to 2017, while the NFa presented a reduction feature during 2009-2011 and during 2015-2017. Based on the results above, the total GHG emissions and Nr losses caused by the peanut sector in China were estimated to reach average values of 8.33 million tons (Mt) CO2-eq year(-1) and 0.15 Mt N-eq year(-1), respectively, during 2009-2017. Moreover, peanut cropping in Fujian showed the highest CF and NF, while that in Anhui and Chongqing presented the lowest CF and NF, implying that optimizing peanut layout in China would be of significant importance to developing the peanut sector with fewer environmental consequences. Fertilizer production and application were continuously the largest sources of CF and NF in the peanut sector in China, which should be given more attention for reducing the environmental consequences in the future. This study provides policy guidance for clean production in peanut industrial chain in the China. (c) 2021 Elsevier Ltd. All rights reserved.</t>
  </si>
  <si>
    <t>[He, Sunan; Chen, Yun; Xiang, Wang; Chen, Xiaowei; Wang, Xiaolong; Chen, Yong] South China Agr Univ, Coll Agr, Guangzhou 510642, Peoples R China</t>
  </si>
  <si>
    <t>Wang, XL; Chen, Y (corresponding author), South China Agr Univ, Coll Agr, Guangzhou 510642, Peoples R China.</t>
  </si>
  <si>
    <t>wangxiaolong@scau.edu.cn; chenyong@scau.edu.cn</t>
  </si>
  <si>
    <t>xiang, wang/JKH-6962-2023; Chen, Xiaowei/NUP-3442-2025</t>
  </si>
  <si>
    <t>Wang, Xiaolong/0000-0002-2376-026X</t>
  </si>
  <si>
    <t>National Natural Science Foundation of China [31800465]; Social Public Welfare Science and Technology Research Project in Zhongshan [2019B2024]; Science and Technology Program of Guangdong Province [2019B121201003]</t>
  </si>
  <si>
    <t>National Natural Science Foundation of China(National Natural Science Foundation of China (NSFC)); Social Public Welfare Science and Technology Research Project in Zhongshan; Science and Technology Program of Guangdong Province</t>
  </si>
  <si>
    <t>This work was financially supported by the National Natural Science Foundation of China (31800465), Social Public Welfare Science and Technology Research Project in Zhongshan (2019B2024), and Science and Technology Program of Guangdong Province (2019B121201003). We thank anonymous reviewers and editors for very helpful comments and suggestions for the manuscript.</t>
  </si>
  <si>
    <t>10.1016/j.jclepro.2021.125964</t>
  </si>
  <si>
    <t>QT4NQ</t>
  </si>
  <si>
    <t>WOS:000626565900013</t>
  </si>
  <si>
    <t>Fathima, CS; Murali, AM; Sunish, KS; Daniel, S</t>
  </si>
  <si>
    <t>Fathima, C. S.; Murali, Akash M.; Sunish, K. S.; Daniel, Sobhi</t>
  </si>
  <si>
    <t>Probing the food packaging applications of green carbon quantum dots</t>
  </si>
  <si>
    <t>JOURNAL OF FOOD ENGINEERING</t>
  </si>
  <si>
    <t>Green synthesis; Carbon/graphene quantum dots; Agricultural waste fibres; Sustainable nanomaterials; Poly viny alcohol; Food preservation; Food packaging</t>
  </si>
  <si>
    <t>FILMS</t>
  </si>
  <si>
    <t>Carbon quantum dots (CQDs) have emerged as promising nanomaterials due to their low toxicity, high aqueous solubility, high electrical conductivity, and remarkable fluorescence properties. Their tunable emission, high intensity, biocompatibility, and ability to enhance mechanical, thermal, barrier, antioxidant, and antimicrobial properties make CQDs ideal for diverse applications, including innovative food packaging. This study explores the green synthesis of CQDs from agricultural waste fibres, namely jute, coconut husk, banana, and water hyacinth, designated as CQD1, CQD2, CQD3, and CQD4, respectively. The CQDs were embedded into a polyvinyl alcohol (PVA) matrix to fabricate composite films S1, S2, S3, and S4, which were extensively characterized for their physicochemical and functional properties. Mechanical analysis revealed significant improvements in the tensile strength and elongation at break of all composite films, particularly for the S4 film, which increased to 1.72 f 0.002 MPa and 223.8 f 0.535 %, respectively, compared to the pure PVA film (1.00 f 0.007 Mpa and 111.70 f 0.433 %). Water barrier properties were enhanced, with the S4 film exhibiting the lowest swelling index (47.28 f 0.022 %) and solubility (30.52 f 0.042 %) compared to pure PVA (77.89 f 0.058 % and 65.76 f 0.045 %, respectively). Gas barrier properties were significantly improved, with the S1 film reducing oxygen permeability (OP) by 36.44 % (2.18 f 0.023 cm3 m- 1 24 h- 1 atm- 1) and the S4 film exhibiting the lowest water vapor transmission rate (WVTR) of 95.11 f 0.029 g m- 2 h-1. The UV-blocking efficacy of all films exceeded 89 %, with S4 achieving 92.55 %. Antimicrobial assays demonstrated that S1 and S2 effectively inhibited Bacillus cereus and Salmonella typhi. Additionally, all films exhibited biofilm inhibitory activity, with S4 showing 100 % inhibition against Escherichia coli and Staphylococcus aureus. In food packaging evaluations, the S3 and S4 films extended the shelf life of plums and bananas by up to 15 and 6 days, respectively, by reducing spoilage. Cytotoxicity studies using the MTT assay revealed that S3 and S4 films had IC50 values of 279.5 mu g/mL and 260.35 mu g/mL, respectively, indicating low cytotoxicity and excellent biocompatibility. These findings highlight the potential of CQDs derived from agricultural waste fibres as sustainable additives with multifunctional properties, making them promising materials for active food packaging applications.</t>
  </si>
  <si>
    <t>[Fathima, C. S.; Daniel, Sobhi] Maharajas Coll, Postgrad &amp; Res Dept Chem, Ernakulam, India; [Murali, Akash M.] Aadi Sankara Coll Engn, Ernakulam, India; [Sunish, K. S.] Maharajas Coll, Postgrad &amp; Res Dept Zool, Ernakulam, India</t>
  </si>
  <si>
    <t>Daniel, S (corresponding author), Maharajas Coll, Postgrad &amp; Res Dept Chem, Ernakulam, India.</t>
  </si>
  <si>
    <t>sobhi.daniel@gmail.com</t>
  </si>
  <si>
    <t>Daniel, Sobhi/ADW-9512-2022; Sachith, Sunish/ABA-6199-2020; CS, Fathima/NOF-7889-2025</t>
  </si>
  <si>
    <t>Sachith, Sunish/0000-0002-1362-2939; , Fathima C S/0009-0007-6470-8293; Daniel, Sobhi/0000-0002-9603-7646</t>
  </si>
  <si>
    <t>0260-8774</t>
  </si>
  <si>
    <t>1873-5770</t>
  </si>
  <si>
    <t>J FOOD ENG</t>
  </si>
  <si>
    <t>J. Food Eng.</t>
  </si>
  <si>
    <t>10.1016/j.jfoodeng.2025.112575</t>
  </si>
  <si>
    <t>Engineering, Chemical; Food Science &amp; Technology</t>
  </si>
  <si>
    <t>Engineering; Food Science &amp; Technology</t>
  </si>
  <si>
    <t>0XL0E</t>
  </si>
  <si>
    <t>WOS:001458318100001</t>
  </si>
  <si>
    <t>Sharma, G; Sharma, LK; Sharma, KC</t>
  </si>
  <si>
    <t>Sharma, Garima; Sharma, L. K.; Sharma, K. C.</t>
  </si>
  <si>
    <t>Assessment of land use change and its effect on soil carbon stock using multitemporal satellite data in semiarid region of Rajasthan, India</t>
  </si>
  <si>
    <t>ECOLOGICAL PROCESSES</t>
  </si>
  <si>
    <t>Multitemporal satellite data; Land use change dynamics; Internal trading of land use; SOC stock; Stock change factor; Change in SOC pool; Land use management</t>
  </si>
  <si>
    <t>ORGANIC-CARBON; SEQUESTRATION; NITROGEN; MITIGATE; FOREST; TEMPERATURE; CULTIVATION; MOUNTAINS; DYNAMICS; BUDGET</t>
  </si>
  <si>
    <t>Background Land use change plays a vital role in global carbon dynamics. Understanding land use change impact on soil carbon stock is crucial for implementing land use management to increase carbon stock and reducing carbon emission. Therefore, the objective of our study was to determine land use change and to assess its effect on soil carbon stock in semi-arid part of Rajasthan, India. Landsat temporal satellite data of Pushkar valley region of Rajasthan acquired on 1993, 2003, and 2014 were analyzed to assess land use change. Internal trading of land use was depicted through matrices. Soil organic carbon (SOC) stock was calculated for soil to a depth of 30 cm in each land use type in 2014 using field data collection. The SOC stock for previous years was estimated using stock change factor. The effect of land use change on SOC stock was determined by calculating change in SOC stock (t/ha) by deducting the base-year SOC stock from the final year stock of a particular land use conversion. Results The total area under agricultural lands was increased by 32.14% while that under forest was decreased by 23.14% during the time period of 1993-2014. Overall land use change shows that in both the periods (1993-2003 and 2003-2014), 7% of forest area was converted to agricultural land and about 15% changes occurred among agricultural land. In 1993-2003, changes among agricultural land led to maximum loss of soil carbon, i.e., 4.88 Mt C and during 2003-2014, conversion of forest to agricultural land led to loss in 3.16 Mt C. Conclusion There was a continuous decrease in forest area and increase in cultivated area in each time period. Land use change led to alteration in carbon equity in soil due to change or loss in vegetation. Overall, we can conclude that the internal trading of land use area during the 10-year period (1993-2003) led to net loss of SOC stock by 8.29 Mt C. Similarly, land use change during 11-year period (2003-2014) caused net loss of SOC by 2.76 Mt C. Efforts should be made to implement proper land use management practices to enhance the SOC content.</t>
  </si>
  <si>
    <t>[Sharma, Garima; Sharma, L. K.] Cent Univ Rajasthan, Dept Environm Sci, NH 8, Bandarsindri 305817, Rajasthan, India; [Sharma, K. C.] MDS Univ, Ajmer, Rajasthan, India</t>
  </si>
  <si>
    <t>Central University of Rajasthan (CURAJ)</t>
  </si>
  <si>
    <t>Sharma, G (corresponding author), Cent Univ Rajasthan, Dept Environm Sci, NH 8, Bandarsindri 305817, Rajasthan, India.</t>
  </si>
  <si>
    <t>garimaenviro@gmail.com</t>
  </si>
  <si>
    <t>Sharma, Laxmikant/I-4500-2015; SHARMA, LAXMIKANT/I-4500-2015</t>
  </si>
  <si>
    <t>SHARMA, LAXMIKANT/0000-0003-2911-2893</t>
  </si>
  <si>
    <t>Central University of Rajasthan</t>
  </si>
  <si>
    <t>Non-JRF fellowship by Central University of Rajasthan.</t>
  </si>
  <si>
    <t>2192-1709</t>
  </si>
  <si>
    <t>ECOL PROCESS</t>
  </si>
  <si>
    <t>Ecol. Process.</t>
  </si>
  <si>
    <t>10.1186/s13717-019-0193-5</t>
  </si>
  <si>
    <t>JK4MR</t>
  </si>
  <si>
    <t>WOS:000494818200001</t>
  </si>
  <si>
    <t>Bheel, N; Mahro, SK; Adesina, A</t>
  </si>
  <si>
    <t>Bheel, Naraindas; Mahro, Santosh Kumar; Adesina, Adeyemi</t>
  </si>
  <si>
    <t>Influence of coconut shell ash on workability, mechanical properties, and embodied carbon of concrete</t>
  </si>
  <si>
    <t>Concrete; Portland cement; Coconut shell ash; Workability; Mechanical properties; Embodied carbon; Sustainability</t>
  </si>
  <si>
    <t>RICE HUSK ASH; LIFE-CYCLE; EMISSIONS; STRENGTH; GLASS</t>
  </si>
  <si>
    <t>The significant contribution of the carbon dioxide emission from the production of Portland cement which is the main binder used in concrete has called for an imminent need to find environmentally friendly materials as alternatives. The availability of large quantities of agricultural wastes such as coconut shell in most developing countries opens a pathway to explore how these materials can be recycled into concrete as the binder composition. The combustion of most solid agricultural wastes results in the production of ash which can be used to replace Portland cement as a binder in concrete. This paper presents the results from the experimental investigation of the effect of coconut shell ash on the workability, mechanical properties, and embodied carbon of concrete. A total of five mixtures were made with coconut shell ash replacing Portland cement up to 20%. Results from this paper showed that coconut shell ash can be incorporated into concrete mixtures to reduce its embodied carbon. A reduction in embodied carbon of about 15% was achieved when 20% of Portland cement was replaced with coconut shell ash. The incorporation of coconut shell ash into concrete mixtures also resulted in an increase in the mechanical properties up to 10% replacement of Portland cement. The compressive, tensile, and flexural strength of mixtures incorporating 10% coconut shell ash as replacement of Portland cement is 12%, 10%, and 9% higher than that of the control mixture without coconut shell ash.</t>
  </si>
  <si>
    <t>[Bheel, Naraindas] Hyderabad Coll Sci &amp; Technol, Dept Civil Engn, Hyderabad, Pakistan; [Mahro, Santosh Kumar] Mehran Univ Engn &amp; Technol, Inst Environm Engn &amp; Management, Jamshoro, Pakistan; [Adesina, Adeyemi] Univ Windsor, Dept Civil &amp; Environm Engn, Windsor, ON, Canada</t>
  </si>
  <si>
    <t>Mehran University Engineering &amp; Technology; University of Windsor</t>
  </si>
  <si>
    <t>Adesina, A (corresponding author), Univ Windsor, Dept Civil &amp; Environm Engn, Windsor, ON, Canada.</t>
  </si>
  <si>
    <t>adesina1@uwindsor.ca</t>
  </si>
  <si>
    <t>Bheel, Naraindas/AAQ-2754-2021</t>
  </si>
  <si>
    <t>Bheel, Naraindas/0000-0003-1691-9735; Adesina, Adeyemi/0000-0002-7602-3896</t>
  </si>
  <si>
    <t>10.1007/s11356-020-10882-1</t>
  </si>
  <si>
    <t>WOS:000572607400009</t>
  </si>
  <si>
    <t>Pérez, OFA; Varela, KAD; Mena, JDC</t>
  </si>
  <si>
    <t>Perez, Oscar Felipe Arbelaez; Varela, Karen Alejandra Delgado; Mena, Juan David Castaneda</t>
  </si>
  <si>
    <t>Effect of incorporation of cane bagasse ash on mechanical properties and carbon dioxide emissions of concrete containing waste glass</t>
  </si>
  <si>
    <t>BOLETIN DE LA SOCIEDAD ESPANOLA DE CERAMICA Y VIDRIO</t>
  </si>
  <si>
    <t>Sugar cane ash; Agricultural waste; Mechanical properties; Waste glass; CO2 emissions</t>
  </si>
  <si>
    <t>DURABILITY PROPERTIES; PARTIAL REPLACEMENT; CEMENT-REPLACEMENT; PORTLAND-CEMENT; GAS EMISSIONS; PERFORMANCE; INDUSTRY; POWDER; SILICA; SCBA</t>
  </si>
  <si>
    <t>The production of cement depletes natural resources and emits huge amounts of CO2. Using waste materials as replacement for cement is a practical solution to produce green concrete. Cane bagasse ash (CBA) and waste glass (WG) have great potential as supplementary cementitious materials. This work presents the effect of the incorporation of cane bagasse ash on mechanical properties and CO2 emissions of concrete prepared waste glass. Different CBA:WG mass ratio 0:1, 1:3, 1:2, 1:1, 2:1, 3:1 and 1:0 (CBA + WG = 20%) as cement replace-ment were prepared. The slump decreased with an increase of waste glass and sugar cane bagasse. The incorporation of sugarcane bagasse ash and waste glass it is not related with the density of concrete due to similar density between cementitious materials. The relative compressive strength increased with inclusion of CBA, the 3:1 mixture exhibited the highest relative compressive strength. The CO2 emissions were reduced when WG and CBA were incorporated. The addition of cane bagasse ash to concrete prepared with waste glass may be a potential option to mitigate the impact of residues and to reduce theCO2 emissions in concrete industry. (c) 2022 The Authors. Published by Elsevier Espana, S.L.U. on behalf of SECV. This is an open access article under the CC BY-NC-ND license (http://creativecommons.org/licenses/ by-nc-nd/4.0/).</t>
  </si>
  <si>
    <t>[Perez, Oscar Felipe Arbelaez] Univ Cooperat Colombia Sede Medellin, Fac Ingn, Grp Invest termomec, Medellin, Colombia; [Varela, Karen Alejandra Delgado; Mena, Juan David Castaneda] Univ Cooperat Colombia Sede Medellin, Fac Ingn Semillero Invest Mat &amp; Estruct, Medellin, Colombia</t>
  </si>
  <si>
    <t>Universidad Cooperativa de Colombia; Universidad Cooperativa de Colombia</t>
  </si>
  <si>
    <t>Pérez, OFA (corresponding author), Univ Cooperat Colombia Sede Medellin, Fac Ingn, Grp Invest termomec, Medellin, Colombia.</t>
  </si>
  <si>
    <t>oscar.arbelaez@campusucc.edu.co</t>
  </si>
  <si>
    <t>0366-3175</t>
  </si>
  <si>
    <t>2173-0431</t>
  </si>
  <si>
    <t>BOL SOC ESP CERAM V</t>
  </si>
  <si>
    <t>Bol. Soc. Esp. Ceram. Vidr.</t>
  </si>
  <si>
    <t>10.1016/j.bsecv.2022.08.001</t>
  </si>
  <si>
    <t>Materials Science, Ceramics</t>
  </si>
  <si>
    <t>W6NH4</t>
  </si>
  <si>
    <t>WOS:001092769000001</t>
  </si>
  <si>
    <t>De Groote, H; Marangu, C; Gitonga, ZM</t>
  </si>
  <si>
    <t>De Groote, Hugo; Marangu, Cliff; Gitonga, Zachary M.</t>
  </si>
  <si>
    <t>Trends in Agricultural Mechanization in Kenya's Maize Production Areas from 1992-2012</t>
  </si>
  <si>
    <t>mechanization; Africa; agriculture; intensification</t>
  </si>
  <si>
    <t>DRAFT ANIMAL POWER; FOOD SECURITY; MARKET DEVELOPMENT; AFRICA; INTENSIFICATION; CONSERVATION; DEMAND; FARMS; GHANA</t>
  </si>
  <si>
    <t>Agricultural intensification is key to feed the rapidly increasing African population. While the use of improved varieties has increased substantially over the last twenty years, the use of land-saving technologies such as fertilizer and labor-saving technologies such as mechanization has lagged behind. This study provides a literature review and analyzes the evolution of agricultural mechanization in Kenya, based on four household surveys conducted in Kenya between 1992 and 2012. The results show persistent low levels of agricultural mechanization: in 2012, most farm households still used only hand tools. More than a quarter of farmers (28%) had a plow (either for oxen or tractor), but very few (2%) a tractor. From 1992 to 2012 the percentage of farmers with oxen increased from 17% to 33%, but those with tractors decreased from 5% to 2%. Tractors were most important in the highlands, but animal traction was most important in the dry areas and moist mid-altitude zone. Adoption of tractors increased with income, acreage and age. Adoption of animal traction increased with absentee husbands, income, age, sales of maize, livestock, family size, and access to extension; it decreased with land and with fertilizer use. Mechanization in Kenya is likely to continue depending on animal traction, which is not linked to farm size and complements labor, helps to reduce fertilizer and increase commercial maize production, and has room to grow, in particular in the highlands. Agricultural extension, development projects and research should consider the options in animal traction, and provide training and research on appropriate technologies and implements in areas with sufficient land area.</t>
  </si>
  <si>
    <t>[De Groote, Hugo; Marangu, Cliff; Gitonga, Zachary M.] Int Maize &amp; Wheat Improvement Ctr CIMMYT, POB 1041-00621, Nairobi, Kenya</t>
  </si>
  <si>
    <t>CGIAR; International Maize &amp; Wheat Improvement Center (CIMMYT)</t>
  </si>
  <si>
    <t>De Groote, H (corresponding author), Int Maize &amp; Wheat Improvement Ctr CIMMYT, POB 1041-00621, Nairobi, Kenya.</t>
  </si>
  <si>
    <t>h.degroote@cgiar.org</t>
  </si>
  <si>
    <t>De Groote, Hugo/C-7525-2009</t>
  </si>
  <si>
    <t>De Groote, Hugo/0000-0002-5081-0189</t>
  </si>
  <si>
    <t>USAID; Syngenta Foundation of Sustainable Agriculture; Bill and Melinda Gates Foundation</t>
  </si>
  <si>
    <t>USAID(United States Agency for International Development (USAID)); Syngenta Foundation of Sustainable Agriculture(Syngenta); Bill and Melinda Gates Foundation(Bill &amp; Melinda Gates Foundation)</t>
  </si>
  <si>
    <t>The authors acknowledge the sponsors of the surveys: USAID, the Syngenta Foundation of Sustainable Agriculture, and the Bill and Melinda Gates Foundation. We thank the enumerators for their effort in data collection, the farmers for answering our questions, Frederic Baudron for his useful suggestions, and Kathleen Sinclair for editing the manuscript.</t>
  </si>
  <si>
    <t>WOS:000454671200004</t>
  </si>
  <si>
    <t>Schmitz, A; Kennedy, PL; Zhang, FY</t>
  </si>
  <si>
    <t>Schmitz, Andrew; Kennedy, P. Lynn; Zhang, Fangyi</t>
  </si>
  <si>
    <t>Sugarcane and sugar yields in Louisiana (1911-2018): Varietal development and mechanization</t>
  </si>
  <si>
    <t>CROP SCIENCE</t>
  </si>
  <si>
    <t>FLORIDA</t>
  </si>
  <si>
    <t>Louisiana is the second largest producer of sugarcane (Saccharum officinarum L.) in the United States. New sugarcane cultivars better adapted for Louisiana have been in development since the inception of a three-way cooperative breeding program in the 1920s. Piecewise regression is used to determine the growth in both Louisiana sugarcane and sugar yields and how new sugarcane cultivars and mechanization have had a positive impact of yields. The analysis uses several breakpoints for periods between 1911 and 2018 to consider the impact of varietal development and mechanization. In most cases, new sugarcane cultivars and changes in mechanization in Louisiana have significantly increased the yield of sugarcane and sugar. From 1911 to 2018, raw sugar yield increased at an annual rate of 0.061 t ha(-1), while gross sugarcane yield increased by 0.47 t ha(-1). Prior to 1927, yield growth was either negative or highly variable; since 1927, yield growth for both raw sugar and gross sugarcane have been positive and significant.</t>
  </si>
  <si>
    <t>[Schmitz, Andrew; Zhang, Fangyi] Univ Florida, POB 110240, Gainesville, FL 32611 USA; [Kennedy, P. Lynn] Louisiana State Univ, 101 Woodin Hall, Baton Rouge, LA 70803 USA</t>
  </si>
  <si>
    <t>State University System of Florida; University of Florida; Louisiana State University System; Louisiana State University</t>
  </si>
  <si>
    <t>Schmitz, A (corresponding author), Univ Florida, POB 110240, Gainesville, FL 32611 USA.</t>
  </si>
  <si>
    <t>aschmitz@ufl.edu</t>
  </si>
  <si>
    <t>Kennedy, P Lynn/0000-0001-5726-8313</t>
  </si>
  <si>
    <t>0011-183X</t>
  </si>
  <si>
    <t>1435-0653</t>
  </si>
  <si>
    <t>CROP SCI</t>
  </si>
  <si>
    <t>Crop Sci.</t>
  </si>
  <si>
    <t>10.1002/csc2.20045</t>
  </si>
  <si>
    <t>MD1PQ</t>
  </si>
  <si>
    <t>WOS:000543747600012</t>
  </si>
  <si>
    <t>Sá, JCD; Lal, R; Cerri, CC; Lorenz, K; Hungria, M; Carvalho, PCD</t>
  </si>
  <si>
    <t>de Moraes Sa, Joao Carlos; Lal, Rattan; Cerri, Carlos Clemente; Lorenz, Klaus; Hungria, Mariangela; de Faccio Carvalho, Paulo Cesar</t>
  </si>
  <si>
    <t>Low-carbon agriculture in South America to mitigate global climate change and advance food security</t>
  </si>
  <si>
    <t>ENVIRONMENT INTERNATIONAL</t>
  </si>
  <si>
    <t>Greenhouse gas; Best agricultural management practices; C-offset; Land use and land use change</t>
  </si>
  <si>
    <t>ORGANIC-MATTER DECOMPOSITION; NO-TILL AGRICULTURE; SOIL CARBON; CONSERVATION AGRICULTURE; SEQUESTRATION; TEMPERATURE; SYSTEMS; RESPIRATION; NITROGEN; PRODUCTIVITY</t>
  </si>
  <si>
    <t>The worldwide historical carbon (C) losses due to Land Use and Land-Use Change between 1870 and 2014 are estimated at 148 Pg C (1 Pg = 1 billion ton). South America is chosen for this study because its soils contain 10.3% (160 Pg C to 1-mdepth) of the soil organic carbon stock of the world soils, it is home to 5.7% (0.419 billion people) of the world population, and accounts for 8.6% of the world food (491 million tons) and 21.0% of meat production (355 million tons of cattle and buffalo). The annual C emissions from fossil fuel combustion and cement production in South America represent only 2.5% (0.25 Pg C) of the total global emissions (9.8 Pg C). However, South America contributes 31.3% (0.34 Pg C) of global annual greenhouse gas emissions (1.1 Pg C) through Land Use and Land Use Change. The potential of South America as a terrestrial C sink for mitigating climate change with adoption of Low-Carbon Agriculture (LCA) strategies based on scenario analysis method is 8.24 Pg C between 2016 and 2050. The annual C offset for 2016 to 2020, 2021 to 2035, and 2036 to 2050 is estimated at 0.08, 0.25, and 0.28 Pg C, respectively, equivalent to offsetting 7.5, 22.2 and 25.2% of the global annual greenhouse gas emissions by Land Use and Land Use Change for each period. Emission offset for LCA activities is estimated at 31.0% by restoration of degraded pasturelands, 25.6% by integrated crop-livestock-forestry-systems, 24.3% by no-till cropping systems, 12.8% by planted commercial forest and forestation, 4.2% by biological N fixation and 2.0% by recycling the industrial organic wastes. The ecosystem carbon payback time for historical C losses from South America through LCA strategies may be 56 to 188 years, and the adoption of LCA can also increase food andmeat production by 615 Mton or 17.6 Mton year(-1) and 56 Mton or 1.6 Mton year(-1), respectively, between 2016 and 2050. (C) 2016 Elsevier Ltd. All rights reserved.</t>
  </si>
  <si>
    <t>[de Moraes Sa, Joao Carlos] Univ Estadual Ponta Grossa, Dept Soil Sci &amp; Agr Engn, Av Carlos Cavalcanti 4748,Campus Uvaranas, BR-84030900 Ponta Grossa, PR, Brazil; [Lal, Rattan; Lorenz, Klaus] Ohio State Univ, Sch Environm &amp; Nat Resources, 2021 Coffey Rd, Columbus, OH 43210 USA; [Lal, Rattan; Lorenz, Klaus] Ohio State Univ, Carbon Management &amp; Sequestrat Ctr, 2021 Coffey Rd, Columbus, OH 43210 USA; [Cerri, Carlos Clemente] State Univ Sao Paulo, Ctr Energia Nucl Agr, Av Centenario 303, BR-13416970 Piracicaba, SP, Brazil; [Hungria, Mariangela] Brazilian Agr Res Corp EMBRAPA Soybean, Rodovia Carlos Joao Str, BR-86001970 Londrina, PR, Brazil; [de Faccio Carvalho, Paulo Cesar] Univ Fed Rio Grande do Sul, Dept Forage Plants &amp; Agrometeorol, BR-91540000 Porto Alegre, RS, Brazil</t>
  </si>
  <si>
    <t>Universidade Estadual de Ponta Grossa; University System of Ohio; Ohio State University; University System of Ohio; Ohio State University; Universidade Estadual Paulista; Empresa Brasileira de Pesquisa Agropecuaria (EMBRAPA); Universidade Federal do Rio Grande do Sul</t>
  </si>
  <si>
    <t>Sá, JCD (corresponding author), Univ Estadual Ponta Grossa, Dept Soil Sci &amp; Agr Engn, Av Carlos Cavalcanti 4748,Campus Uvaranas, BR-84030900 Ponta Grossa, PR, Brazil.</t>
  </si>
  <si>
    <t>jcmsa@uepg.br</t>
  </si>
  <si>
    <t>de Faccio Carvalho, Paulo César/A-7381-2012; Sá, João Carlos de Moraes/P-8280-2016; Cerri, Carlos/C-5039-2012; Lal, Rattan/D-2505-2013; de Faccio Carvalho, Paulo César/A-7381-2012; Hungria, Mariangela/D-8540-2013; M, Joao/P-8280-2016</t>
  </si>
  <si>
    <t>de Faccio Carvalho, Paulo César/0000-0002-7020-3001; Sá, João Carlos de Moraes/0000-0003-1502-5537; Lorenz, Klaus/0000-0003-1307-1708; de Faccio Carvalho, Paulo César/0000-0002-7020-3001;</t>
  </si>
  <si>
    <t>CAPES [006792/2014-06]; CNPq [482292/2012-1]; Carbon Management and Sequestration Center from The Ohio State University</t>
  </si>
  <si>
    <t>CAPES(Coordenacao de Aperfeicoamento de Pessoal de Nivel Superior (CAPES)); CNPq(Conselho Nacional de Desenvolvimento Cientifico e Tecnologico (CNPQ)); Carbon Management and Sequestration Center from The Ohio State University</t>
  </si>
  <si>
    <t>The first author was supported by CAPES Fellowship (Grant # 006792/2014-06) and the research was partially funded by CNPq (Grant # 482292/2012-1), and worked in collaboration with Carbon Management and Sequestration Center from The Ohio State University.</t>
  </si>
  <si>
    <t>0160-4120</t>
  </si>
  <si>
    <t>1873-6750</t>
  </si>
  <si>
    <t>ENVIRON INT</t>
  </si>
  <si>
    <t>Environ. Int.</t>
  </si>
  <si>
    <t>10.1016/j.envint.2016.10.020</t>
  </si>
  <si>
    <t>EE8YV</t>
  </si>
  <si>
    <t>WOS:000389913500012</t>
  </si>
  <si>
    <t>Whitehead, D; McNally, SR; Graham, SL; Pronger, J; Wall, AM; Isson, T; Beare, MH; Tozer, KN; Doole, GJ; Murray, S; Mudge, PL; Schipper, LA</t>
  </si>
  <si>
    <t>Whitehead, David; McNally, Samuel R.; Graham, Scott L.; Pronger, Jack; Wall, Aaron M.; Isson, Terry; Beare, Mike H.; Tozer, Katherine N.; Doole, Graeme J.; Murray, Shevani; Mudge, Paul L.; Schipper, Louis A.</t>
  </si>
  <si>
    <t>Evaluation of the potential for nine established and emerging interventions to reduce soil carbon losses and increase stocks in grazing systems: A case study for Aotearoa New Zealand</t>
  </si>
  <si>
    <t>agroforestry; deep rooting species; enhanced rock weathering; forage cropping; full inversion tillage; organic soils</t>
  </si>
  <si>
    <t>SOLUBLE CARBOHYDRATE RESERVES; ORGANIC-CARBON; CLIMATE-CHANGE; LAND-USE; SATURATION DEFICIT; ATMOSPHERIC CO2; DIVERSE SWARD; DAIRY PASTURE; ROOT-GROWTH; SEQUESTRATION</t>
  </si>
  <si>
    <t>This article reviews nine soil carbon interventions to reduce soil carbon losses or increase stocks in grazing management systems, using their potential application in Aotearoa New Zealand (A-NZ) as a case study. The interventions are classified into three strategies: (1) increasing carbon inputs through deep-rooting and diverse species grasslands, reducing forage cropping and deferred grazing management; (2) increasing protection of carbon stocks by water table management on organic soils, reducing cropping on organic soils, full inversion tillage grassland renewal, the addition of clay minerals and enhanced rock weathering and (3) the adoption of integrated systems including establishing tree clusters into grasslands and agroforestry. We estimated the land area where these interventions could realistically be implemented in A-NZ and assessed their potential impact on mitigating national overall agricultural greenhouse gas emissions. The potential impact of each intervention ranged from &lt;1% to 2.5% of national agricultural greenhouse gas emissions over 20 years. However, confidence in these approaches is hindered by a lack of research data where these approaches have been tested for different soil types and conditions. Notably, water table management, which reduces carbon loss from organic soils, was the only intervention that could achieve moderate, short- and long-term impacts with a confidence level assessed as 'likely'. We conclude that reducing further soil carbon losses and achieving modest increases in soil carbon stocks are possible but will require economic and political incentives that encourage the integration of multiple interventions at the farm scale.</t>
  </si>
  <si>
    <t>[Whitehead, David; McNally, Samuel R.; Graham, Scott L.] Manaaki Whenua Landcare Res, POB 69040, Lincoln 7640, New Zealand; [Pronger, Jack; Mudge, Paul L.] Manaaki Whenua Landcare Res, Hamilton, New Zealand; [Wall, Aaron M.; Schipper, Louis A.] Univ Waikato, Te Aka Matuatua Sch Sci &amp; Environm Res Inst, Hamilton, New Zealand; [Isson, Terry] Univ Waikato, Te Aka Matuatua Sch Sci &amp; Environm Res Inst, Tauranga, New Zealand; [Beare, Mike H.] New Zealand Inst Plant &amp; Food Res, Christchurch, New Zealand; [Tozer, Katherine N.; Doole, Graeme J.] AgResearch, Hamilton, New Zealand; [Murray, Shevani] Wageningen Univ &amp; Res, Soil Biol Grp, Wageningen, Netherlands</t>
  </si>
  <si>
    <t>Landcare Research - New Zealand; Landcare Research - New Zealand; University of Waikato; University of Waikato; New Zealand Institute for Plant &amp; Food Research Ltd; AgResearch - New Zealand; Wageningen University &amp; Research</t>
  </si>
  <si>
    <t>Whitehead, D (corresponding author), Manaaki Whenua Landcare Res, POB 69040, Lincoln 7640, New Zealand.</t>
  </si>
  <si>
    <t>whiteheadd@landcareresearch.co.nz</t>
  </si>
  <si>
    <t>; Beare, Michael/A-1997-2014; Wall, Aaron/AAQ-1833-2021; Mudge, Paul/AAX-3697-2020; Schipper, Louis/F-1605-2010</t>
  </si>
  <si>
    <t>Murray, Shevani/0009-0006-3704-050X; Graham, Scott/0000-0002-4751-9868</t>
  </si>
  <si>
    <t>New Zealand Agricultural Greenhouse Gas Research Centre; Ministry of Business, Innovation and Employment Endeavour Fund [C09X2209]</t>
  </si>
  <si>
    <t>New Zealand Agricultural Greenhouse Gas Research Centre; Ministry of Business, Innovation and Employment Endeavour Fund(New Zealand Ministry of Business, Innovation and Employment (MBIE))</t>
  </si>
  <si>
    <t>Funding for this work was provided by the New Zealand Agricultural Greenhouse Gas Research Centre and additional funding to Manaaki Whenua - Landcare Research for the Trees in landscapes programme from the Ministry of Business, Innovation and Employment Endeavour Fund contract number C09X2209. We appreciate helpful comments on the manuscript from Donna Giltrap and Liyin Liang. Open access publishing facilitated by Landcare Research New Zealand, as part of the Wiley - Landcare Research New Zealand agreement via the Council of Australian University Librarians.</t>
  </si>
  <si>
    <t>e13113</t>
  </si>
  <si>
    <t>10.1111/sum.13113</t>
  </si>
  <si>
    <t>H3H7D</t>
  </si>
  <si>
    <t>WOS:001322384600001</t>
  </si>
  <si>
    <t>Al-Rawashdeh, H; Al-Khashman, OA; Arrfou, LM; Gomaa, MR; Rezk, H; Shalby, M; Al Bdour, JT; Louzazni, M</t>
  </si>
  <si>
    <t>Al-Rawashdeh, Hani; Al-Khashman, Omar Ali; Arrfou, Laith M.; Gomaa, Mohamed R.; Rezk, Hegazy; Shalby, Mohammad; Al Bdour, Jehad T.; Louzazni, Mohamed</t>
  </si>
  <si>
    <t>Different Scenarios for Reducing Carbon Emissions, Optimal Sizing, and Design of a Stand-Alone Hybrid Renewable Energy System for Irrigation Purposes</t>
  </si>
  <si>
    <t>INTERNATIONAL JOURNAL OF ENERGY RESEARCH</t>
  </si>
  <si>
    <t>RURAL ELECTRIFICATION; TECHNOECONOMIC FEASIBILITY; ELECTRICITY-GENERATION; PHOTOVOLTAIC SYSTEM; POWER-SYSTEMS; SAUDI-ARABIA; WATER; STRATEGY; HEAT; IRAN</t>
  </si>
  <si>
    <t>Irrigation systems to supply water to agricultural land are essential in remote and isolated areas. However, these areas often face challenges and obstacles in obtaining energy for use in irrigation since many depend on diesel generators (DGs) to produce electricity. A farm located in a remote area in Al-Jafr, Jordan, uses a 100 kW DG to supply its need for electric energy for irrigation purposes. Its energy consumption is 500 kWh/day at $0.29/kWh. This paper designs a new hybrid renewable energy system (HRES) for this farm by conducting simulations using the HOMER (Hybrid Optimization of Multiple Energy Resources) software. This new system consists of solar photovoltaics (PVs), batteries, an inverter, and a 100 kW DG. The results showed a clear difference between the baseline DG-only system and the hybrid system regarding energy cost and carbon emissions. The energy price for the HRES is $0.107/kWh, and carbon dioxide emissions are reduced to 27,378 kg/yr from 184,917 kg/yr for the DG-only system. In addition, simulations and comparisons for an alternative HRES with a 60 kW DG were conducted. Based on the simulation results, the energy price was $0.091 instead of $0.19, and carbon dioxide (CO2) emissions were 15,847 kg/yr instead of 115,090 kg/yr. It was concluded that using hybrid renewable energy systems to power the irrigation of remote areas successfully reduced the energy cost, fuel consumption, emissions, and overall cost. The HOMER program makes an accurate comparison over extended periods between the four strategies (load following, cycle charging, combined dispatch, and predictive dispatch) and selects the optimal system based on the cost, emissions, fuel consumption, and percentage of renewable energy from the system.</t>
  </si>
  <si>
    <t>[Al-Rawashdeh, Hani; Gomaa, Mohamed R.] Al Hussein Bin Talal Univ, Fac Engn, Mech Engn Dept, Maan, Jordan; [Al-Khashman, Omar Ali; Arrfou, Laith M.; Shalby, Mohammad; Al Bdour, Jehad T.] Al Hussein Bin Talal Univ, Fac Engn, Environm Engn Dept, Maan, Jordan; [Gomaa, Mohamed R.] Benha Univ, Benha Fac Engn, Mech Engn Dept, Banha, Egypt; [Rezk, Hegazy] Prince Sattam bin Abdulaziz Univ, Coll Engn Wadi Alddawasir, Dept Elect Engn, Al Kharj, Saudi Arabia; [Rezk, Hegazy] Minia Univ, Fac Engn, Elect Engn Dept, Al Minya, Egypt; [Louzazni, Mohamed] Chouaib Doukkali Univ El Jadida, Natl Sch Appl Sci, Sci Engineer Lab Energy, El Jadida, Morocco</t>
  </si>
  <si>
    <t>Al-Hussein Bin Talal University; Al-Hussein Bin Talal University; Egyptian Knowledge Bank (EKB); Benha University; Prince Sattam Bin Abdulaziz University; Egyptian Knowledge Bank (EKB); Minia University; Chouaib Doukkali University of El Jadida</t>
  </si>
  <si>
    <t>Gomaa, MR (corresponding author), Al Hussein Bin Talal Univ, Fac Engn, Mech Engn Dept, Maan, Jordan.;Gomaa, MR (corresponding author), Benha Univ, Benha Fac Engn, Mech Engn Dept, Banha, Egypt.;Louzazni, M (corresponding author), Chouaib Doukkali Univ El Jadida, Natl Sch Appl Sci, Sci Engineer Lab Energy, El Jadida, Morocco.</t>
  </si>
  <si>
    <t>hani_raw@yahoo.com; omarkhashman@yahoo.com; laitharrfou@gmail.com; behiri@bhit.bu.edu.eg; hegazy.hussien@mu.edu.eg; mohammad.shalby@ahu.edu.jo; jehad017@gmail.com; louzazni.m@ucd.ac.ma</t>
  </si>
  <si>
    <t>Rezk, Hegazy/M-2100-2019; Gomaa, Mohamed R/I-6427-2018; Gomaa Behiri, Mohamed/I-6427-2018; Louzazni, Mohamed/AAG-3886-2019</t>
  </si>
  <si>
    <t>Louzazni, Mohamed/0000-0003-0686-0426; Gomaa, Mohamed R/0000-0003-4799-6119;</t>
  </si>
  <si>
    <t>0363-907X</t>
  </si>
  <si>
    <t>1099-114X</t>
  </si>
  <si>
    <t>INT J ENERG RES</t>
  </si>
  <si>
    <t>Int. J. Energy Res.</t>
  </si>
  <si>
    <t>JUL 12</t>
  </si>
  <si>
    <t>10.1155/2023/6338448</t>
  </si>
  <si>
    <t>Energy &amp; Fuels; Nuclear Science &amp; Technology</t>
  </si>
  <si>
    <t>M9WZ5</t>
  </si>
  <si>
    <t>WOS:001033656900001</t>
  </si>
  <si>
    <t>Kasali, MY</t>
  </si>
  <si>
    <t>Kasali, M. Y.</t>
  </si>
  <si>
    <t>Present Status and Future Prospects of Agricultural Machinery Research Activities in Nigeria</t>
  </si>
  <si>
    <t>prospects; machinery; research; activities</t>
  </si>
  <si>
    <t>The National Centre for Agricultural Mechanization (NCAM) is the only Nigeria's federal government parastatal with the mandate of promoting agricultural mechanization practice. Agricultural machinery research activities in Nigeria have been bedeviled by some challenges which if appropriately addressed will promote the wide array of machinery for farming and agro-processing activities in Nigeria. The success of agricultural machinery research activities in Nigeria will also limit, if not eliminate, the use of traditional hand tools, implements and equipment. This paper discusses the present status and future prospects of agricultural machinery research activities in Nigeria.</t>
  </si>
  <si>
    <t>[Kasali, M. Y.] NCAM, Ilorin, Kwara State, Nigeria</t>
  </si>
  <si>
    <t>Kasali, MY (corresponding author), NCAM, Ilorin, Kwara State, Nigeria.</t>
  </si>
  <si>
    <t>yommekasali1@gmail.com</t>
  </si>
  <si>
    <t>WOS:000433525500017</t>
  </si>
  <si>
    <t>Permadi, DA; Oanh, NTK; Vautard, R</t>
  </si>
  <si>
    <t>Permadi, Didin Agustian; Nguyen Thi Kim Oanh; Vautard, Robert</t>
  </si>
  <si>
    <t>Assessment of emission scenarios for 2030 and impacts of black carbon emission reduction measures on air quality and radiative forcing in Southeast Asia</t>
  </si>
  <si>
    <t>CLIMATE-CHANGE; PUBLIC-HEALTH; AEROSOLS; POLLUTION; POLLUTANTS; INVENTORY; BENEFITS; CHINA; MODEL</t>
  </si>
  <si>
    <t>Our previously published paper (Permadi et al. 2018) focused on the preparation of emission input data and evaluation of WRF-CHIMERE performance in 2007. This paper details the impact assessment of the future (2030) black carbon (BC) emission reduction measures for Southeast Asia (SEA) countries on air quality, health and BC direct radiative forcing (DRF). The business as usual (BAU2030) projected emissions from the base year of 2007 (BY2007), assuming no intervention with the linear projection of the emissions based on the past activity data for Indonesia and Thailand and the sectoral GDP growth for other countries. The RED2030 featured measures to cut down emissions in major four source sectors in Indonesia and Thailand ( road transport, residential cooking, industry, biomass open burning) while for other countries the Representative Concentration Pathway 8.5 (RCP8.5) emissions were assumed. WRF-CHIMERE simulated levels of aerosol species under BAU2030 and RED2030 for the modeling domain using the base year meteorology and 2030 boundary conditions from LMDZ-INCA. The extended aerosol optical depth module (AODEM) calculated the total columnar AOD and BC AOD for all scenarios with an assumption on the internal mixing state. Under RED2030, the health benefits were analyzed in terms of the number of avoided premature deaths associated with ambient PM2:5 reduction along with BC DRF reduction. Under BAU2030, the average number of the premature deaths per 100 000 people in the SEA domain would increase by 30 from BY2007 while under RED2030 the premature deaths would be cut down (avoided) by 63 from RED2030. In 2007, the maximum annual average BC DRF in the SEA countries was 0.98Wm(-2), which would increase to 2.0Wm(-2) under BAU2030 and 1.4Wm(-2) under RED2030. Substantial impacts on human health and BC DRF reduction in SEA could result from the emission measures incorporated in RED2030. Future works should consider other impacts, such as for agricultural crop production, and the cost-benefit analysis of the measures' implementation to provide relevant information for policy making.</t>
  </si>
  <si>
    <t>[Permadi, Didin Agustian; Nguyen Thi Kim Oanh] Asian Inst Technol, Environm Engn &amp; Management, Sch Environm Resources &amp; Dev, Klongluang 12120, Pathumthani, Thailand; [Vautard, Robert] IPSL, LSCE, Gif Sur Yvette, France</t>
  </si>
  <si>
    <t>Asian Institute of Technology; Universite Paris Cite; Universite Paris Saclay</t>
  </si>
  <si>
    <t>Oanh, NTK (corresponding author), Asian Inst Technol, Environm Engn &amp; Management, Sch Environm Resources &amp; Dev, Klongluang 12120, Pathumthani, Thailand.</t>
  </si>
  <si>
    <t>kimoanh@ait.ac.th</t>
  </si>
  <si>
    <t>Kim Oanh, Nguyen Thi/D-9160-2019; Permadi, Didin/AAH-9717-2019; Nguyen, Kim/D-9160-2019; Vautard, Robert/ABF-9489-2020</t>
  </si>
  <si>
    <t>Kim Oanh, Nguyen Thi/0000-0002-0367-0013;</t>
  </si>
  <si>
    <t>French government under the Asian Institute of Technology (AIT)/Sustainable Development in the Context of Climate Change (SDCC) - France Network cooperation; United States Agency for International Development (USAID) under the PEER-SEA (Partnerships for Enhanced Engagement in Research for Southeast Asia) research project</t>
  </si>
  <si>
    <t>French government under the Asian Institute of Technology (AIT)/Sustainable Development in the Context of Climate Change (SDCC) - France Network cooperation; United States Agency for International Development (USAID) under the PEER-SEA (Partnerships for Enhanced Engagement in Research for Southeast Asia) research project(United States Agency for International Development (USAID))</t>
  </si>
  <si>
    <t>We acknowledged Didier Hauglustaine for sharing the simulation results of the LMDZ-INCA used for the boundary conditions in this work. This research was financially supported by the French government under the Asian Institute of Technology (AIT)/Sustainable Development in the Context of Climate Change (SDCC) - France Network cooperation and by the United States Agency for International Development (USAID) under the PEER-SEA (Partnerships for Enhanced Engagement in Research for Southeast Asia) research project.</t>
  </si>
  <si>
    <t>MAR 7</t>
  </si>
  <si>
    <t>10.5194/acp-18-3321-2018</t>
  </si>
  <si>
    <t>FY5ZL</t>
  </si>
  <si>
    <t>WOS:000426918000005</t>
  </si>
  <si>
    <t>Zhang, YY; Fang, XM; Ge, ZL; Zhang, Q; Xu, JY; Zhao, JX; Zhai, WY; Lv, J</t>
  </si>
  <si>
    <t>Zhang, Yuanyuan; Fang, Xiaomeng; Ge, Zhongliang; Zhang, Qi; Xu, Jiayu; Zhao, Jiaxing; Zhai, Wanying; Lv, Jing</t>
  </si>
  <si>
    <t>Analysis of Carbon Reduction Benefits of Ecological Plastic Film Promotion and Use in Qingcheng Town, Shanxi Province</t>
  </si>
  <si>
    <t>ecological plastic film; life cycle assessment; SimaPro software</t>
  </si>
  <si>
    <t>This study applied a life cycle assessment (LCA) and SimaPro software to calculate the carbon footprint of ecological plastic film in Qingcheng Town. The results indicate that the carbon reduction efficiency of ecological plastic film compared to 0.01 mm PE film ranged from 30.8% to 40.0%, without accounting for the substitution of humus for chemical fertilizers. When humus substitution was considered, the range increased to 70.2% to 74.2%. Ecological plastic film achieved the greatest emission reduction in the final treatment stage, accounting for 54.1% of total CO2 reduction, followed by the production stage at 44.8%, while the transportation phase contributed only 1.1%. Projecting to 2030, if half of the cultivated land in Shanxi Province uses ecological plastic film instead of 0.01 mm PE film, a 19.7% reduction in carbon emissions is expected. Full coverage with ecological plastic film could raise this to 39.4%. To encourage its adoption, the study suggests that the government offers financial subsidies to enterprises or farmers, promotes agricultural carbon taxes, or supports carbon trading. With a carbon price or tax exceeding 67.1 CNY/t, ecological plastic film achieves cost parity with 0.01 mm PE plastic film.</t>
  </si>
  <si>
    <t>[Zhang, Yuanyuan; Ge, Zhongliang; Zhang, Qi; Zhao, Jiaxing; Zhai, Wanying; Lv, Jing] Shandong Inst Petr &amp; Chem Technol, Sch Petr Engn, Dongying 257061, Peoples R China; [Fang, Xiaomeng] Hangzhou Dianzi Univ, Sch Mat &amp; Environm Engn, Hangzhou 310018, Peoples R China; [Xu, Jiayu] Tsinghua Univ, Sch Environm, Beijing 100084, Peoples R China; [Xu, Jiayu] State Environm Protect Key Lab Sources &amp; Control A, Beijing 100084, Peoples R China</t>
  </si>
  <si>
    <t>Shandong Institute of Petroleum &amp; Chemical Technology; Hangzhou Dianzi University; Tsinghua University</t>
  </si>
  <si>
    <t>Zhang, YY (corresponding author), Shandong Inst Petr &amp; Chem Technol, Sch Petr Engn, Dongying 257061, Peoples R China.</t>
  </si>
  <si>
    <t>2021005@sdipct.edu.cn; 242200113@hdu.edu.cn; gzl2098525236@163.com; 19862970250@163.com; jiayu-xu@tsinghua.edu.cn; 19953937412@163.com; zwy041620@163.com; 19854670769@163.com</t>
  </si>
  <si>
    <t>Yuanyuan, Zhang/KCK-1271-2024; Zhao, Jia-Xiang/GLT-3663-2022</t>
  </si>
  <si>
    <t>Scientific Development found project of Dongying City, Shandong Province, China; [DJB2021005]</t>
  </si>
  <si>
    <t>Scientific Development found project of Dongying City, Shandong Province, China;</t>
  </si>
  <si>
    <t>The research was funded by the Scientific Development found project of Dongying City, Shandong Province, China (DJB2021005).</t>
  </si>
  <si>
    <t>10.3390/su17010185</t>
  </si>
  <si>
    <t>R8M0W</t>
  </si>
  <si>
    <t>WOS:001393909800001</t>
  </si>
  <si>
    <t>Song, JJ; Xu, W; Song, JH; Bai, JZ; Gao, GX; Zhang, ZH; Yu, Q; Hao, JQ; Ren, GX; Han, XH; Wang, XJ; Ren, CJ; Feng, YZ; Wang, X</t>
  </si>
  <si>
    <t>Song, Jiajie; Xu, Wen; Song, Jianheng; Bai, Jinze; Gao, Guoxi; Zhang, Zhihao; Yu, Qi; Hao, Jiaqi; Ren, Guangxin; Han, Xinhui; Wang, Xiaojiao; Ren, Chengjie; Feng, Yongzhong; Wang, Xing</t>
  </si>
  <si>
    <t>Straw return with chemical fertilizer improves soil carbon pools and CO2 emissions by regulating stoichiometry</t>
  </si>
  <si>
    <t>EUROPEAN JOURNAL OF SOIL SCIENCE</t>
  </si>
  <si>
    <t>CO2 emissions; ecological stoichiometry; fertilizer; soil carbon pool; straw return</t>
  </si>
  <si>
    <t>ORGANIC-MATTER; TEMPERATURE SENSITIVITY; DECOMPOSITION; NITROGEN; MINERALIZATION; RESPIRATION; CROP; SATURATION; EFFICIENCY; INCREASES</t>
  </si>
  <si>
    <t>Straw return with chemical fertilizers is integral to improving soil quality and the sustainability of agricultural production. However, little is known about how straw return with chemical fertilizer application affects CO2 emissions and carbon pools from the perspective of nutrient stoichiometry. We conducted a 2-year (2020-2021) field experiment in a wheat-maize rotation system in silty clay loam to study the effects of straw return and fertilizer application on CO2 emissions, soil carbon pools and yields by applying stoichiometry. A split-plot experimental design was used (straw was main treatment, and fertilizer was the split-plot treatment). The treatments were no straw return + no fertilizer (S0W), no straw return + mineral nitrogen fertilizer (S0N), no straw return + mineral nitrogen and phosphorus fertilizer (S0NP), straw return + no fertilizer (SW), straw return + mineral nitrogen fertilizer (SN) and straw return + mineral nitrogen and phosphorus fertilizer (SNP). The results indicated that, compared with S0W, the SNP treatment significantly increased soil organic carbon (SOC) storage by 17% and 13% in the 0-20 cm and 20-40 cm soil horizons, respectively. Additionally, compared with S0W, the SNP and SN treatments significantly increased the annual cumulative CO2 emissions by 85% and 41%, respectively. Furthermore, the SNP and SN treatments significantly increased the annual yield by 61% and 38%, respectively, compared with S0W. Our results indicated that straw and fertilizer inputs reduced the C:N-imbalance in the topsoil (0-20 cm), with fertilizer inputs showing a more pronounced effect. However, straw incorporation increased the C:N-imbalance in subsoil (20-40 cm). Redundancy analysis (RDA) and structural equation models (SEM) suggested that 0-20 cm carbon-phosphorus ratio (C:P) and nitrogen-phosphorus ratio (N:P) could be significant predictors of annual yield and CO2 emissions. In conclusion, straw and fertilizers enhanced soil nutrient effectiveness and reduced carbon mineralization in favour of SOC storage. However, the input of exogenous materials (straw and fertilizers) disrupted the soil ecological stoichiometric balance and stimulated microbial activity, leading to increased CO2 emissions. Overall, this study provides theoretical guidance and scientific support for the green development of agriculture.</t>
  </si>
  <si>
    <t>[Song, Jiajie; Xu, Wen; Song, Jianheng; Bai, Jinze; Gao, Guoxi; Zhang, Zhihao; Yu, Qi; Hao, Jiaqi; Ren, Guangxin; Han, Xinhui; Wang, Xiaojiao; Ren, Chengjie; Feng, Yongzhong; Wang, Xing] Northwest A&amp;F Univ, Coll Agron, Yangling, Peoples R China; [Song, Jiajie; Xu, Wen; Song, Jianheng; Bai, Jinze; Gao, Guoxi; Zhang, Zhihao; Yu, Qi; Hao, Jiaqi; Ren, Guangxin; Han, Xinhui; Wang, Xiaojiao; Ren, Chengjie; Feng, Yongzhong; Wang, Xing] Shaanxi Engn Res Ctr Circular Agr, Yangling, Peoples R China</t>
  </si>
  <si>
    <t>Feng, YZ; Wang, X (corresponding author), Northwest A&amp;F Univ, Coll Agron, Xianyang 712100, Shaanxi, Peoples R China.</t>
  </si>
  <si>
    <t>fengyz@nwsuaf.edu.cn; wangxing0103@nwafu.edu.cn</t>
  </si>
  <si>
    <t>ren, guangxin/Q-1234-2015; Wang, Xing/JNT-4284-2023; Feng, Yongzhong/F-5090-2012; Ren, Chengjie/CAH-8119-2022</t>
  </si>
  <si>
    <t>National Natural Science Foundation of China; Doctoral Research Start-up Fund of Northwest AF University [Z1090121109]; [31971859]</t>
  </si>
  <si>
    <t>National Natural Science Foundation of China(National Natural Science Foundation of China (NSFC)); Doctoral Research Start-up Fund of Northwest AF University;</t>
  </si>
  <si>
    <t>This study was supported by National Natural Science Foundation of China (31971859) and Doctoral Research Start-up Fund of Northwest A&amp;F University (Z1090121109). We are deeply appreciative of the constructive comments made by the anonymous reviewers.</t>
  </si>
  <si>
    <t>1351-0754</t>
  </si>
  <si>
    <t>1365-2389</t>
  </si>
  <si>
    <t>EUR J SOIL SCI</t>
  </si>
  <si>
    <t>Eur. J. Soil Sci.</t>
  </si>
  <si>
    <t>e70017</t>
  </si>
  <si>
    <t>10.1111/ejss.70017</t>
  </si>
  <si>
    <t>O5C7M</t>
  </si>
  <si>
    <t>WOS:001371310800001</t>
  </si>
  <si>
    <t>Ramachandran, S; Rupakheti, M; Cherian, R; Lawrence, MG</t>
  </si>
  <si>
    <t>Ramachandran, S.; Rupakheti, Maheswar; Cherian, R.; Lawrence, Mark G.</t>
  </si>
  <si>
    <t>Climate Benefits of Cleaner Energy Transitions in East and South Asia Through Black Carbon Reduction</t>
  </si>
  <si>
    <t>cleaner energy transitions; Asia; air pollution; black carbon; climate benefits</t>
  </si>
  <si>
    <t>AEROSOL OPTICAL-PROPERTIES; ABSORPTION PROPERTIES; POLLUTANT EMISSIONS; TRENDS; AERONET; CHINA; INVENTORY; CHEMISTRY; LAND</t>
  </si>
  <si>
    <t>The state of air pollution has historically been tightly linked to how we produce and use energy. Air pollutant emissions over Asia are now changing rapidly due to cleaner energy transitions; however, magnitudes of benefits for climate and air quality remain poorly quantified. The associated risks involve adverse health impacts, reduced agricultural yields, reduced freshwater availability, contributions to climate change, and economic costs. We focus particularly on climate benefits of energy transitions by making first-time use of two decades of high quality observations of atmospheric loading of light-absorbing black carbon (BC) over Kanpur (South Asia) and Beijing (East Asia) and relating these observations to changing energy, emissions, and economic trends in India and China. Our analysis reveals that absorption aerosol optical depth (AAOD) due to BC has decreased substantially, by 40% over Kanpur and 60% over Beijing between 2001 and 2017, and thus became decoupled from regional economic growth. Furthermore, the resultant decrease in BC emissions and BC AAOD over Asia is regionally coherent and occurs primarily due to transitions into cleaner energies (both renewables and fossil fuels) and not due to the decrease in primary energy supply or decrease in use of fossil use and biofuels and waste. Model simulations show that BC aerosols alone contribute about half of the surface temperature change (warming) of the total forcing due to greenhouse gases, natural and internal variability, and aerosols, thus clearly revealing the climate benefits due to a reduction in BC emissions, which would significantly reduce global warming. However, this modeling study excludes responses from natural variability, circulation, and sea ice responses, which cause relatively strong temperature fluctuations that may mask signals from BC aerosols. Our findings show additional benefits for climate (beyond benefits of CO2 reduction) and for several other issues of sustainability over South and East Asia, provide motivation for ongoing cleaner energy production, and consumption transitions, especially when they are associated with reduced emissions of air pollutants. Such an analysis connecting the trends in energy transitions and aerosol absorption loading, unavailable so far, is crucial for simulating the aerosol climate impacts over Asia which is quite uncertain.</t>
  </si>
  <si>
    <t>[Ramachandran, S.] Phys Res Lab, Ahmadabad, Gujarat, India; [Ramachandran, S.; Rupakheti, Maheswar; Lawrence, Mark G.] Inst Adv Sustainabil Studies, Potsdam, Germany; [Cherian, R.] Univ Leipzig, Leipzig Inst Meteorol, Leipzig, Germany; [Lawrence, Mark G.] Univ Potsdam, Inst Environm Sci &amp; Geog, Potsdam, Germany</t>
  </si>
  <si>
    <t>Department of Space (DoS), Government of India; Physical Research Laboratory - India; Leipzig University; University of Potsdam</t>
  </si>
  <si>
    <t>Ramachandran, S (corresponding author), Phys Res Lab, Ahmadabad, Gujarat, India.;Ramachandran, S (corresponding author), Inst Adv Sustainabil Studies, Potsdam, Germany.</t>
  </si>
  <si>
    <t>ram@prl.res.in</t>
  </si>
  <si>
    <t>Cherian, Ribu/C-7188-2014; Rupakheti, Maheswar/AAQ-5855-2020</t>
  </si>
  <si>
    <t>Cherian, Ribu/0000-0003-2581-4214; Lawrence, Mark/0000-0002-2178-4903</t>
  </si>
  <si>
    <t>German Federal Ministry for Education and Research (BMBF); Brandenburg State Ministry for Science, Research and Culture (MWFK); DFG [637230]</t>
  </si>
  <si>
    <t>German Federal Ministry for Education and Research (BMBF)(Federal Ministry of Education &amp; Research (BMBF)); Brandenburg State Ministry for Science, Research and Culture (MWFK); DFG(German Research Foundation (DFG))</t>
  </si>
  <si>
    <t>We thank the principal investigators for their efforts in establishing and maintaining the Kanpur and Beijing AERONET sites (https://aeronet.gsfc.nasa.gov/), the data of which are used in the study. This work was performed when SR was a Senior Fellow at IASS on a sabbatical from the Physical Research Laboratory, India. Presently, SR is an Affiliate Scholar of IASS. We are grateful to the German Federal Ministry for Education and Research (BMBF) and the Brandenburg State Ministry for Science, Research and Culture (MWFK) for funding the work of IASS. RC acknowledges the funding support by DFG (project number: 637230). The annual average of MODIS Terra version 6.1 monthly combined dark target and deep blue AOD data at 0.55 mu m for land and ocean at 1o resolution and OMI OMAERUVd v003 level 2 AAOD at 0.388 mu m at 0.5o resolution are downloaded (Figure 4) from https://giovanni.gsfc.nasa.gov/giovanni/.We also acknowledge the OMI and NASA mission scientists and associated NASA personnel for the production of the data used in Figure 4. All data from the UKESM model used in this manuscript are available on the Earth System Grid Federation (ESGF) website and can be downloaded from the website (https://esgf-index1.ceda.ac.uk/search/cmip6-ceda/).We acknowledge the World Climate Research Programme, which through its working group on coupled modeling, coordinated and promoted Coupled Model Intercomparison Project Phase 6 (CMIP6). We thank the climate modeling groups for producing and making available their model output, the ESGF for archiving the data and providing access, and the multiple funding agencies that support CMIP6 and ESGF.</t>
  </si>
  <si>
    <t>MAR 9</t>
  </si>
  <si>
    <t>10.3389/fenvs.2022.842319</t>
  </si>
  <si>
    <t>0S9MH</t>
  </si>
  <si>
    <t>WOS:000786594600001</t>
  </si>
  <si>
    <t>Manley, B</t>
  </si>
  <si>
    <t>Manley, Bruce</t>
  </si>
  <si>
    <t>Forecasting the effect of carbon price and log price on the afforestation rate in New Zealand</t>
  </si>
  <si>
    <t>Afforestation; Emissions Trading Scheme; Land Expectation Value</t>
  </si>
  <si>
    <t>EMISSIONS TRADING SCHEME; FOREST; IMPACT</t>
  </si>
  <si>
    <t>The Emissions Trading Scheme (ETS) enacted in New Zealand in 2008 allows forest growers to claim units for carbon sequestered by new forests. As afforestation is an important contributor to New Zealand meeting net emission targets there is interest in forecasting the rate of afforestation, particularly how it will vary with the price of carbon in the ETS. Consequently a model is developed to estimate afforestation rate from the Land Expectation Value (LEV) of 'traditional' forestry (i.e., revenues only from log sales), the LEV from the carbon trading opportunity that the ETS creates, and land value. Initially the relationship between afforestation rate and A grade log price during the period 1988 and 2008 is considered. Then the relationship between afforestation rate and LEV is evaluated. Initially the period up to 2008 is considered to evaluate the impact of 'traditional' forest profitability on the afforestation rate. Then the period from 2009 to 2015 is included and the impact of carbon is introduced. Finally the cost of land is introduced into the model. The land affordability model developed allows the future afforestation rate to be forecast from carbon price, log price and land value. (C) 2017 Department of Forest Economics, Swedish University of Agricultural Sciences, Umea. Published by Elsevier GmbH. All rights reserved.</t>
  </si>
  <si>
    <t>[Manley, Bruce] Univ Canterbury, New Zealand Sch Forestry, Private Bag 4800, Christchurch 8140, New Zealand</t>
  </si>
  <si>
    <t>University of Canterbury</t>
  </si>
  <si>
    <t>Manley, B (corresponding author), Univ Canterbury, New Zealand Sch Forestry, Private Bag 4800, Christchurch 8140, New Zealand.</t>
  </si>
  <si>
    <t>bruce.manley@canterbury.ac.nz</t>
  </si>
  <si>
    <t>ELSEVIER GMBH, URBAN &amp; FISCHER VERLAG</t>
  </si>
  <si>
    <t>JENA</t>
  </si>
  <si>
    <t>OFFICE JENA, P O BOX 100537, 07705 JENA, GERMANY</t>
  </si>
  <si>
    <t>10.1016/j.jfe.2017.11.002</t>
  </si>
  <si>
    <t>HJ4PW</t>
  </si>
  <si>
    <t>WOS:000457156900013</t>
  </si>
  <si>
    <t>Tong, XW; Brandt, M; Yue, YM; Ciais, P; Jepsen, MR; Penuelas, J; Wigneron, JP; Xiao, XM; Song, XP; Horion, S; Rasmussen, K; Saatchi, S; Fan, L; Wang, KL; Zhang, B; Chen, ZC; Wang, YH; Li, XJ; Fensholt, R</t>
  </si>
  <si>
    <t>Tong, Xiaowei; Brandt, Martin; Yue, Yuemin; Ciais, Philippe; Jepsen, Martin Rudbeck; Penuelas, Josep; Wigneron, Jean-Pierre; Xiao, Xiangming; Song, Xiao-Peng; Horion, Stephanie; Rasmussen, Kjeld; Saatchi, Sassan; Fan, Lei; Wang, Kelin; Zhang, Bing; Chen, Zhengchao; Wang, Yuhang; Li, Xiaojun; Fensholt, Rasmus</t>
  </si>
  <si>
    <t>Forest management in southern China generates short term extensive carbon sequestration</t>
  </si>
  <si>
    <t>SOIL-MOISTURE; BIOMASS; PLANTATIONS; EXPANSION; PRODUCTS; RECOVERY; INCREASE; IMPACTS; STORAGE; STOCKS</t>
  </si>
  <si>
    <t>Land use policies have turned southern China into one of the most intensively managed forest regions in the world, with actions maximizing forest cover on soils with marginal agricultural potential while concurrently increasing livelihoods and mitigating climate change. Based on satellite observations, here we show that diverse land use changes in southern China have increased standing aboveground carbon stocks by 0.110.05Pg C y(-1) during 2002-2017. Most of this regional carbon sink was contributed by newly established forests (32%), while forests already existing contributed 24%. Forest growth in harvested forest areas contributed 16% and non-forest areas contributed 28% to the carbon sink, while timber harvest was tripled. Soil moisture declined significantly in 8% of the area. We demonstrate that land management in southern China has been removing an amount of carbon equivalent to 33% of regional fossil CO2 emissions during the last 6 years, but forest growth saturation, land competition for food production and soil-water depletion challenge the longevity of this carbon sink service.</t>
  </si>
  <si>
    <t>[Tong, Xiaowei; Yue, Yuemin; Wang, Kelin] Chinese Acad Sci, Inst Subtrop Agr, Key Lab Agroecol Proc Subtrop Reg, Changsha, Peoples R China; [Tong, Xiaowei; Brandt, Martin; Jepsen, Martin Rudbeck; Horion, Stephanie; Rasmussen, Kjeld; Fensholt, Rasmus] Univ Copenhagen, Dept Geosci &amp; Nat Resource Management, Copenhagen, Denmark; [Yue, Yuemin; Wang, Kelin] Chinese Acad Sci, Huanjiang Observat &amp; Res Stn Karst Ecosyst, Huanjiang, Peoples R China; [Ciais, Philippe] CEA CNRS UVSQ, CE Orme Merisiers, Lab Sci Climat &amp; Environm, Gif Sur Yvette, France; [Penuelas, Josep] CREAF CSIC UAB, CSIC, Global Ecol Unit, Bellaterra, Spain; [Penuelas, Josep] CREAF, Cerdanyola Del Valles, Spain; [Wigneron, Jean-Pierre; Fan, Lei; Li, Xiaojun] INRA Nouvelle Aquitaine, UMR 1391, ISPA, Bordeaux Villenave Dorno, France; [Xiao, Xiangming] Univ Oklahoma, Dept Microbiol &amp; Plant Biol, Norman, OK 73019 USA; [Song, Xiao-Peng] Texas Tech Univ, Dept Geosci, Lubbock, TX 79409 USA; [Saatchi, Sassan] CALTECH, Jet Prop Lab, Pasadena, CA USA; [Zhang, Bing; Chen, Zhengchao] Chinese Acad Sci, Inst Remote Sensing &amp; Digital Earth, Beijing, Peoples R China; [Wang, Yuhang] Beijing Normal Univ, Fac Geog Sci, State Key Lab Earth Surface Proc &amp; Resource Ecol, Beijing, Peoples R China</t>
  </si>
  <si>
    <t>Chinese Academy of Sciences; Institute of Subtropical Agriculture, CAS; University of Copenhagen; Chinese Academy of Sciences; CEA; Universite Paris Saclay; Consejo Superior de Investigaciones Cientificas (CSIC); Centro de Investigacion Ecologica y Aplicaciones Forestales (CREAF-CERCA); Centro de Investigacion Ecologica y Aplicaciones Forestales (CREAF-CERCA); INRAE; University of Oklahoma System; University of Oklahoma - Norman; Texas Tech University System; Texas Tech University; California Institute of Technology; National Aeronautics &amp; Space Administration (NASA); NASA Jet Propulsion Laboratory (JPL); Chinese Academy of Sciences; The Institute of Remote Sensing &amp; Digital Earth, CAS; Beijing Normal University</t>
  </si>
  <si>
    <t>Yue, YM; Wang, KL (corresponding author), Chinese Acad Sci, Inst Subtrop Agr, Key Lab Agroecol Proc Subtrop Reg, Changsha, Peoples R China.;Yue, YM; Wang, KL (corresponding author), Chinese Acad Sci, Huanjiang Observat &amp; Res Stn Karst Ecosyst, Huanjiang, Peoples R China.</t>
  </si>
  <si>
    <t>ymyue@isa.ac.cn; kelin@isa.ac.cn</t>
  </si>
  <si>
    <t>Wang, Yuhang/S-2125-2019; Li, Xiaojun/AFO-0620-2022; Song, Xiao-Peng/F-4894-2014; Jepsen, Martin/J-4039-2012; Penuelas, Josep/D-9704-2011; Fensholt, Rasmus/L-7951-2014; Fan, Lei/GXM-6852-2022; Horion, Stephanie/AAE-3226-2022; Xiao, Xiangming/ABS-9360-2022; Ciais, Philippe/A-6840-2011; Saatchi, Sassan/AAQ-2649-2021; Wigneron, Jean-Pierre/ABD-9939-2021; Penuelas, Josep/D-9704-2011; tong, xiaowei/LGZ-3883-2024; Brandt, Martin/E-4598-2015</t>
  </si>
  <si>
    <t>Penuelas, Josep/0000-0002-7215-0150; Fensholt, Rasmus/0000-0003-3067-4527; Horion, Stephanie/0000-0001-6716-1333; Song, Xiao-Peng/0000-0002-5514-0321; Xiao, Xiangming/0000-0003-0956-7428; wigneron, jean-pierre/0000-0001-5345-3618; Penuelas, Josep/0000-0002-7215-0150; Brandt, Martin/0000-0001-9531-1239; Li, Xiaojun/0000-0002-3831-4852</t>
  </si>
  <si>
    <t>National Key Research and Development Program of China [2016YFC0502400, 2018YFD1100103]; National Natural Science Foundation of China [41930652]; Strategic Priority Research Program of Chinese Academy of Sciences [XDA23060100]; Marie Curie fellowship [795970]; AXA research grant; Danish Council for Independent Research (DFF) [DFF-6111-00258]; NASA Land Cover and Land Use Change Program [NNX14AD78G]; European Research Council [ERC-2013-726 SyG-610028 IMBALANCE-P]; Marie Curie Actions (MSCA) [795970] Funding Source: Marie Curie Actions (MSCA)</t>
  </si>
  <si>
    <t>National Key Research and Development Program of China(National Key Research &amp; Development Program of China); National Natural Science Foundation of China(National Natural Science Foundation of China (NSFC)); Strategic Priority Research Program of Chinese Academy of Sciences(Chinese Academy of Sciences); Marie Curie fellowship(European Union (EU)); AXA research grant(AXA Research Fund); Danish Council for Independent Research (DFF)(Det Frie Forskningsrad (DFF)); NASA Land Cover and Land Use Change Program(National Aeronautics &amp; Space Administration (NASA)); European Research Council(European Research Council (ERC)); Marie Curie Actions (MSCA)(Marie Curie Actions)</t>
  </si>
  <si>
    <t>X.T. and Y.Y. were funded by the National Key Research and Development Program of China (no. 2016YFC0502400, 2018YFD1100103), the National Natural Science Foundation of China (41930652), and the Strategic Priority Research Program of Chinese Academy of Sciences (XDA23060100). X.T. was funded by a Marie Curie fellowship, grant number 795970. M.B. received funding from the AXA research grant. R.F. acknowledges the funding from the Danish Council for Independent Research (DFF) Grant ID: DFF-6111-00258. X.X. was funded by the NASA Land Cover and Land Use Change Program (NNX14AD78G). P.C. and J.P. were supported by the European Research Council Synergy grant ERC-2013-726 SyG-610028 IMBALANCE-P.</t>
  </si>
  <si>
    <t>10.1038/s41467-019-13798-8</t>
  </si>
  <si>
    <t>KK1UZ</t>
  </si>
  <si>
    <t>WOS:000512536000019</t>
  </si>
  <si>
    <t>Waheed, H; Hussain, A</t>
  </si>
  <si>
    <t>Waheed, Hizba; Hussain, Arshad</t>
  </si>
  <si>
    <t>Utilization of Carbon dioxide (CO2) for the Production of Ethanol</t>
  </si>
  <si>
    <t>CO2 utilization; CO2 recycling; Grignard's reagent; Reduction; Synthesis of ethanol</t>
  </si>
  <si>
    <t>Concentration of CO2 is increasing tremendously in earth's atmosphere which is leading to disastrous impacts like increasing earth's average temperature, melting of polar ice, rising of sea levels and other climatic effects that will result in massive drought, water shortage, agricultural losses and food shortage. Utilizing CO2 as a feed stock for various chemicals is an advantageous solution towards this problem. New CO2 based Fuels is developing an innovative and breakthrough technology providing a revolutionary, cost-effective solution to two global concerns: CO2 emissions and diminishing liquid fuel reserves. CO2 can be converted to alternate fuel by first reacting it with freshly prepared methyl magnesium bromide, CH3MgBr (Grignard's reagent) and then reducing the resultant product into Ethanol (C2H5OH) by using Sodium Borohydride (NaBH4) along with other electrophiles. The process produces 72% product yield. The product formed was characterized by using HPLC and FTIR techniques. The process can be carried out at mild conditions of temperature and pressure but keeping the moisture content minimum. The described progression will result in lessening of CO2 and providing another option for renewable energy source.</t>
  </si>
  <si>
    <t>[Waheed, Hizba; Hussain, Arshad] Natl Univ Sci &amp; Technol, Sch Chem &amp; Mat Engn, Islamabad, Pakistan</t>
  </si>
  <si>
    <t>National University of Sciences &amp; Technology - Pakistan</t>
  </si>
  <si>
    <t>Hussain, A (corresponding author), Natl Univ Sci &amp; Technol, Sch Chem &amp; Mat Engn, Islamabad, Pakistan.</t>
  </si>
  <si>
    <t>arshad.hussain@scme.nust.edu.pk</t>
  </si>
  <si>
    <t>; Husain, Arshad/AAJ-1144-2020</t>
  </si>
  <si>
    <t>Hussain, Arshad/0000-0002-5212-844X; Waheed, Hizba/0000-0002-7532-0100;</t>
  </si>
  <si>
    <t>School of Chemical and Materials Engineering, National University of Sciences and Technology, Islamabad, Pakistan</t>
  </si>
  <si>
    <t>This work was supported by School of Chemical and Materials Engineering, National University of Sciences and Technology, Islamabad, Pakistan.</t>
  </si>
  <si>
    <t>FR6IX</t>
  </si>
  <si>
    <t>WOS:000419170200002</t>
  </si>
  <si>
    <t>Jacinthe, PA; Vidon, P; Fisher, K; Liu, X; Baker, ME</t>
  </si>
  <si>
    <t>Jacinthe, P. A.; Vidon, P.; Fisher, K.; Liu, X.; Baker, M. E.</t>
  </si>
  <si>
    <t>Soil Methane and Carbon Dioxide Fluxes from Cropland and Riparian Buffers in Different Hydrogeomorphic Settings</t>
  </si>
  <si>
    <t>JOURNAL OF ENVIRONMENTAL QUALITY</t>
  </si>
  <si>
    <t>NITROUS-OXIDE EMISSION; LAND-USE; MICROBIAL BIOMASS; RESPIRATION; GROUNDWATER; DYNAMICS; REMOVAL; POOLS; ROOT; CH4</t>
  </si>
  <si>
    <t>Riparian buffers contribute to the mitigation of nutrient pollution in agricultural landscapes, but there is concern regarding their potential to be hot spots of greenhouse gas production. This study compared soil CO2 and CH4 fluxes in adjacent crop fields and riparian buffers (a flood-prone forest and a flood-protected grassland along an incised channel) and examined the impact of water table depth (WTD) and flood events on the variability of gas fluxes in riparian zones. Results showed significantly (P &lt; 0.001) higher CO2 emission in riparian areas than in adjoining croplands (6.8 +/- 0.6 vs. 3.6 +/- 0.5 Mg CO2-C ha(-1) yr(-1); mean +/- SE). Daily flux of CO2 and soil temperature were significantly related (P &lt; 0.002), with Q 10 values ranging between 1.75 and 2.53. Significant relationships (P &lt; 0.05) were found between CH4 daily flux and WTD. Flood events resulted in enhanced CH4 emission (up to + 44.5 mg CH4-C m(-2) d(-1) in a swale) under warm soil conditions (&gt; 22 degrees C), but the effect of flooding was less pronounced in early spring (emission &lt; 1.06 mg CH4-C m(-2) d(-1)), probably due to low soil temperature. Although CH4 flux direction alternated at all sites, overall the croplands and the flood-affected riparian forest were CH4 sources, with annual emission averaging + 0.04 +/- 0.17 and + 0.92 +/- 1.6 kg CH4-C ha(-1), respectively. In the riparian forest, a topographic depression (&lt; 8% of the total area) accounted for 78% of the annual CH4 emission, underscoring the significance of landscape heterogeneity on CH4 dynamics in riparian buffers. The nonflooded riparian grassland, however, was a net CH4 sink (-1.08 +/- 0.22 kg CH4-C ha(-1) yr(-1)), probably due to the presence of subsurface tile drains and a dredged/incised channel at that study site. Although these hydrological alterations may have contributed to improvement in the CH4 sink strength of the riparian grassland, this must be weighed against the water quality maintenance functions and other ecological services provided by riparian buffers.</t>
  </si>
  <si>
    <t>[Jacinthe, P. A.; Liu, X.] Indiana Univ Purdue Univ, Dept Earth Sci, Indianapolis, IN 46202 USA; [Vidon, P.] SUNY ESF, Dept Forest &amp; Nat Resources Management, Syracuse, NY 13210 USA; [Fisher, K.] USDA ARS, Natl Soil Eros Lab, W Lafayette, IN 47907 USA; [Baker, M. E.] Univ Maryland Baltimore Cty, Dept Geog &amp; Environm Syst, Baltimore, MD 21250 USA</t>
  </si>
  <si>
    <t>Purdue University System; Purdue University; Purdue University in Indianapolis; State University of New York (SUNY) System; State University of New York (SUNY) College of Environmental Science &amp; Forestry; United States Department of Agriculture (USDA); University System of Maryland; University of Maryland Baltimore County</t>
  </si>
  <si>
    <t>Jacinthe, PA (corresponding author), Indiana Univ Purdue Univ, Dept Earth Sci, Indianapolis, IN 46202 USA.</t>
  </si>
  <si>
    <t>pjacinth@iupui.edu</t>
  </si>
  <si>
    <t>; Baker, Matthew/I-2839-2014</t>
  </si>
  <si>
    <t>Kohonen, Kukka-Maaria/0000-0001-9258-1225;</t>
  </si>
  <si>
    <t>USDA-NRI grant [2009-35112-05241]</t>
  </si>
  <si>
    <t>USDA-NRI grant</t>
  </si>
  <si>
    <t>This work was supported by USDA-NRI grant 2009-35112-05241. The authors thank the landowners, Mr. Douglas Johnstone and Mr. Jeffrey Phares, for granting access to the study sites; Lauren Thomas and Lori Bebinger for field and lab assistance; and Ryan McAtee for construction of the static chambers.</t>
  </si>
  <si>
    <t>0047-2425</t>
  </si>
  <si>
    <t>1537-2537</t>
  </si>
  <si>
    <t>J ENVIRON QUAL</t>
  </si>
  <si>
    <t>J. Environ. Qual.</t>
  </si>
  <si>
    <t>10.2134/jeq2015.01.0014</t>
  </si>
  <si>
    <t>CQ8JC</t>
  </si>
  <si>
    <t>WOS:000360852600006</t>
  </si>
  <si>
    <t>Liu, Y; Zhou, XA; Du, CH; Liu, Y; Xu, XC; Ejaz, I; Hu, NY; Zhao, X; Zhang, YH; Wang, ZM; Sun, ZC</t>
  </si>
  <si>
    <t>Liu, Ying; Zhou, Xiaonan; Du, Chenghang; Liu, Yi; Xu, Xingchun; Ejaz, Irsa; Hu, Naiyue; Zhao, Xuan; Zhang, Yinghua; Wang, Zhimin; Sun, Zhencai</t>
  </si>
  <si>
    <t>Trade-off between soil carbon emission and sequestration for winter wheat under reduced irrigation: The role of soil amendments</t>
  </si>
  <si>
    <t>Irrigation schedule; Manure; Biochar; Greenhouse gas emissions; Carbon footprint</t>
  </si>
  <si>
    <t>GREENHOUSE-GAS EMISSIONS; NITROUS-OXIDE EMISSION; BIOCHAR APPLICATION; ORGANIC-CARBON; MICROBIAL ACTIVITY; FERTILIZATION; FUMIGATION; MANAGEMENT; EXTRACTION; FLUXES</t>
  </si>
  <si>
    <t>Underground water source in North China Plain (NCP) is limited and extensively explored for wheat irrigation, which has caused high carbon emission. Reduced irrigation strategies and soil amendments have been advocated for sustainable agricultural production. However, the interactive effects of irrigation schedule and soil amendment on direct and indirect greenhouse gas (GHG) emissions, soil organic carbon (SOC) sequestration and carbon footprint (CF) have rarely been systematically quantified. A two-year field study was conducted in wheat season under three irrigation schedules (W0: pre-sowing irrigation only, W1: pre-sowing + jointing irrigation, and W2: pre-sowing + jointing + anthesis irrigation) and three fertilization types (Fc: chemical fertilizer only, Fm: chemical fertilizer + manure, and Fb: chemical fertilizer + biochar). In the Fc treatments, direct emissions from soil N2O and CH4 significantly decreased from W2 or W1 to W0, but SOC also decreased from W2 to W1 or W0. Net GHG emissions (GHGnet) was 14.6% higher in W1 +Fc but 6.0% lower in W0 +Fc compared with W2 +Fc because of the difference in electricity use for irrigation. Notably, the CF in W1 +Fc and W0 +Fc was 40.9% and 63.8% higher than in W2 +Fc mainly due to yield loss. Compared with Fc, direct emissions averaged 63.1% higher under Fm coupled with increased soil nitrate content, microbial biomass carbon (MBC) and nitrogen (MBN). The SOC significantly decreased from W0, W1 to W2 under Fm. Under the identical irrigation level, SOC stocks were 40.0% and 53.9% higher in Fm than in Fc under W1 and W0, while no significant difference under W2. Relative to Fc treatments, under Fm, CF was 28.5% lower in W0 but 6.2% and 45.7% higher in W1 and W2. Compared with Fc, direct emissions averaged 7.7% lower under Fb due to smaller MBN and higher soil porosity under Fb. The CF was lower in Fb than in Fc resulting from SOC increase. Thus, manure and biochar amendment could decrease CF following reduced irrigation, although manure application increased the risk of C loss.</t>
  </si>
  <si>
    <t>[Liu, Ying; Zhou, Xiaonan; Du, Chenghang; Liu, Yi; Xu, Xingchun; Ejaz, Irsa; Hu, Naiyue; Zhao, Xuan; Zhang, Yinghua; Wang, Zhimin; Sun, Zhencai] China Agr Univ, Coll Agron &amp; Biotechnol, Beijing 100193, Peoples R China</t>
  </si>
  <si>
    <t>Wang, ZM; Sun, ZC (corresponding author), China Agr Univ, Coll Agron &amp; Biotechnol, Beijing 100193, Peoples R China.</t>
  </si>
  <si>
    <t>zmwangcau@126.com; Zhencai_Sun@cau.edu.cn</t>
  </si>
  <si>
    <t>Ejaz, Irsa/KCJ-4888-2024; Sun, Zhencai/AAZ-9798-2021; Du, Chenghang/KHY-0200-2024; Zhang, Yinghua/HGE-7633-2022</t>
  </si>
  <si>
    <t>Liu, Ying/0000-0002-9053-510X; Du, Chenghang/0000-0003-4749-539X; Ejaz, Irsa/0000-0002-7622-9309;</t>
  </si>
  <si>
    <t>Key Research Projects of Hebei Province [21326411D, CARS301]; National Wheat Industry Technology System; [21327003D]</t>
  </si>
  <si>
    <t>Key Research Projects of Hebei Province; National Wheat Industry Technology System;</t>
  </si>
  <si>
    <t>This research was supported by the Key Research Projects of Hebei Province (Grant number: 21327003D; 21326411D) and the National Wheat Industry Technology System (CARS301) .</t>
  </si>
  <si>
    <t>10.1016/j.agee.2023.108535</t>
  </si>
  <si>
    <t>P8QQ1</t>
  </si>
  <si>
    <t>WOS:001053265200001</t>
  </si>
  <si>
    <t>Michinaka, T; Matsumoto, M; Miyamoto, M; Yokota, Y; Sokh, H; Lao, S; Tsukada, N; Matsuura, T; Ma, V</t>
  </si>
  <si>
    <t>Michinaka, T.; Matsumoto, M.; Miyamoto, M.; Yokota, Y.; Sokh, H.; Lao, S.; Tsukada, N.; Matsuura, T.; Ma, V.</t>
  </si>
  <si>
    <t>Forecasting forest areas and carbon stocks in Cambodia based on socio-economic factors</t>
  </si>
  <si>
    <t>INTERNATIONAL FORESTRY REVIEW</t>
  </si>
  <si>
    <t>REDD; reference emission level; Cambodia; deforestation; panel data analysis</t>
  </si>
  <si>
    <t>Establishing forest reference emission levels (RELs) and/or forest reference levels (RLs) is an important task for developing country parties considering taking part in the REDD+ scheme under the UNFCCC, especially for those countries experiencing corresponding economic development with land use changes. In this research, Cambodia's forest areas and forest carbon stocks from 2011 to 2018 were forecasted, which can be used as a reference for establishing forest RELs in Cambodia. Conditional to the assumptions of population growth, the growth in agricultural gross value added, and the level of economic land concession implementations, the forecasts by panel data analysis to provincial-level data showed that the forest area in Cambodia will decrease to 9.94 million ha in 2014 and 9.51 million ha in 2018 from 10.36 million ha in 2010 and that forest carbon stocks will decrease to 1.22 PgC in 2014 and 1.17 PgC in 2018 from 1.28 PgC in 2010.</t>
  </si>
  <si>
    <t>[Michinaka, T.; Matsumoto, M.; Miyamoto, M.; Yokota, Y.; Tsukada, N.; Matsuura, T.] FFPRI, Tsukuba, Ibaraki 3058687, Japan; [Sokh, H.; Lao, S.; Ma, V.] Minist Agr Forestry &amp; Fisheries, FA, Phnom Penh, Cambodia</t>
  </si>
  <si>
    <t>Forestry &amp; Forest Products Research Institute - Japan</t>
  </si>
  <si>
    <t>Michinaka, T (corresponding author), FFPRI, 1 Matsunosato, Tsukuba, Ibaraki 3058687, Japan.</t>
  </si>
  <si>
    <t>michinaka.t@affrc.go.jp; machan@ffpri.affrc.go.jp; motoe@ffpri.affrc.go.jp; yokotaya@affrc.go.jp; sokhhengpiny@yahoo.com; laosethaphal@gmail.com; naokotkd@affrc.go.jp; matsuu50@affrc.go.jp; vuthydalin@yahoo.com</t>
  </si>
  <si>
    <t>Matsumoto, Mitsuo/0000-0003-3505-9427</t>
  </si>
  <si>
    <t>Emergency Project to Develop the Structure for Promoting REDD+ Action - Forestry Agency of Japan</t>
  </si>
  <si>
    <t>This collaborative research, conducted by the Forestry and Forest Product Research Institute (FFPRI) of Japan and the Forestry Administration (FA) of Cambodia, was supported by the Emergency Project to Develop the Structure for Promoting REDD+ Action, funded by the Forestry Agency of Japan. We gratefully acknowledge the comments of Mr. Chivin Leng of the FA of Cambodia on an earlier version and the comments of two anonymous reviewers. We also thank other FA officials and officials from other ministries for their cooperation in our field trip and data collection.</t>
  </si>
  <si>
    <t>COMMONWEALTH FORESTRY ASSOC</t>
  </si>
  <si>
    <t>CRAVEN ARRMS</t>
  </si>
  <si>
    <t>CRIB, DINCHOPE, CRAVEN ARRMS SY7 9JJ, SHROPSHIRE, ENGLAND</t>
  </si>
  <si>
    <t>1465-5489</t>
  </si>
  <si>
    <t>2053-7778</t>
  </si>
  <si>
    <t>INT FOREST REV</t>
  </si>
  <si>
    <t>Int. For. Rev.</t>
  </si>
  <si>
    <t>10.1505/146554815814725103</t>
  </si>
  <si>
    <t>CE2UH</t>
  </si>
  <si>
    <t>WOS:000351674300006</t>
  </si>
  <si>
    <t>Ferrara, RM; Carozzi, M; Decuq, C; Loubet, B; Finco, A; Marzuoli, R; Gerosa, G; Di Tommasi, P; Magliulo, V; Rana, G</t>
  </si>
  <si>
    <t>Ferrara, Rossana Monica; Carozzi, Marco; Decuq, Celine; Loubet, Benjamin; Finco, Angelo; Marzuoli, Riccardo; Gerosa, Giacomo; Di Tommasi, Paul; Magliulo, Vincenzo; Rana, Gianfranco</t>
  </si>
  <si>
    <t>Ammonia, nitrous oxide, carbon dioxide, and water vapor fluxes after green manuring of faba bean under Mediterranean climate</t>
  </si>
  <si>
    <t>Semi-arid climate; Ammonia volatilization; Aerodynamic gradient method; Automatic chambers; Eddy covariance</t>
  </si>
  <si>
    <t>SOIL N2O EMISSIONS; AGRICULTURAL SOILS; EDDY COVARIANCE; PLANT RESIDUES; DIFFERENT C; COVER CROP; CO2; SLURRY; VOLATILIZATION; FERTILIZATION</t>
  </si>
  <si>
    <t>Green manuring of legume crops has increased in interest in recent years because of environmental and economic costs of synthetic fertilizers and need of sustainable cropping systems. Climatic conditions can reduce the agronomic and environmental effectiveness of green manuring promoting reactive nitrogen losses, or fostering soil heterotrophic respiration. This study aims to quantify ammonia and nitrous oxide losses, as well as carbon dioxide exchanges following green manuring of faba bean (Vicia faba spp. minor L.) under semi-arid climate conditions, typical of the Mediterranean basin. Ammonia emissions were measured by means of an aerodynamic gradient approach equipped with a multi-channel wet-denuder system (ROSAA), alongside with a concentrationbased inverse dispersion modelling assessment. Nitrous oxide losses were measured with an automated chamber system, whereas carbon dioxide and water vapor exchanges were monitored jointly by means of eddy covariance technique. Ammonia volatilization lasted for three weeks and was triggered by the increase of soil water content due to rainfall, occurring 5 days after green manuring. Total emissions were 0.31% of the nitrogen supplied by green manuring (230 kg N ha-1). Nitrous oxide emissions from soil were of low intensity during the measurement period and were directly corelated to the water filled pore space. The biogeochemical model CERES-EGC was validated with the measurements of nitrous oxide, then used to reproduce the dynamic until the sowing of the succeeding crop. Cumulated emissions of nitrous oxide were 1% of the total nitrogen supplied. Soil became a net source both of carbon dioxide and water vapor soon after green manuring, with an emission of 900 kg C-CO2 ha-1 by heterotrophic respiration (23% of added carbon). In terms of water balance, 19 mm of water evaporated from soil surface, originated from the addition of fresh biomass. Green manuring proved to be a significant agronomic strategy to improve soil fertility, limiting reactive nitrogen and carbon losses to the atmosphere.</t>
  </si>
  <si>
    <t>[Ferrara, Rossana Monica; Rana, Gianfranco] Agr &amp; Environm Res Ctr, Council Agr Res &amp; Econ, CREA AA, I-70125 Bari, Italy; [Carozzi, Marco; Decuq, Celine; Loubet, Benjamin] Univ Paris Saclay, UMR ECOSYS, AgroParisTech, INRAE, F-78850 Thiverval Grignon, France; [Finco, Angelo; Marzuoli, Riccardo; Gerosa, Giacomo] Univ Cattolica Sacro Cuore, Math &amp; Phys Dept, Via Musei 41, I-25121 Brescia, Italy; [Di Tommasi, Paul; Magliulo, Vincenzo] Natl Res Council Italy, Inst Mediterranean Agr &amp; Forest Syst CNR ISAFoM, I-80056 Ercolano, Italy</t>
  </si>
  <si>
    <t>Consiglio per la Ricerca in Agricoltura e L'analisi Dell'economia Agraria (CREA); INRAE; AgroParisTech; Universite Paris Saclay; Catholic University of the Sacred Heart; Consiglio Nazionale delle Ricerche (CNR); Istituto per i Sistemi Agricoli e Forestali del Mediterraneo (ISAFoM-CNR)</t>
  </si>
  <si>
    <t>Carozzi, M (corresponding author), Univ Paris Saclay, UMR SADAPT, AgroParisTech, INRAE, F-78850 Thiverval Grignon, France.</t>
  </si>
  <si>
    <t>marco.carozzi@inrae.fr</t>
  </si>
  <si>
    <t>; Loubet, Benjamin/AAP-5375-2020; Marzuoli, Riccardo/M-4637-2016; Carozzi, Marco/GPK-2755-2022; Rana, Gianfranco/AAA-7612-2019; Gerosa, Giacomo/AAH-9198-2021</t>
  </si>
  <si>
    <t>Di Tommasi, Paul/0000-0003-1391-3231; Gerosa, Giacomo/0000-0002-5352-3222; ferrara, rossana monica/0000-0002-6545-0788; Carozzi, Marco/0000-0002-6125-5483; Rana, Gianfranco/0000-0002-4215-5153</t>
  </si>
  <si>
    <t>Italian Project Collezioni and A/O R by The Ministry of Agricultural, Food and Forestry Policies (MIPAAF); Italian Project Biodati by The Ministry of Agricultural, Food and Forestry Policies (MIPAAF); EU-FP7 ECLAIRE Project [282910]; Italian Ministry of Agricultural, Food and Forestry Policies and Tourism (MIPAAFT) [36502]</t>
  </si>
  <si>
    <t>Italian Project Collezioni and A/O R by The Ministry of Agricultural, Food and Forestry Policies (MIPAAF); Italian Project Biodati by The Ministry of Agricultural, Food and Forestry Policies (MIPAAF); EU-FP7 ECLAIRE Project; Italian Ministry of Agricultural, Food and Forestry Policies and Tourism (MIPAAFT)</t>
  </si>
  <si>
    <t>This paper is dedicated to the memory of Dr. Angelo Domenico Palumbo, who passed suddenly away on 3rd August 2020, and who managed the agronomic design of this trial. The authors would like to thank Ms. Brigitte Durand (INRAE EcoSys, France) and Mr. Nicola Martinelli (CREA-AA, Italy) for their support for the management of micrometeorological instruments, Dr. Carolina Vitti and Mr. Marcello Mastrangelo for laboratory analysis of soil and plant. This work was supported by Italian Projects Collezioni and A/O R and Biodati founded by The Ministry of Agricultural, Food and Forestry Policies (MIPAAF), and supported by the EU-FP7 ECLAIRE Project ID: 282910. The data analysis and paper writing were also kindly encouraged by the AgriDigit-Agromodelli project (DM n. 36502 20/12/2018), funded by the Italian Ministry of Agricultural, Food and Forestry Policies and Tourism (MIPAAFT).</t>
  </si>
  <si>
    <t>10.1016/j.agee.2021.107439</t>
  </si>
  <si>
    <t>RY1KG</t>
  </si>
  <si>
    <t>WOS:000647674800012</t>
  </si>
  <si>
    <t>Vijayprakash, M; Rajagopalan, V; Keerthivasan, N</t>
  </si>
  <si>
    <t>Vijayprakash, Murugesan; Rajagopalan, Varadarajan; Keerthivasan, Navaneethakrishnan</t>
  </si>
  <si>
    <t>Carbon mitigation potential of banana crops biomass and biochar in tropical semi-arid region of India</t>
  </si>
  <si>
    <t>Agricultural residues; allometric models; carbon sequestration; greenhouse gases; non-destructive test; pyrolysis</t>
  </si>
  <si>
    <t>SEQUESTRATION; PYROLYSIS; STABILITY; HIGHLAND; WASTE; SPP.</t>
  </si>
  <si>
    <t>The standing plant biomass that remains after harvesting bananas is the Above Ground Biomass (AGB); these residues have great carbon sequestration (CS) potential. This study quantifies the AGB yield of the Poovan (Musa acuminata) plant in semi-arid Tamil Nadu, India through novel modified non-destructive and destructive measurements. AGB's moisture and carbon content estimation quantifies the AGB carbon stock of 107.8 Gigagrams and CS potential of 0.395 MtCO2/year. Improper management of AGB leads to greenhouse gas emissions, which can be remedied by biochar production as it is a negative emission technology. Leaves, pseudostem, peduncle and bud biochar are produced through slow pyrolysis method and their yield determines the Biochar Generation Potential (BGP) of the whole AGB. Among the four, the pseudostem biochar has a good yield of 37.1% and BGP of 0.084 Mt/year and its characteristics studies reveal the stability-Recalcitrance Index and CS potential as 62% and 27.3%. Quantifying biomass yield is essential for CS operations. The measurement of a plant's circumference and height form the basis of allometry to estimate biomass. Four linear estimation models are developed to estimate Poovan's AGB and morphologically similar crops. Model 4 most accurately predicts the AGB among the models developed.</t>
  </si>
  <si>
    <t>[Vijayprakash, Murugesan] Mt Zion Coll Engn &amp; Technol, Dept Civil Engn, Pllvalam P O, Pudukkottai 622507, Tamil Nadu, India; [Rajagopalan, Varadarajan] Anna Univ Tiruchirappalli, Dept Civil Engn, Univ Coll Engn, BIT Campus, Tiruchirappalli 620024, Tamil Nadu, India; [Keerthivasan, Navaneethakrishnan] JJ Coll Engn &amp; Technol, Dept Mech Engn, Tiruchirappalli 620009, Tamil Nadu, India</t>
  </si>
  <si>
    <t>Anna University; Anna University of Technology Tiruchirappalli</t>
  </si>
  <si>
    <t>Vijayprakash, M (corresponding author), Mt Zion Coll Engn &amp; Technol, Dept Civil Engn, Pllvalam P O, Pudukkottai 622507, Tamil Nadu, India.</t>
  </si>
  <si>
    <t>vijayprakash.06@gmail.com</t>
  </si>
  <si>
    <t>10.30955/gnj.07413</t>
  </si>
  <si>
    <t>8HY8Z</t>
  </si>
  <si>
    <t>WOS:001589115100015</t>
  </si>
  <si>
    <t>Song, YJ; Liu, M</t>
  </si>
  <si>
    <t>Song, Yanju; Liu, Min</t>
  </si>
  <si>
    <t>Empowering Sustainable Farming: Harnessing Digital Technology for Green and Low-Carbon Agricultural Practices</t>
  </si>
  <si>
    <t>green and low-carbon agriculture; dual-carbon goal; agricultural digitization; green innovation; large-scale farming</t>
  </si>
  <si>
    <t>IMPACT; PANEL</t>
  </si>
  <si>
    <t>Agricultural digitization is crucial for enhancing agricultural productivity and efficiency and promoting green low-carbon development. Based on the provincial panel data of China from 2012 to 2021, this study employs the entropy value method and the GML index based on SBM-DDF to quantify agricultural digitization and agricultural green total factor productivity. It utilizes two-way fixed effects, group regression, and threshold effect models to examine the influence of agricultural digitization in agriculture on the green and carbon-reduction progression of farming practices, as well as to clarify the underlying mechanisms behind these effects. The study finds that agricultural digitalization significantly promotes agricultural green low-carbon development. Green innovation and scale operation mediate the impact path of agricultural digitalization, and there is a threshold effect of digital financial inclusion. Moreover, agricultural digitization has a significant impact on the eastern region and a smaller impact on the central and western areas, and the effect is better in regions with high levels of innovation. The results of the study provide a scientific basis for the synergizing of agricultural digitization and agricultural development that is green and low-carbon, as well as for the construction of relevant subjects for interest cooperation and sharing mechanisms.</t>
  </si>
  <si>
    <t>[Song, Yanju; Liu, Min] Liaoning Tech Univ, Sch Business Adm, Huludao 125105, Peoples R China</t>
  </si>
  <si>
    <t>Liaoning Technical University</t>
  </si>
  <si>
    <t>Liu, M (corresponding author), Liaoning Tech Univ, Sch Business Adm, Huludao 125105, Peoples R China.</t>
  </si>
  <si>
    <t>songyanju@lntu.edu.cn; 472221018@stu.lntu.edu.cn</t>
  </si>
  <si>
    <t>song, yanju/MGU-0317-2025</t>
  </si>
  <si>
    <t>Liaoning Provincial Education Department [LJKMR20220710]; Social Science Project of Fuxin [2023Fsllx155]</t>
  </si>
  <si>
    <t>Liaoning Provincial Education Department; Social Science Project of Fuxin</t>
  </si>
  <si>
    <t>2022 Humanities and Social Sciences General Project of Liaoning Provincial Education Department (LJKMR20220710) and the Social Science Project of Fuxin in 2023 (2023Fsllx155).</t>
  </si>
  <si>
    <t>10.3390/su17041617</t>
  </si>
  <si>
    <t>Y4E9N</t>
  </si>
  <si>
    <t>WOS:001431687700001</t>
  </si>
  <si>
    <t>Holmatov, B; Schyns, JF; Krol, MS; Gerbens-Leenes, PW; Hoekstra, AY</t>
  </si>
  <si>
    <t>Holmatov, B.; Schyns, J. F.; Krol, M. S.; Gerbens-Leenes, P. W.; Hoekstra, A. Y.</t>
  </si>
  <si>
    <t>Can crop residues provide fuel for future transport? Limited global residue bioethanol potentials and large associated land, water and carbon footprints</t>
  </si>
  <si>
    <t>Bioethanol; Biofuel; Bioenergy; Advanced biofuel; Land footprint; Water footprint; Carbon footprint; Water-energy-food nexus; Bio-based economy</t>
  </si>
  <si>
    <t>AGRICULTURAL RESIDUES; ENERGY USE; LIGNOCELLULOSIC BIOMASS; CHEMICAL-COMPOSITION; ETHANOL-PRODUCTION; RENEWABLE ENERGY; PRUNING RESIDUES; BIOENERGY; BIOFUELS; AVAILABILITY</t>
  </si>
  <si>
    <t>Bioethanol production from non-crop based lignocellulosic material has reached the commercial scale and is advocated as a possible solution to decarbonize the transport sector. This study evaluates how much presently used transport related fossil fuels can be replaced with lignocellulosic bioethanol using crop residues, calculates greenhouse gas emission savings, and determines lignocellulosic bioethanol's land, water, and carbon footprints. We estimate global bioethanol production potential from 123 crop residues in 192 countries and 20 territories under different environmental constraints (optimistic and realistic sustainable potentials) versus no constraints (theoretical potential) on residue availability. Previous studies on global bioethanol production potential from lignocellulosic material focused on one or few biomass feedstocks, and excluded (un)constrained residue availability scenarios. Our results suggest the global net lignocellulosic bioethanol output ranges from 7.1 to 34.0 EJ per annum replacing between 7% and 31% of oil products for transport yielding relative emission savings of 338 megatonne (Mt; 70%) to 1836 Mt (79%). Emission savings range from 4% to 23% of total transport emissions in the realistic sustainable versus theoretical potential. Land, water and carbon footprints of net bioethanol vary between potentials, countries/territories, and feedstocks, but overall exceed footprints of conventional bioethanol. Averaged footprints range between 0.14 and 0.24 m2 land per megajoule (MJ-1), 74-120 L water MJ-1, and 28-44 g CO2 equivalent MJ-1, with smaller footprints in the theoretical potential caused by the exclusion of secondary residues and low price of alternative biomass chains in the sustainable potential.</t>
  </si>
  <si>
    <t>[Holmatov, B.; Schyns, J. F.; Krol, M. S.; Hoekstra, A. Y.] Univ Twente, Fac Engn Technol, Twente Water Ctr, POB 217, NL-7500 AE Enschede, Netherlands; [Gerbens-Leenes, P. W.] Univ Groningen, Integrated Res Energy Environm &amp; Soc IREES, NL-9747 AG Groningen, Netherlands</t>
  </si>
  <si>
    <t>University of Twente; University of Groningen</t>
  </si>
  <si>
    <t>Holmatov, B (corresponding author), Univ Twente, Fac Engn Technol, Twente Water Ctr, POB 217, NL-7500 AE Enschede, Netherlands.</t>
  </si>
  <si>
    <t>b.holmatov@utwente.nl</t>
  </si>
  <si>
    <t>Hoekstra, Arjen/B-4980-2008; Schyns, Joep/H-8559-2014; Gerbens-Leenes, Winnie/M-4487-2013; Krol, Maarten/M-5997-2013; Holmatov, Bunyod/AAG-8973-2019</t>
  </si>
  <si>
    <t>Schyns, Joep/0000-0001-5058-353X; Krol, Maarten S/0000-0002-6755-3692; Holmatov, Bunyod/0000-0001-9267-7008;</t>
  </si>
  <si>
    <t>European Union [689669]</t>
  </si>
  <si>
    <t>Authors B.H., J.F.S., and M.S.K, gratefully acknowledge funding by the European Union's Horizon 2020 research and innovation pro-gramme under Grant Agreement No. 689669 (MAGIC) . This work reflects the author's views only; the funding agencies are not responsible for any use that may be made of the information it contains.</t>
  </si>
  <si>
    <t>10.1016/j.rser.2021.111417</t>
  </si>
  <si>
    <t>UA4HQ</t>
  </si>
  <si>
    <t>WOS:000685122300003</t>
  </si>
  <si>
    <t>Castellano, GR; Santos, LA; Menegario, AA</t>
  </si>
  <si>
    <t>Castellano, Gabriel Ribeiro; Santos, Landerlei Almeida; Menegario, Amauri Antonio</t>
  </si>
  <si>
    <t>Carbon Soil Storage and Technologies to Increase Soil Carbon Stocks in the South American Savanna</t>
  </si>
  <si>
    <t>soil carbon stocks; south american savanna; cerrado; land-use change; landcover</t>
  </si>
  <si>
    <t>NO-TILLAGE SYSTEMS; LAND-COVER CHANGES; ORGANIC-MATTER; BRAZILIAN CERRADO; CROPPING SYSTEMS; SEQUESTRATION; NITROGEN; BIOMASS; EUCALYPTUS; PASTURES</t>
  </si>
  <si>
    <t>The expansion of the agricultural frontiers that occurred in the last decades in the South American savanna (Cerrado), the second-largest biome in Brazil (covering an area of 204 million hectares), has accounted for a substantial portion of South America's CO2 emissions. In this context, our research investigated the potential for soil carbon storage in the biome. The analysis of previous data (n = 197) shows a vertical distribution pattern of soil carbon stock: 26.17% for the upper 0-30 cm layer, 37.67% for the 30-100 cm layer, and 36.15% for the 100-200 cm layer. The total soil carbon storage for the biome is 13.5 +/- 6.7 gigatons (n = 71) for the upper 0-30 cm layer, 30.5 +/- 18.9 Gt (n = 64) for the 0-100 cm layer, and 47.8 +/- 4.3 (n = 9) for the 0-200 cm layer. The results indicate that the soil carbon stock up to 1 m deep in the Cerrado ranges from 0.5% to 2.29% of the global soil organic carbon storage for this depth. Further research is necessary to investigate what happens at a depth of at least 2 m. The results also indicate that the soil under pasture lands constitutes the largest manageable pool for increasing soil carbon stocks via the restoration of degraded pastures.</t>
  </si>
  <si>
    <t>[Castellano, Gabriel Ribeiro; Menegario, Amauri Antonio] Sao Paulo State Univ, Ctr Environm Studies, BR-13506900 Rio Claro, Brazil; [Santos, Landerlei Almeida] China Univ Geosci, Sch Mech Engn &amp; Elect Informat, Wuhan 430074, Peoples R China</t>
  </si>
  <si>
    <t>Universidade Estadual Paulista; China University of Geosciences</t>
  </si>
  <si>
    <t>Castellano, GR (corresponding author), Sao Paulo State Univ, Ctr Environm Studies, BR-13506900 Rio Claro, Brazil.</t>
  </si>
  <si>
    <t>grcastellano@gmail.com; landerlei.santos@unesp.br; amauri.antonio-menegario@unesp.br</t>
  </si>
  <si>
    <t>Santos, Landerlei/0000-0003-3639-0592</t>
  </si>
  <si>
    <t>Sao Paulo Research Foundation-FAPESP [2021/00572-0]; Coordination for the Improvement of Higher Education Personnel-CAPES; National Council for Scientific and Technological Development-CNPq [308090/2019-5]; Vinnova [2021-00572] Funding Source: Vinnova</t>
  </si>
  <si>
    <t>Sao Paulo Research Foundation-FAPESP(Fundacao de Amparo a Pesquisa do Estado de Sao Paulo (FAPESP)); Coordination for the Improvement of Higher Education Personnel-CAPES(Coordenacao de Aperfeicoamento de Pessoal de Nivel Superior (CAPES)); National Council for Scientific and Technological Development-CNPq(Conselho Nacional de Desenvolvimento Cientifico e Tecnologico (CNPQ)); Vinnova(Vinnova)</t>
  </si>
  <si>
    <t>This work was partially supported by the Sao Paulo Research Foundation-FAPESP (grant no 2021/00572-0), the Coordination for the Improvement of Higher Education Personnel-CAPES (scholarship to the first author), and the National Council for Scientific and Technological Development-CNPq (grant no 308090/2019-5).</t>
  </si>
  <si>
    <t>10.3390/su14095571</t>
  </si>
  <si>
    <t>1G8VP</t>
  </si>
  <si>
    <t>WOS:000796127800001</t>
  </si>
  <si>
    <t>Singh, A; Kumari, S; Malekpoor, H; Mishra, N</t>
  </si>
  <si>
    <t>Singh, Akshit; Kumari, Sushma; Malekpoor, Hanif; Mishra, Nishikant</t>
  </si>
  <si>
    <t>Big data cloud computing framework for low carbon supplier selection in the beef supply chain</t>
  </si>
  <si>
    <t>Beef supply chain; Supplier selection; Carbon footprint; Emerging economies; Big data</t>
  </si>
  <si>
    <t>LIFE-CYCLE ASSESSMENT; FUZZY DEMATEL; DATA ANALYTICS; TOPSIS; INDUSTRY; MANAGEMENT; EMISSIONS; AHP; SUSTAINABILITY; MULTIATTRIBUTE</t>
  </si>
  <si>
    <t>Purpose: With the rapid economic development of nations across the globe, there is proportionate increment in corresponding carbon footprint. There are numerous counter measures proposed to mitigate it in terms of legislation and policy framing. However, they have a shortsighted vision of predominantly focusing on manufacturing and transportation industry thereby neglecting one of the significant contributor of global emissions-agricultural industry. Among all the agri-food products, beef has the highest carbon footprint and majority of its emission are generated in beef farms. The issue is more intensive in developing nations where most of global cattle are raised and simultaneously farmers are less informed and aware of resources/technology to address emissions from their farms. Therefore, there is need to raise awareness among farmers and thereby incorporate carbon footprint as a major cattle supplier selection attribute by abattoir and processor and integrate it as a standard practice in procurement of cattle. Design/methodology: A novel framework based on big data cloud computing technology is developed for eco-friendly cattle supplier selection. It is capable of measuring greenhouse gas emissions in farms and assimilate into the cattle supplier selection process. Fuzzy AHP, DEMATEL and TOPSIS method is employed to make an optimum tradeoff between conventional quality attributes and carbon footprint generated in farms to select the most appropriate supplier. Findings: The proposed framework would assist in shedding the environmental burden of beef supply chain as the majority of carbon footprint is generated in beef farms. Moreover, the vertical coordination in the supply chain among farmers and abattoir, processor would be strengthened. The execution of the framework is depicted in case study section. Originality: The literature is deficient of ecofriendly supplier selection in the agri-food sector particularly in developing countries. This study bridges the gap in the literature by proposing a novel framework to incorporate carbon footprint into traditional supplier selection process via an amalgamation of big data, ICT and Operations Research. The proposed framework would assist in mitigating the carbon footprint of beef products as they have highest emissions among all agri-food products. This framework is generic in nature and can be implemented in any food supply chain. (C) 2018 Elsevier Ltd. All rights reserved.</t>
  </si>
  <si>
    <t>[Singh, Akshit] Univ Liverpool, Management Sch, Chatham St, Liverpool L69 7ZH, Merseyside, England; [Kumari, Sushma; Malekpoor, Hanif; Mishra, Nishikant] Univ Hull, Hull Univ, Business Sch, Kingston Upon Hull, N Humberside, England</t>
  </si>
  <si>
    <t>University of Liverpool; University of Hull</t>
  </si>
  <si>
    <t>Singh, A (corresponding author), Univ Liverpool, Management Sch, Chatham St, Liverpool L69 7ZH, Merseyside, England.</t>
  </si>
  <si>
    <t>akshit.singh@liverpool.ac.uk</t>
  </si>
  <si>
    <t>Singh, Akshit/0000-0001-6498-4190</t>
  </si>
  <si>
    <t>10.1016/j.jclepro.2018.07.236</t>
  </si>
  <si>
    <t>GX9DF</t>
  </si>
  <si>
    <t>WOS:000448098000014</t>
  </si>
  <si>
    <t>Ryan, PC; Santis, A; Vanderkloot, E; Bhatti, M; Caddle, S; Ellis, M; Grimes, A; Silverman, S; Soderstrom, E; Stone, C; Takoudes, A; Tulay, P; Wright, S</t>
  </si>
  <si>
    <t>Ryan, P. C.; Santis, A.; Vanderkloot, E.; Bhatti, M.; Caddle, S.; Ellis, M.; Grimes, A.; Silverman, S.; Soderstrom, E.; Stone, C.; Takoudes, A.; Tulay, P.; Wright, S.</t>
  </si>
  <si>
    <t>The potential for carbon dioxide removal by enhanced rock weathering in the tropics: An evaluation of Costa Rica</t>
  </si>
  <si>
    <t>Carbon sequestration; Tropical soils; Enhanced rock weathering; Hawaii; Costa Rica; Mafic composition</t>
  </si>
  <si>
    <t>ASEISMIC COCOS RIDGE; CLAY MINERALOGY; ORGANIC-ACIDS; DISSOLUTION; CLIMATE; MOBILIZATION; OXALATE; SOILS; PH</t>
  </si>
  <si>
    <t>Tropical environments show great potential to sequester CO2 by enhanced rock weathering (ERW) of powdered mafic rocks applied to agricultural fields. This study seeks to assess carbon dioxide reduction (CDR) potential in the humid tropics (1) by experimental weathering of mafic rock powders in conditions simulating humid tropical soils, and (2) from weathering rates determined from a Holocene tropical soil chronosequence where parent material is andesitic sediments. Experimentally determined weathering rates by leaching of basaltic andesites from Costa Rica (Arenal and Barva) for 50 t ha(-1) applications indicate potential sequestration of 2.4 to 4.5 t CO2 ha(-1) yr(-1), whereas the USGS basalt standard BHVO-1 yields a rate of 11.9 t ha(-1) yr(-1) (influenced by more mafic composition and finer particle size). The chronosequence indicates a rate of 1.7 t CO2 ha(-1) yr(-1). The weathering experiment consisted of 0.6 mm of powdered rock applied atop 12 mm of Ultisol at 35 degrees C. To simulate a tropical soil solution, 100-mL aliquots of a dilute solution of oxalic acid in carbonated DI water were rained onto soils over a 14-day period to simulate soil moisture in the humid tropics. Solutions were collected and analyzed by ICPMS for concentrations of leached cations. A potential ERW scenario for Costa Rica was assessed assuming that one-half of lowland agricultural kaolinitic soils (mainly Ultisols, common crop and pasture soils, excluding protected areas) were to receive 50 t ha(-1) of annual or biennial applications of powdered mafic rock. With an experimentally determined humid tropical CDR rate for basaltic andesite (3.5 t ha(-1) yr(-1)) and allowances for carbon costs (e.g. emissions from processing and delivery) that reduce CDR to a net 3.2 t ha(-1) yr(-1), potential annual CDR of this tropical nation is similar to 2-4 million tons, amounting to similar to 25-50 % of annual CO2 emissions (mainly from transportation in Costa Rica).</t>
  </si>
  <si>
    <t>[Ryan, P. C.; Santis, A.; Vanderkloot, E.; Bhatti, M.; Caddle, S.; Ellis, M.; Grimes, A.; Silverman, S.; Soderstrom, E.; Stone, C.; Takoudes, A.; Tulay, P.; Wright, S.] Middlebury Coll, Dept Earth &amp; Climate Sci, 276 Bicentennial Way, Middlebury, VT 05753 USA</t>
  </si>
  <si>
    <t>Middlebury College</t>
  </si>
  <si>
    <t>Ryan, PC (corresponding author), Middlebury Coll, Dept Earth &amp; Climate Sci, 276 Bicentennial Way, Middlebury, VT 05753 USA.</t>
  </si>
  <si>
    <t>pryan@middlebury.edu</t>
  </si>
  <si>
    <t>US NSF Geobiology and Low-Temperature Geochemistry Program [EAR -1226494]; Depart- ment of Earth and Climate Sciences at Middlebury College</t>
  </si>
  <si>
    <t>US NSF Geobiology and Low-Temperature Geochemistry Program; Depart- ment of Earth and Climate Sciences at Middlebury College</t>
  </si>
  <si>
    <t>This project was funded by the US NSF Geobiology and Low-Temperature Geochemistry Program (EAR -1226494) and the Depart- ment of Earth and Climate Sciences at Middlebury College. We thank Jody Smith and Kevin Booth for instrumental expertise and Peter Wade, Amy Lewis and Binoy Sarkar for discussions that helped formulate study design and implementation. Three excellent anonymous peer reviews greatly improved the quality of this manuscript.</t>
  </si>
  <si>
    <t>10.1016/j.scitotenv.2024.172053</t>
  </si>
  <si>
    <t>RW1U6</t>
  </si>
  <si>
    <t>WOS:001230614200001</t>
  </si>
  <si>
    <t>Konovalov, IB; Lvova, DA; Beekmann, M; Jethva, H; Mikhailov, EF; Paris, JD; Belan, BD; Kozlov, VS; Ciais, P; Andreae, MO</t>
  </si>
  <si>
    <t>Konovalov, Igor B.; Lvova, Daria A.; Beekmann, Matthias; Jethva, Hiren; Mikhailov, Eugene F.; Paris, Jean-Daniel; Belan, Boris D.; Kozlov, Valerii S.; Ciais, Philippe; Andreae, Meinrat O.</t>
  </si>
  <si>
    <t>Estimation of black carbon emissions from Siberian fires using satellite observations of absorption and extinction optical depths</t>
  </si>
  <si>
    <t>BIOMASS BURNING EMISSIONS; LONG-TERM MEASUREMENTS; WILD-LAND FIRES; BROWN CARBON; AEROSOL-PARTICLES; TRACE GASES; THERMAL MEASUREMENTS; PARTICULATE MATTER; POLLUTION EPISODE; RUSSIAN WILDFIRES</t>
  </si>
  <si>
    <t>Black carbon (BC) emissions from open biomass burning (BB) are known to have a considerable impact on the radiative budget of the atmosphere at both global and regional scales; however, these emissions are poorly constrained in models by atmospheric observations, especially in remote regions. Here, we investigate the feasibility of constraining BC emissions from BB using satellite observations of the aerosol absorption optical depth (AAOD) and the aerosol extinction optical depth (AOD) retrieved from OMI (Ozone Monitoring Instrument) and MODIS (Moderate Resolution Imaging Spectroradiometer) measurements, respectively. We consider the case of Siberian BB BC emissions, which have the strong potential to impact the Arctic climate system. Using aerosol remote sensing data collected at Siberian sites of the AErosol RObotic NETwork (AERONET) along with the results of the fourth Fire Lab at Missoula Experiment (FLAME-4), we establish an empirical parameterization relating the ratio of the elemental carbon (EC) and organic carbon (OC) contents in BB aerosol to the ratio of AAOD and AOD at the wavelengths of the satellite observations. Applying this parameterization to the BC and OC column amounts simulated using the CHIMERE chemistry transport model, we optimize the parameters of the BB emission model based on MODIS measurements of the fire radiative power (FRP); we then obtain top-down optimized estimates of the total monthly BB BC amounts emitted from intense Siberian fires that occurred from May to September 2012. The top-down estimates are compared to the corresponding values obtained using the Global Fire Emissions Database (GFED4) and the Fire Emission Inventory-northern Eurasia (FEI-NE). Our simulations using the optimized BB aerosol emissions are verified against AAOD and AOD data that were withheld from the estimation procedure. The simulations are further evaluated against in situ EC and OC measurements at the Zotino Tall Tower Observatory (ZOTTO) and also against aircraft aerosol measurement data collected in the framework of the Airborne Extensive Regional Observations in SIBeria (YAK-AEROSIB) experiments. We conclude that our BC and OC emission estimates, considered with their confidence intervals, are consistent with the ensemble of the measurement data analyzed in this study. Siberian fires are found to emit 0.41 +/- 0.14 Tg of BC over the whole 5-month period considered; this estimate is a factor of 2 larger and a factor of 1.5 smaller than the corresponding estimates based on the GFED4 (0.20 Tg) and FEI-NE (0.61 Tg) data, respectively. Our estimates of monthly BC emissions are also found to be larger than the BC amounts calculated using the GFED4 data and smaller than those calculated using the FEI-NE data for any of the 5 months. Particularly large positive differences of our monthly BC emission estimates with respect to the GFED4 data are found in May and September. This finding indicates that the GFED4 database is likely to strongly underestimate BC emissions from agricultural burns and grass fires in Siberia. All of these differences have important implications for climate change in the Arctic, as it is found that about a quarter of the huge BB BC mass emitted in Siberia during the fire season of 2012 was transported across the polar circle into the Arctic. Overall, the results of our analysis indicate that a combination of the available satellite observations of AAOD and AOD can provide the necessary constraints on BB BC emissions.</t>
  </si>
  <si>
    <t>[Konovalov, Igor B.; Lvova, Daria A.] Russian Acad Sci, Inst Appl Phys, Nizhnii Novgorod, Russia; [Beekmann, Matthias] UPEC, UMR CNRS 7583, LISA, IPSL, Creteil, France; [Beekmann, Matthias] UPD, Paris, France; [Jethva, Hiren] Univ Space Res Assoc, Columbia, MD 21046 USA; [Jethva, Hiren] NASA, Lab Atmospher Chem &amp; Dynam, Goddard Space Flight Ctr, Code 614, Greenbelt, MD 20771 USA; [Mikhailov, Eugene F.] St Petersburg State Univ, St Petersburg Univ, Dept Atmospher Phys, SPbSU,SPbU, 7-9 Univ Skaya Nab, St Petersburg 199034, Russia; [Paris, Jean-Daniel; Ciais, Philippe] CNRS CEA UVSQ, Ctr Etud Orme des Merisiers, LSCE, IPSL, Gif Sur Yvette, France; [Belan, Boris D.; Kozlov, Valerii S.] VE Zuev Inst Atmospher Opt SB RAS, Tomsk, Russia; [Andreae, Meinrat O.] Max Planck Inst Chem, Biogeochem Dept, Mainz, Germany; [Andreae, Meinrat O.] Univ Calif San Diego, Scripps Inst Oceanog, La Jolla, CA 92093 USA; [Andreae, Meinrat O.] King Saud Univ, Dept Geol &amp; Geophys, Riyadh, Saudi Arabia</t>
  </si>
  <si>
    <t>Russian Academy of Sciences; Institute of Applied Physics of the Russian Academy of Sciences; Universite Paris Cite; Universite Paris-Est-Creteil-Val-de-Marne (UPEC); Universities Space Research Association (USRA); National Aeronautics &amp; Space Administration (NASA); NASA Goddard Space Flight Center; Saint Petersburg State University; CEA; Universite Paris Saclay; Universite Paris Cite; Russian Academy of Sciences; Siberian Branch of the Russian Academy of Sciences; Zuev Institute of Atmospheric Optics, Siberian Branch of the Russian Academy of Sciences; Max Planck Society; University of California System; University of California San Diego; Scripps Institution of Oceanography; King Saud University</t>
  </si>
  <si>
    <t>Konovalov, IB (corresponding author), Russian Acad Sci, Inst Appl Phys, Nizhnii Novgorod, Russia.</t>
  </si>
  <si>
    <t>konov@appl.sci-nnov.ru</t>
  </si>
  <si>
    <t>Ciais, Philippe/A-6840-2011; Konovalov, Igor/R-6445-2017; Andreae, Meinrat/B-1068-2008; Jethva, Hiren/H-2258-2012; Belan, Boris/A-6506-2014; Mikhailov, Eugene/F-9452-2010; Mikhailov, Eugene/JAN-6196-2023</t>
  </si>
  <si>
    <t>Paris, Jean-Daniel/0000-0003-2164-4916; Konovalov, Igor/0000-0002-0716-4273; Jethva, Hiren/0000-0002-5408-9886; Belan, Boris/0000-0003-1481-6847; Mikhailov, Eugene/0000-0001-5736-0996;</t>
  </si>
  <si>
    <t>Russian Foundation for Basic Research [18-05-00911]; Russian Science Foundation [18-17-00076]; Max Planck Society; SPBU BRICS grant [11.37.220.2016]; Russian Science Foundation [18-17-00076] Funding Source: Russian Science Foundation</t>
  </si>
  <si>
    <t>Russian Foundation for Basic Research(Russian Foundation for Basic Research (RFBR)); Russian Science Foundation(Russian Science Foundation (RSF)); Max Planck Society(Max Planck Society); SPBU BRICS grant; Russian Science Foundation(Russian Science Foundation (RSF))</t>
  </si>
  <si>
    <t>The analysis of the satellite data performed in this study was supported by the Russian Foundation for Basic Research (grant no. 18-05-00911). The validation of the BC and OC emission estimates against the observations at ZOTTO was performed with support from the Russian Science Foundation (grant agreement no. 18-17-00076). The data described in Sect. 2.1.5 were obtained within the SPBU BRICS grant (grant no. 11.37.220.2016). Igor B. Konovalov acknowledges travel expenses in the framework of the PARCS (Pollution in the ARCtic System - PARCS) national project. Meinrat O. Andreae and the research at ZOTTO are funded by the Max Planck Society. The authors acknowledge the free use of the AERONET data available from https://aeronet.gsfc.nasa.gov, last access: 4 April 2018.</t>
  </si>
  <si>
    <t>OCT 17</t>
  </si>
  <si>
    <t>10.5194/acp-18-14889-2018</t>
  </si>
  <si>
    <t>GX3OB</t>
  </si>
  <si>
    <t>WOS:000447633300003</t>
  </si>
  <si>
    <t>Jiang, JC; Mukhametov, A; Philippova, A; Bakshtanin, A</t>
  </si>
  <si>
    <t>Jiang, Jiachen; Mukhametov, Almas; Philippova, Alla; Bakshtanin, Alexander</t>
  </si>
  <si>
    <t>Modeling soil carbon accumulation in irrigated agricultural systems</t>
  </si>
  <si>
    <t>Agroecosystem modeling; Agronomy; Fertility; Humus; Irrigation; Soil science</t>
  </si>
  <si>
    <t>In contemporary circumstances characterized by climate change and increased pressure on agricultural ecosystems, determining the impact of irrigation levels on soil carbon dynamics becomes a pertinent task. This study aims to determine the impact of irrigation rates on soil carbon dynamics using agricultural system modeling. The simulations were conducted by LPJ-GUESS Education 3.0. The results were analyzed using the analogy method. Changes in soil carbon accumulation were quantified in three agricultural systems representing the desert, semidesert, and steppe zones of Russia. Results show an increase in soil carbon accumulation in all biomes and a decrease in ecosystem carbon exchange. These findings suggest that irrigation rates developed for desert, semidesert, and steppe biomes were effective. The results of this study can be applied to irrigated and rainfed agriculture. The obtained data not only corroborate the positive influence of irrigation levels on carbon accumulation in soil across various biomes but also unveil prospects for the development of sustainable agricultural practices. This study aims at optimizing the utilization of water resources, which may contribute to fostering ecosystem resilience within the agricultural sector.</t>
  </si>
  <si>
    <t>[Jiang, Jiachen] Nanchang Univ, Sch Publ Policy &amp; Adm, Nanchang, Peoples R China; [Mukhametov, Almas] Kazakh Natl Agrarian Res Univ, Dept Technol &amp; Safety Food Prod, Alma Ata, Kazakhstan; [Philippova, Alla] Sechenov Univ, IM Sechenov First Moscow State Med Univ, Dept Biol &amp; Gen Genet, Moscow, Russia; [Bakshtanin, Alexander] Russian State Agrarian Univ, Moscow Timiryazev Agr Acad, Dept Integrated Water Management &amp; Hydraul, Russian, Moscow, Russia</t>
  </si>
  <si>
    <t>Nanchang University; Kazakh National Agrarian Research University; Sechenov First Moscow State Medical University; Russian State Agrarian University - Moscow Timiryazev Agricultural Academy</t>
  </si>
  <si>
    <t>Philippova, A (corresponding author), Sechenov Univ, IM Sechenov First Moscow State Med Univ, Dept Biol &amp; Gen Genet, Moscow, Russia.</t>
  </si>
  <si>
    <t>alla_philippova8@rambler.ru</t>
  </si>
  <si>
    <t>; Bakshtanin, Alexander/AAE-4334-2022; Mukhametov, Almas/ACA-8118-2022</t>
  </si>
  <si>
    <t>Mukhametov, Almas/0009-0006-4694-5036;</t>
  </si>
  <si>
    <t>10.1016/j.ecolmodel.2024.110664</t>
  </si>
  <si>
    <t>NE7X6</t>
  </si>
  <si>
    <t>WOS:001198853700001</t>
  </si>
  <si>
    <t>Hall, J; Loboda, T</t>
  </si>
  <si>
    <t>Hall, Joanne; Loboda, Tatiana</t>
  </si>
  <si>
    <t>Quantifying the variability of potential black carbon transport from cropland burning in Russia driven by atmospheric blocking events</t>
  </si>
  <si>
    <t>atmospheric blocking; cropland burning; low-level atmospheric transport; black carbon; Russia</t>
  </si>
  <si>
    <t>ARCTIC AIR-POLLUTION; AGRICULTURAL FIRES; NORTHERN EURASIA; SMOKE; ANTICYCLONES; CLIMATE</t>
  </si>
  <si>
    <t>The deposition of short-lived aerosols and pollutants on snow above the Arctic Circle transported from northern mid-latitudes have amplified the short term warming in the Arctic region. Specifically, black carbon has received a great deal of attention due to its absorptive efficiency and its fairly complex influence on the climate. Cropland burning in Russia is a large contributor to the black carbon emissions deposited directly onto the snow in the Arctic region during the spring when the impact on the snow/ice albedo is at its highest. In this study, our focus is on identifying a possible atmospheric pattern that may enhance the transport of black carbon emissions from cropland burning in Russia to the snow-covered Arctic. Specifically, atmospheric blocking events are large-scale patterns in the atmospheric pressure field that are nearly stationary and act to block migratory cyclones. The persistent low-level wind patterns associated with these mid-latitude weather patterns are likely to accelerate potential transport and increase the success of transport of black carbon emissions to the snow-covered Arctic during the spring. Our results revealed that overall, in March, the transport time of hypothetical black carbon emissions from Russian cropland burning to the Arctic snow is shorter (in some areas over 50 hours less at higher injection heights) and the success rate is also much higher (in some areas up to 100% more successful) during atmospheric blocking conditions as compared to conditions without an atmospheric blocking event. The enhanced transport of black carbon has important implications for the efficacy of deposited black carbon. Therefore, understanding these relationships could lead to possible mitigation strategies for reducing the impact of deposition of black carbon from crop residue burning in the Arctic.</t>
  </si>
  <si>
    <t>[Hall, Joanne; Loboda, Tatiana] Univ Maryland, Dept Geog Sci, 2181 Samuel J LeFrak Hall,7251 Preinkert Dr, College Pk, MD 20742 USA</t>
  </si>
  <si>
    <t>University System of Maryland; University of Maryland College Park</t>
  </si>
  <si>
    <t>Hall, J (corresponding author), Univ Maryland, Dept Geog Sci, 2181 Samuel J LeFrak Hall,7251 Preinkert Dr, College Pk, MD 20742 USA.</t>
  </si>
  <si>
    <t>jhall1@umd.edu</t>
  </si>
  <si>
    <t>Hall, Joanne/0000-0001-5413-7369</t>
  </si>
  <si>
    <t>10.1088/1748-9326/aabf65</t>
  </si>
  <si>
    <t>GF2WD</t>
  </si>
  <si>
    <t>WOS:000431799900001</t>
  </si>
  <si>
    <t>Ke, P; Lintunen, A; Kolari, P; Lohila, A; Tuovinen, S; Lampilahti, J; Thakur, R; Peltola, M; Peräkylä, O; Nieminen, T; Ezhova, E; Pihlatie, M; Laasonen, A; Koskinen, M; Rautakoski, H; Heimsch, L; Kokkonen, T; Vähä, A; Mammarella, I; Noe, S; Bäck, J; Kerminen, VM; Kulmala, M</t>
  </si>
  <si>
    <t>Ke, Piaopiao; Lintunen, Anna; Kolari, Pasi; Lohila, Annalea; Tuovinen, Santeri; Lampilahti, Janne; Thakur, Roseline; Peltola, Maija; Perakyla, Otso; Nieminen, Tuomo; Ezhova, Ekaterina; Pihlatie, Mari; Laasonen, Asta; Koskinen, Markku; Rautakoski, Helena; Heimsch, Laura; Kokkonen, Tom; Vaha, Aki; Mammarella, Ivan; Noe, Steffen; Back, Jaana; Kerminen, Veli-Matti; Kulmala, Markku</t>
  </si>
  <si>
    <t>Potential of carbon uptake and local aerosol production in boreal and hemi-boreal ecosystems across Finland and in Estonia</t>
  </si>
  <si>
    <t>PARTICLE FORMATION; FEEDBACK MECHANISM; FLUXES; RADIATION; DYNAMICS; FORESTS; CLUSTER; WATER; ION; SPECTROMETER</t>
  </si>
  <si>
    <t>Continental ecosystems play an important role in carbon dioxide (CO2) uptake and aerosol production, which help to mitigate climate change. The concept of CarbonSink+ potential enables a direct comparison of CO2 uptake and local aerosol production at the ecosystem scale. Following this concept, momentary net ecosystem exchange (NEE) and the number concentration of negative intermediate ions at 2.0-2.3 nm (Nneg) were analysed for boreal and hemi-boreal ecosystems across Finland and in Estonia. Nneg can tell us how effectively gaseous precursors associated with biogenic emissions from an ecosystem initiate the new particle formation. Four forests, three agricultural fields, an open peatland, an urban garden, and a coastal site were included, with a focus on the summertime. We compared the NEE and Nneg at each site to the boreal Hyyti &amp; auml;l &amp; auml; forest (F-HYY) as it is constituted by the dominant ecosystem type in Finland. Nneg was highest at the urban garden site and lowest at the coastal site. The agricultural fields had higher or similar net CO2 uptake rates and higher Nneg than all studied forests. The median net CO2 uptake rate of the open peatland was only 31 % of that at F-HYY, while the median Nneg was 77 % of that at F-HYY. The median net CO2 uptake rate in the urban garden was 63 % of that at F-HYY, implying the importance of urban green areas in CO2 storage. The coastal site was a minor CO2 sink. It should be noted that the harvest biomass in agricultural fields is not accounted for in this study. Given the large area of forests in Finland, the forests are the most important ecosystems in terms of their CO2 uptake and local aerosol formation with regard to helping to mitigate climate warming.</t>
  </si>
  <si>
    <t>[Ke, Piaopiao; Lintunen, Anna; Kolari, Pasi; Lohila, Annalea; Tuovinen, Santeri; Lampilahti, Janne; Thakur, Roseline; Peltola, Maija; Perakyla, Otso; Nieminen, Tuomo; Ezhova, Ekaterina; Pihlatie, Mari; Laasonen, Asta; Kokkonen, Tom; Vaha, Aki; Mammarella, Ivan; Kerminen, Veli-Matti; Kulmala, Markku] Univ Helsinki, Inst Atmospher &amp; Earth Syst Res INAR Phys, Fac Sci, Helsinki 00014, Finland; [Lintunen, Anna; Pihlatie, Mari; Koskinen, Markku] Univ Helsinki, Inst Atmospher &amp; Earth Syst Res INAR Forest Sci, Fac Agr &amp; Forestry, Helsinki 00014, Finland; [Lohila, Annalea; Rautakoski, Helena; Heimsch, Laura] Finnish Meteorol Inst, Climate Syst Res, Helsinki 00101, Finland; [Koskinen, Markku] Univ Helsinki, Fac Agr &amp; Forestry, Dept Agr Sci, Helsinki 00790, Finland; [Noe, Steffen] Estonian Univ Life Sci, Inst Forestry &amp; Engn, EE-51006 Tartu, Estonia</t>
  </si>
  <si>
    <t>University of Helsinki; University of Helsinki; Finnish Meteorological Institute; University of Helsinki; Estonian University of Life Sciences</t>
  </si>
  <si>
    <t>Ke, P; Kulmala, M (corresponding author), Univ Helsinki, Inst Atmospher &amp; Earth Syst Res INAR Phys, Fac Sci, Helsinki 00014, Finland.</t>
  </si>
  <si>
    <t>piaopiao.ke@helsinki.fi; markku.kulmala@helsinki.fi</t>
  </si>
  <si>
    <t>Lintunen, Anna/D-5942-2015; Mammarella, Ivan/E-7782-2016; Lohila, Annalea/C-7307-2014; Ezhova, Ekaterina/D-5064-2015; Pihlatie, Mari/B-4651-2008; Bäck, Jaana/A-7405-2010; Kulmala, Markku/I-7671-2016; Perakyla, Otso/MCJ-7816-2025; Kerminen, Veli-Matti/M-9026-2014; Koskinen, Markku/AAF-1482-2020; Nieminen, Tuomo/D-1618-2011; Noe, Steffen/G-7549-2016; Thakur, Roseline/AHC-1408-2022; Kokkonen, Tom/AAY-4142-2021</t>
  </si>
  <si>
    <t>Lintunen, Anna/0000-0002-1077-0784; Mammarella, Ivan/0000-0002-8516-3356; Lohila, Annalea/0000-0003-3541-672X; Ezhova, Ekaterina/0000-0003-2770-9143; Kolari, Pasi/0000-0001-7271-633X; Pihlatie, Mari/0000-0001-6035-3949; Tuovinen, Santeri/0000-0002-8092-5358; Nieminen, Tuomo/0000-0002-2713-715X; Vähä, Aki/0000-0001-9850-9830; Bäck, Jaana/0000-0002-6107-667X; Laasonen, Asta/0009-0003-0292-256X; Thakur, Roseline/0000-0002-3238-4171; Peltola, Maija/0000-0002-7046-3057; Koskinen, Markku/0000-0002-9473-6064; Ke, Piaopiao/0000-0001-5111-7696; Peräkylä, Otso/0000-0002-2089-0106; Kokkonen, Tom/0000-0002-4804-7516</t>
  </si>
  <si>
    <t>Research Council of Finland; Academy of Finland; Academy Professorship programme; Strategic Research Council; Jenny and Antti Wihuri Foundation; European Research Council (ERC); FOCI consortium (Non-CO2 Forcers); University of Helsinki; INAR RI, ICOS RI, ACTRIS RI, and eLTER RI research infrastructures</t>
  </si>
  <si>
    <t>Research Council of Finland(Research Council of Finland); Academy of Finland(Research Council of Finland); Academy Professorship programme; Strategic Research Council(Strategic Research Council (SRC)); Jenny and Antti Wihuri Foundation; European Research Council (ERC)(European Research Council (ERC)); FOCI consortium (Non-CO2 Forcers); University of Helsinki(University of Helsinki); INAR RI, ICOS RI, ACTRIS RI, and eLTER RI research infrastructures</t>
  </si>
  <si>
    <t>We express our gratitude to the technical and scientific staff at all measurement sites for their invaluable contributions. We also acknowledge institutional support from the following projects and infrastructures: the ACCC Flagship initiative funded by the Academy of Finland; the Academy Professorship programme; the Strategic Research Council; the Gigacity project sponsored by the Jenny and Antti Wihuri Foundation; the European Research Council (ERC) ATM-GTP initiative; the FOCI consortium (Non-CO2 Forcers and their Climate, Weather, Air Quality and Health Impacts); the University of Helsinki's ACTRIS-HY framework; SMEAR Estonia; and the INAR RI, ICOS RI, ACTRIS RI, and eLTER RI research infrastructures.</t>
  </si>
  <si>
    <t>JUL 8</t>
  </si>
  <si>
    <t>10.5194/bg-22-3235-2025</t>
  </si>
  <si>
    <t>4PR3G</t>
  </si>
  <si>
    <t>WOS:001523697500001</t>
  </si>
  <si>
    <t>Metsaranta, JM</t>
  </si>
  <si>
    <t>Metsaranta, Juha M.</t>
  </si>
  <si>
    <t>Long-term tree-ring derived carbon dynamics of an experimental plantation in relation to species and density in Northwestern Ontario, Canada</t>
  </si>
  <si>
    <t>Afforestation; CBM-CFS3; Climate change mitigation; Climate change adaptation; Dendrochronology; Boreal forest; Net ecosystem production; Tree-ring analysis; Wood production</t>
  </si>
  <si>
    <t>LAND-USE CHANGE; WHITE SPRUCE PLANTATIONS; NET PRIMARY PRODUCTIVITY; RED PINE PLANTATIONS; CLIMATE-CHANGE; BLACK SPRUCE; JACK PINE; FOREST MANAGEMENT; ECOSYSTEM PRODUCTION; AGRICULTURAL LAND</t>
  </si>
  <si>
    <t>Afforestation can result in significant accumulations of carbon (C) in both soils and vegetation, which can make an important contribution to GHG emission mitigation. However, there remains a critical knowledge gap about ecosystem C stocks and fluxes at afforested sites, which is required in order to understand the effect of management choices like species selection and initial planting density. A hybrid biometric modelling approach was used to reconstruct ecosystem C stocks and fluxes at an experimental spacing trial consisting of three species (red pine, white spruce, and black spruce) planted at three densities, 63 years after it was established on former agricultural land in Northwestern Ontario, Canada. Wood volume and increment were larger for closer spacing and for red pine relative to black or white spruce, and translated to analogous differences in estimates of ecosystem C dynamics. At young ages, net ecosystem production was largest at close spacing, but this difference attenuated over time and was similar in recent decades regardless of initial spacing. Estimated carbon stock and flux values were generally congruent with available estimates from independent studies at analogous sites, with the exception of litterfall which showed greater differences. Plots at the site were estimated to be C sinks on an annual basis immediately after establishment under the assumption that the site was previously under long-term agricultural land use, but anywhere from 10 to 20 years following establishment if the site was modelled as if it was a stand in the managed forest historically subject to natural disturbance regimes.</t>
  </si>
  <si>
    <t>[Metsaranta, Juha M.] Nat Resources Canada, Canadian Forest Serv, Northern Forestry Ctr, 5320 122 St, Edmonton, AB T6H 3S5, Canada</t>
  </si>
  <si>
    <t>Natural Resources Canada; Canadian Forest Service</t>
  </si>
  <si>
    <t>Metsaranta, JM (corresponding author), Nat Resources Canada, Canadian Forest Serv, Northern Forestry Ctr, 5320 122 St, Edmonton, AB T6H 3S5, Canada.</t>
  </si>
  <si>
    <t>juha.metsaranta@canada.ca</t>
  </si>
  <si>
    <t>Metsaranta, Juha/0000-0003-0450-3783</t>
  </si>
  <si>
    <t>Canadian Forest Service of Natural Resources Canada</t>
  </si>
  <si>
    <t>Canadian Forest Service of Natural Resources Canada(Natural Resources CanadaCanadian Forest Service)</t>
  </si>
  <si>
    <t>Funding for the study was provided by the Canadian Forest Service of Natural Resources Canada. Mihai Voicu and Stephen Kull conducted the field work, while Laura Stanton and Edith Li performed the tree-ring sample processing and measurement. Permission to sample this study site was provided by Ontario Ministry of Natural Resources and Forestry. As with all long-term forestry studies, this research was only possible through the foresight of those who have proceeded us in establishing and maintaining long-term research installations. In particular, I would like to acknowledge the late Frank Lyon, research scientist with the Northern Forest Research Unit (NFRU) of the Ontario Ministry of Natural Resources (historically the Department of Lands and Forests) who oversaw the establishment of this research trial many decades ago. Carolyn Smyth and two anonymous reviewers provided helpful comments that greatly improved the manuscript.</t>
  </si>
  <si>
    <t>10.1016/j.foreco.2019.03.038</t>
  </si>
  <si>
    <t>IC6MQ</t>
  </si>
  <si>
    <t>WOS:000471086600022</t>
  </si>
  <si>
    <t>Chen, SCI; Dang, X; Xu, QQ; Own, CM</t>
  </si>
  <si>
    <t>Chen, Sonia Chien-i; Dang, Xin; Xu, Qian-qian; Own, Chung-Ming</t>
  </si>
  <si>
    <t>Transforming Waste into Value: Sustainable Recycling of Agricultural Resources Under the 'Carbon Peak and Carbon Neutrality' Vision</t>
  </si>
  <si>
    <t>sustainable materials innovation; waste crop management; circular economy; environmental enzyme technologies; green energy transition</t>
  </si>
  <si>
    <t>ENERGY; IMPLEMENTATION</t>
  </si>
  <si>
    <t>The Carbon Peak, Carbon Neutrality vision emphasizes the urgency of adopting sustainable practices. This study primarily stresses on how China's agricultural waste can be managed for long-term environmental sustainability and energy development. This study presents novel techniques for power generation from biogas and utilizes environmental enzyme technology to recycle agricultural waste, therefore fostering low-carbon development and facilitating green energy transitions. A PEST approach examines the social, economic, political, and technical factors that impact the utilization of agricultural waste resources, while a prototype value-added reuse system is built to demonstrate practical applications. Feasibility studies back up the proposed methods with evidence from a SWOT analysis. Furthermore, a systematic questionnaire survey assesses public knowledge and behavior about the reusing of agricultural waste, thereby offering information on society's preparedness for implementing these technologies. The results highlight the possibilities of waste crop recycling technology to stimulate industrial activities, especially in the manufacturing of bio-based products fit for national carbon neutrality targets. This study emphasizes the need to include agricultural waste recycling into changes towards sustainable energy. Its encouragement of the invention of green energy solutions helps the study to offer an insightful analysis for the progress of carbon neutrality initiatives.</t>
  </si>
  <si>
    <t>[Chen, Sonia Chien-i; Dang, Xin; Xu, Qian-qian] Qingdao Univ, Sch Econ, Qingdao 266071, Peoples R China; [Own, Chung-Ming] Tianjin Univ, Coll Intelligence &amp; Comp, Tianjin 300072, Peoples R China</t>
  </si>
  <si>
    <t>Qingdao University; Tianjin University</t>
  </si>
  <si>
    <t>Chen, SCI (corresponding author), Qingdao Univ, Sch Econ, Qingdao 266071, Peoples R China.</t>
  </si>
  <si>
    <t>drsoniachen@qdu.edu.cn</t>
  </si>
  <si>
    <t>chen, sonia/P-8260-2018</t>
  </si>
  <si>
    <t>Chen, Sonia/0000-0002-6296-4943</t>
  </si>
  <si>
    <t>Qingdao University; [DC2100001487]; [RH2200003783]</t>
  </si>
  <si>
    <t>Qingdao University; ;</t>
  </si>
  <si>
    <t>This research was supported by Qingdao University under grant number DC2100001487, and by the project Financial Technology Security and Regulatory Planning System Based on RSA Encryption Algorithm under grant number RH2200003783.</t>
  </si>
  <si>
    <t>10.3390/su17010055</t>
  </si>
  <si>
    <t>R8J1Y</t>
  </si>
  <si>
    <t>WOS:001393834600001</t>
  </si>
  <si>
    <t>Wang, PF; Yu, AZ; Li, Y; Wang, YL; Lyu, H; Wang, F; Shang, YP; Yang, XH; Chai, Q</t>
  </si>
  <si>
    <t>Wang, Pengfei; Yu, Aizhong; Li, Yue; Wang, Yulong; Lyu, Hanqiang; Wang, Feng; Shang, Yongpan; Yang, Xuehui; Chai, Qiang</t>
  </si>
  <si>
    <t>Reducing nitrogen application by 20% under the condition of multiple cropping using green manure after wheat harvesting can mitigate carbon emission without sacrificing maize yield in arid areas</t>
  </si>
  <si>
    <t>Reducing nitrogen application by 20%; Green manure; Yield; Carbon emission; Carbon sequestration</t>
  </si>
  <si>
    <t>SOIL ORGANIC-CARBON; LONG-TERM APPLICATION; CO2 EMISSION; COVER CROPS; ENVIRONMENTAL-FACTORS; GAS EMISSIONS; WATER-CONTENT; RESPIRATION; FERTILIZATION; DIOXIDE</t>
  </si>
  <si>
    <t>Context: At the agro-ecosystem scale, a combination of green manure and chemical nitrogen fertilizer improves crop yield but also exacerbates soil CO2 emissions. However, it is unclear whether reducing nitrogen by reapplying green manure to fields can achieve high crop yields and improve carbon mitigation. Objective: This study aims to investigate the effects and underlying mechanisms of carbon emissions in maize fields under green manure reapplication combined with a reduction in nitrogen. Methods: A field experiment comprising five treatments (green manure reapplication combined with traditional nitrogen application (N100), green manure reapplication combined with a reduction in nitrogen of 10% (N90), green manure reapplication combined with a reduction in nitrogen of 20% (N80), green manure reapplication combined with a reduction in nitrogen of 30% (N70), and green manure reapplication combined with a reduction in nitrogen of 40% (N60)) was conducted at an arid oasis region in northwestern China from 2020 to 2022. This study investigated the effects of reducing nitrogen application while reapplying green manure to the field on maize grain yield, soil respiration rate, and carbon emission efficiency (CEE) and analyzed the relationship between soil respiration rate and soil temperature (Ts), soil water content (SWC), and crop biomass accumulation (BA). Results: The N80 treatment significantly reduced soil carbon emissions (CE) but did not reduce maize grain yield, and it showed a significant increase in CEE of 7.7% compared with the N100 treatment. In addition, this system can ensure no reduction in net primary production (NPP), net ecosystem production (NEP), and carbon sequestration (CS) potential compared with N100 and significantly improves the NPP/CE value. Soil temperature and crop biomass significantly correlated with soil respiration, which explained 68.4-72.9% and 84.4-88.8% of the seasonal variation of soil respiration, respectively. However, there was no correlation between soil moisture and soil respiration. Conclusion: Therefore, reducing nitrogen application by 20% while multiple cropping with green manure application after wheat was a suitable nitrogen fertilizer management measure for improving carbon mitigation in arid areas without sacrificing maize yield. Implications: The results of this study provide valuable insights into long-term agricultural management strategies for achieving high agricultural production and environmental friendliness.</t>
  </si>
  <si>
    <t>[Wang, Pengfei; Yu, Aizhong; Li, Yue; Wang, Yulong; Lyu, Hanqiang; Wang, Feng; Shang, Yongpan; Yang, Xuehui; Chai, Qiang] Gansu Agr Univ, Coll Agron, Lanzhou 730070, Peoples R China; [Wang, Pengfei; Yu, Aizhong; Li, Yue; Wang, Yulong; Lyu, Hanqiang; Wang, Feng; Shang, Yongpan; Yang, Xuehui; Chai, Qiang] Gansu Agr Univ, State Key Lab Aridland Crop Sci, Lanzhou 730070, Peoples R China</t>
  </si>
  <si>
    <t>Yu, AZ (corresponding author), Gansu Agr Univ, Coll Agron, Lanzhou 730070, Peoples R China.</t>
  </si>
  <si>
    <t>yuaizh@gsau.edu.cn</t>
  </si>
  <si>
    <t>Yang, Xuehui/IIO-6744-2023; Pengfei, Wang/GSD-4171-2022; Chai, Qiang/MVX-0075-2025; Wang, Yulong/OVY-3023-2025; YU, Aizhong/OVY-3453-2025</t>
  </si>
  <si>
    <t>National Natural Science Foundation of China [32160524]; National Key Research and Development Program of China [2022YFD1900200]; Industrial Support Project of Educational Committee of Gansu Province [2021CYZC-54]; Modern Agro-Industry industry Technology Research System of China [CARS-22-G-12]; Science and Technology Plan of Gansu Province [20JR5RA037]; Fuxi Outstanding Talent Cultivation Program of Gansu Agricultural University [GAUfx-04J01]</t>
  </si>
  <si>
    <t>National Natural Science Foundation of China(National Natural Science Foundation of China (NSFC)); National Key Research and Development Program of China(National Key Research &amp; Development Program of China); Industrial Support Project of Educational Committee of Gansu Province; Modern Agro-Industry industry Technology Research System of China; Science and Technology Plan of Gansu Province; Fuxi Outstanding Talent Cultivation Program of Gansu Agricultural University</t>
  </si>
  <si>
    <t>This work was financially supported by the National Natural Science Foundation of China (32160524) , the National Key Research and Development Program of China (2022YFD1900200) , the Industrial Support Project of Educational Committee of Gansu Province (2021CYZC-54) , the Modern Agro-Industry industry Technology Research System of China (CARS-22-G-12) , the Science and Technology Plan of Gansu Province (20JR5RA037) , the Fuxi Outstanding Talent Cultivation Program of Gansu Agricultural University (GAUfx-04J01) .</t>
  </si>
  <si>
    <t>10.1016/j.fcr.2023.109232</t>
  </si>
  <si>
    <t>FI8U1</t>
  </si>
  <si>
    <t>WOS:001145231300001</t>
  </si>
  <si>
    <t>Sayed, HAA; Ding, QS; Hendy, ZM; Alele, JO; Al-Mashhadany, OH; Abdelhamid, MA</t>
  </si>
  <si>
    <t>Sayed, Hassan A. A.; Ding, Qishuo; Hendy, Zeinab M.; Alele, Joseph O.; Al-Mashhadany, Osamah H.; Abdelhamid, Mahmoud A.</t>
  </si>
  <si>
    <t>Improving Energy Efficiency and Greenhouse Gas Emissions in Small Farm Wheat Production Scenarios Using Data Envelopment Analysis</t>
  </si>
  <si>
    <t>energy; wheat production; data envelopment analysis; GHG emissions; small farms</t>
  </si>
  <si>
    <t>ECONOMIC-ANALYSIS; CARBON EMISSION; TOKAT PROVINCE; AGRICULTURE; CONSUMPTION; SYSTEMS; INPUTS</t>
  </si>
  <si>
    <t>Assessing the energy cycle and greenhouse gas (GHG) emissions of wheat production in small Egyptian farms is essential to improve wheat productivity to meet population growth and achieve sustainable development. This study aims to compare wheat production in terms of energy use and GHG emissions for different scenarios in the Delta of Egypt and to use Data Envelopment Analysis (DEA) to optimize the wheat production system. Three common scenarios of the wheat production system (S-I, S-II, and S-III) from old lands with one scenario (S-IV) from newly reclaimed land were included in the study. Data were collected from small farmers through a face-to-face questionnaire and interviews in 2022-2023. The results showed that the third scenario (S-III) in the old lands had the lowest input energy consumption (42,555 MJ ha(-1)) and the highest output energy (160,418 MJ ha(-1)), with an energy use efficiency of 3.770. In comparison, the input and output energy for the newly reclaimed scenario (S-IV) were 37,575 and 130,581 MJ ha(-1), respectively, with an energy use efficiency of 3.475. S-III was an optimum scenario due to its high energy indicators, such as energy productivity of 0.173 kg MJ(-1). The total GHG emissions of S-III were the lowest in old lands with a value of 1432.9 kg CO2-eq ha(-1), while S-IV had 1290.2 kg CO2-eq ha(-1). The highest GHG emissions input was diesel fuel for machinery and irrigation, followed by manure, chemical fertilizers, and agricultural machinery use. Using mechanization in most farming operations for S-III and S-IV led to decreased losses of agricultural inputs with increasing outputs (yield and straw). Therefore, using them in wheat farming practices is recommended to increase the wheat farming system's energy efficiency and GHG emissions.</t>
  </si>
  <si>
    <t>[Sayed, Hassan A. A.; Ding, Qishuo; Alele, Joseph O.] Nanjing Agr Univ, Coll Engn, Key Lab Intelligent Agr Equipment Jiangsu Prov, Nanjing 210031, Peoples R China; [Sayed, Hassan A. A.] Al Azhar Univ, Fac Agr Engn, Dept Agr Power &amp; Machinery Engn, Cairo 11751, Egypt; [Hendy, Zeinab M.; Abdelhamid, Mahmoud A.] Ain Shams Univ, Fac Agr, Dept Agr Engn, Cairo 11566, Egypt; [Alele, Joseph O.] Egerton Univ, Fac Engn &amp; Technol, Dept Agr Engn, POB 536-20115, Njoro, Kenya; [Al-Mashhadany, Osamah H.] Minist Agr, POB 5157, Baghdad, Iraq</t>
  </si>
  <si>
    <t>Nanjing Agricultural University; Egyptian Knowledge Bank (EKB); Al Azhar University; Egyptian Knowledge Bank (EKB); Ain Shams University; Egerton University</t>
  </si>
  <si>
    <t>Ding, QS (corresponding author), Nanjing Agr Univ, Coll Engn, Key Lab Intelligent Agr Equipment Jiangsu Prov, Nanjing 210031, Peoples R China.</t>
  </si>
  <si>
    <t>hassan2712@azhar.edu.eg; qsding@njau.edu.cn; zeinabhendy@agr.asu.edu.eg; joseph.alele@egerton.ac.ke; mahmoudabdelhamid@agr.asu.edu.eg; osamahassanjwer@gmail.com</t>
  </si>
  <si>
    <t>; Hendy, Zeinab/HKO-6960-2023; Hendy, zeinab/HKO-6960-2023; Abdelhamid, Mahmoud/AFD-9103-2022; Sayed, Hassan/HPF-7845-2023</t>
  </si>
  <si>
    <t>Abdelhamid, Mahmoud/0000-0002-0709-1836; Qishuo, Ding/0000-0002-9871-9587; Hendy, zeinab/0000-0002-3223-5854; Alele, Joseph/0009-0002-4496-9529; A A Sayed, Hassan/0000-0002-3174-5801;</t>
  </si>
  <si>
    <t>College of Engineering, Nanjing Agricultural University/Key Laboratory of Intelligent Agricultural Equipment of Jiangsu Province, Nanjing, China</t>
  </si>
  <si>
    <t>This research is supported by the College of Engineering, Nanjing Agricultural University/Key Laboratory of Intelligent Agricultural Equipment of Jiangsu Province, Nanjing, 210031, China.</t>
  </si>
  <si>
    <t>10.3390/agronomy13081973</t>
  </si>
  <si>
    <t>Q4ZB0</t>
  </si>
  <si>
    <t>WOS:001057607100001</t>
  </si>
  <si>
    <t>Rosinger, C; Gotthalmseder, G; Bodner, G; Keiblinger, KM; Forstner, SJ; Sanden, T; Ferretti, G; Prebibaj, M; Neugschwandtner, RW; Kaul, H</t>
  </si>
  <si>
    <t>Rosinger, Christoph; Gotthalmseder, Golo; Bodner, Gernot; Keiblinger, Katharina M.; Forstner, Stefan J.; Sanden, Taru; Ferretti, Giacomo; Prebibaj, Moltine; Neugschwandtner, Reinhard W.; Kaul, Hans-Peter</t>
  </si>
  <si>
    <t>Soil Health, Crop Yield and Carbon Footprint Trade-Offs Between Conservation and Conventional Farming: A Case Study</t>
  </si>
  <si>
    <t>agriculture; agronomy; cover cropping; crop diversification; crop type effect; greenhouse gas emissions; reduced tillage; soil quality; sustainable management</t>
  </si>
  <si>
    <t>COVER CROPS; LAND-USE; CHLOROFORM FUMIGATION; QUALITY INDICATORS; TILLAGE MANAGEMENT; CLIMATE-CHANGE; N2O EMISSIONS; AGRICULTURE; SYSTEMS; NITROGEN</t>
  </si>
  <si>
    <t>Transitioning towards soil health-oriented farming systems is fundamental to mitigate future challenges such as climate change, soil degradation, and increasing global food demands. In this study, we evaluated soil health, crop yields, and greenhouse gas (GHG) emissions at a long-term experimental site in Central Europe that comprised two cropping systems: a conventional system with regular tillage, low-diversity crop rotation, and minimal cover cropping, and a conservation system with shallow tillage, diverse crop rotation, and extensive cover cropping. We assessed soil health using 13 physico-chemical and biological parameters, calculated field-scale GHG emissions, and analysed yield dynamics over an eight-year period to evaluate potential crop yield penalties under conservation farming. We observed significant soil health advances (+7%) and reductions in GHG emissions (-43%) with conservation farming, while crop yields for all cultivated crops remained stable. Improvements in soil health were particularly pronounced for nitrogen cycling and microbial-driven processes. For several measured soil health parameters, we found a larger effect of crop species compared to farming system. Further, positive management effects on soil were apparent particularly for winter wheat and to a lesser extent for maize and sugar beet, strongly emphasizing the need for standardized soil health assessments that take crop species into account. Our study demonstrates that easily implementable conservation farming measures such as reduced tillage, increased crop diversity, and enhanced cover cropping can substantially improve soil health and long-term agricultural sustainability without compromising crop yields. Conservation farming thus emerges as a viable strategy to support resilient crop production in temperate regions.</t>
  </si>
  <si>
    <t>[Rosinger, Christoph; Gotthalmseder, Golo; Bodner, Gernot; Neugschwandtner, Reinhard W.; Kaul, Hans-Peter] Univ Nat Resources &amp; Life Sci Vienna BOKU Tulln D, Inst Agron, Dept Agr Sci, Vienna, Austria; [Keiblinger, Katharina M.] Univ Nat Resources &amp; Life Sci Vienna BOKU Vienna, Inst Soil Res, Dept Ecosyst Management Climate &amp; Biodivers, Vienna, Austria; [Forstner, Stefan J.] Austrian Res Ctr Forests BFW Vienna, Agr Soil Dept Forest Ecol &amp; Soil, Vienna, Austria; [Sanden, Taru] Austrian Agcy Hlth &amp; Food Safety AGES Vienna, Dept Soil Hlth &amp; Plant Nutr, Inst Sustainable Plant Prod, Vienna, Austria; [Ferretti, Giacomo] Univ Ferrara, Dept Chem Pharmaceut &amp; Agr Sci, Ferrara, Italy; [Prebibaj, Moltine] Agr Univ Tirana, Fac Agr &amp; Environm, Dept Crop Sci &amp; Technol, Tirana, Albania</t>
  </si>
  <si>
    <t>University of Ferrara</t>
  </si>
  <si>
    <t>Rosinger, C (corresponding author), Univ Nat Resources &amp; Life Sci Vienna BOKU Tulln D, Inst Agron, Dept Agr Sci, Vienna, Austria.</t>
  </si>
  <si>
    <t>christoph.rosinger@boku.ac.at</t>
  </si>
  <si>
    <t>Ferretti, Giacomo/AAO-9543-2020; Neugschwandtner, Reinhard/AAG-5150-2020; Forstner, Stefan/ABE-4333-2020; Prebibaj, Moltine/KIL-7063-2024; Keiblinger, Katharina/J-1930-2016; Kaul, Hans-Peter/AAH-3701-2019</t>
  </si>
  <si>
    <t>BIOS Science Austria - Verein zur Frderung der Lebenswissenschaften</t>
  </si>
  <si>
    <t>This work was supported by Universitat fur Bodenkultur Wien, BIOS Science Austria-Verein zur Foerderung der Lebenswissenschaftenr No Statement Available</t>
  </si>
  <si>
    <t>SEP 12</t>
  </si>
  <si>
    <t>e70194</t>
  </si>
  <si>
    <t>10.1111/ejss.70194</t>
  </si>
  <si>
    <t>7GI6Z</t>
  </si>
  <si>
    <t>WOS:001570364000001</t>
  </si>
  <si>
    <t>Oladele, SO; Adetunji, AT</t>
  </si>
  <si>
    <t>Oladele, Segun O.; Adetunji, Adewole T.</t>
  </si>
  <si>
    <t>Agro-residue biochar and N fertilizer addition mitigates CO2-C emission and stabilized soil organic carbon pools in a rain-fed agricultural cropland</t>
  </si>
  <si>
    <t>Global change; Sub-saharan Africa; Greenhouse gas; Rainfed croplands; Environment</t>
  </si>
  <si>
    <t>MICROBIAL COMMUNITY STRUCTURE; LONG-TERM FERTILIZATION; NITROGEN-FERTILIZER; MANAGEMENT INDEX; BIOMASS CARBON; LOESS PLATEAU; GAS EMISSIONS; STRAW RETURN; RICE STRAW; MATTER</t>
  </si>
  <si>
    <t>Scarce carbon dioxide (CO2) emission data, soil organic carbon (C-org) and labile C-org pool index for croplands in sub-Saharan Africa (SSA) limits our ability to define regional CO2 flux and mitigation prospects provided by biochar amendment. Hence, we conducted a two-year field scale study quantifying effects of biochar (12 t ha(-1)), biochar (12 t ha(-1)) and N fertilizer (90 kg N ha(-1)), N fertilizer (90 kg N ha(-1)) alone and control (no amendment) on C-org, C-org pools, lability index (LI) and CO2 emissions of a humid tropical alfisol under rainfed rice cultivation. Results clearly demonstrate that biochar amendment combined with N fertilizer significantly increased C-org, particulate organic carbon, and particulate organic carbon to organic carbon proportion. Furthermore, this combination decreased dissolved organic carbon, dissolved organic carbon to organic carbon proportion, easily oxidizable carbon, easily oxidizable carbon to organic carbon proportion, microbial biomass carbon, microbial biomass carbon to organic carbon proportion, LI, and CO2 emission when compared to other treatments. Our findings established relationship between labile C-org pools and CO2 emission. Overall, our study suggest that application of biochar and N fertilizer addition can decrease CO(2 )emission from SSA croplands under rainfed rice cultivation, increase essential labile C-org pools, protect labile C-org pools sensitive to losses and sequester C-org with positive implication for global change mitigation and soil quality improvement. (C) 2020 International Research and Training Center on Erosion and Sedimentation and China Water and Power Press. Production and Hosting by Elsevier B.V.</t>
  </si>
  <si>
    <t>[Oladele, Segun O.] Adekunle Ajasin Univ Akungba Akoko, Dept Agron, Akungba, Ondo State, Nigeria; [Oladele, Segun O.] Fed Univ Technol Akure, Dept Crop Soil &amp; Pest Management, Akure, Ondo State, Nigeria; [Adetunji, Adewole T.] Cape Peninsula Univ Technol, Dept Agr, Western Cape, South Africa</t>
  </si>
  <si>
    <t>Cape Peninsula University of Technology</t>
  </si>
  <si>
    <t>Oladele, SO (corresponding author), Adekunle Ajasin Univ Akungba Akoko, Dept Agron, Akungba, Ondo State, Nigeria.</t>
  </si>
  <si>
    <t>segun.oladele@aaua.edu.ng</t>
  </si>
  <si>
    <t>Oladele, Segun/AAJ-6865-2021; Adetunji, Adewole/CAH-8173-2022</t>
  </si>
  <si>
    <t>Oladele, Segun/0000-0002-7589-8658; Adetunji, Adewole Tomiwa/0000-0001-5565-3605;</t>
  </si>
  <si>
    <t>10.1016/j.iswcr.2020.09.002</t>
  </si>
  <si>
    <t>QC1ET</t>
  </si>
  <si>
    <t>WOS:000614576700008</t>
  </si>
  <si>
    <t>Long-term no-tillage application increases soil organic carbon, nitrous oxide emissions and faba bean (Vicia faba L.) yields under rain-fed Mediterranean conditions</t>
  </si>
  <si>
    <t>Tillage system; N gas emissions; N cycle genes; Semiarid Mediterranean environment</t>
  </si>
  <si>
    <t>GREENHOUSE-GAS EMISSIONS; N2O EMISSIONS; AMMONIA EMISSIONS; NITRIFIER DENITRIFICATION; CONVENTIONAL TILLAGE; AGRICULTURAL SOILS; CH4 EMISSIONS; GRAIN-YIELD; ROOT-GROWTH; CROP YIELD</t>
  </si>
  <si>
    <t>The introduction of legumes into crop sequences and the reduction of tillage intensity are both proposed as agronomic practices to mitigate the soil degradation and negative impact of agriculture on the environment. However, the joint effects of these practices on nitrous oxide (N2O) and ammonia (NH3) emissions from soil remain unclear, particularly concerning semiarid Mediterranean areas. In the frame of a long-term field experiment (23 years), a 2-year study was performed on the faba bean (Vicia faba L.) to evaluate the effects of the longterm use of no tillage (NT) compared to conventional tillage (CT) on yield and N2O and NH3 emissions from a Vertisol in a semiarid Mediterranean environment. Changes induced by the tillage system in soil bulk density, water filled pore space (WFPS), organic carbon (TOC) and total nitrogen (TN), denitrifying enzyme activity (DEA), and bacterial gene (16S, amoA, and nosZ) abundance weremeasured as parameters potentially affecting N gas emissions. No tillage, comparedwith CT, significantly increased the faba bean grain yield by 23%. The tillage systemhad no significant effect on soil NH3 emissions. Total N2O emissions, averaged over two cropping seasons, were higher inNT than those in CT plots (2.58 vs 1.71 kgN(2)O-Nha(-1), respectively; P &lt; 0.01). In addition, DEAwas higher in NT compared to that in CT (74.6 vs 18.6 mu g N2O-N kg(-1) h(-1); P &lt; 0.01). The higher N2O emissions in NT plotswere ascribed to the increase of soil bulk density and WFPS, bacteria (16S abundancewas 96% higher in NTthan that in CT) and N cycle genes (amoA and nosZ abundances were respectively 154% and 84% higher in NT than that in CT). The total N2O emissions in faba bean were similar to those measured in other N-fertilized crops. In conclusion, a full evaluation of NT technique, besides the benefits on soil characteristics (e.g. TOC increase) and crop yield, must take into account some criticisms related to the increase of N2O emissions compared to CT. (C) 2018 Elsevier B.V. All rights reserved.</t>
  </si>
  <si>
    <t>[Badagliacca, Giuseppe; Amato, Gaetano; Badalucco, Luigi; Giambalvo, Dario; Laudicina, Vito Armando; Ruisi, Paolo] Univ Palermo, Dipartimento Sci Agr Alimentari &amp; Forestall, Viale Sci, I-90128 Palermo, Italy; [Badagliacca, Giuseppe] Univ Mediterranea Reggio Calabria, Dipartimento Agr, I-89124 Reggio Di Calabria, Italy; [Benitez, Emilio] CSIC, EEZ, Dept Protecc Ambiental, Calle Prof Albareda 1, E-18008 Granada, Spain</t>
  </si>
  <si>
    <t>Laudicina, VA (corresponding author), Univ Palermo, Dipartimento Sci Agr Alimentari &amp; Forestall, Viale Sci, I-90128 Palermo, Italy.</t>
  </si>
  <si>
    <t>Amato, Gaetano/AAT-2213-2020; BADAGLIACCA, Giuseppe/I-4949-2019; Badalucco, Luigi/P-5130-2017; Laudicina, Vito/F-8187-2015; Giambalvo, Dario/I-5869-2012; Benitez, Emilio/L-3110-2014; Laudicina, Vito Armando/F-8187-2015; Amato, Gaetano/E-1105-2011; Ruisi, Paolo/L-9337-2015</t>
  </si>
  <si>
    <t>Benitez, Emilio/0000-0002-8435-066X; Badalucco, Luigi/0000-0002-6951-7011; BADAGLIACCA, Giuseppe/0000-0002-7688-6210; Laudicina, Vito Armando/0000-0002-5531-0669; Amato, Gaetano/0000-0003-0660-7594; Ruisi, Paolo/0000-0002-5807-6986</t>
  </si>
  <si>
    <t>We thank Beatriz Moreno (CSIC-EEZ) and Vincenzo Cannella (Universita degli Studi di Palermo) for technical advice and support. This work was funded by the Italian Ministry for Education, University, and Research (MIUR) to Fondazione Angelo e Salvatore Lima Mancuso - PON/01_01145 Project - ISCOCEM.</t>
  </si>
  <si>
    <t>10.1016/j.scitotenv.2018.05.157</t>
  </si>
  <si>
    <t>GL0UG</t>
  </si>
  <si>
    <t>WOS:000436806200034</t>
  </si>
  <si>
    <t>Burrascano, S; Chytry, M; Kuemmerle, T; Giarrizzo, E; Luyssaert, S; Sabatini, FM; Blasi, C</t>
  </si>
  <si>
    <t>Burrascano, Sabina; Chytry, Milan; Kuemmerle, Tobias; Giarrizzo, Eleonora; Luyssaert, Sebastiaan; Sabatini, Francesco Maria; Blasi, Carlo</t>
  </si>
  <si>
    <t>Current European policies are unlikely to jointly foster carbon sequestration and protect biodiversity</t>
  </si>
  <si>
    <t>BIOLOGICAL CONSERVATION</t>
  </si>
  <si>
    <t>Afforestation; Carbon management; Climate change mitigation; Common Agricultural Policy; Grassland biodiversity; Habitats Directive</t>
  </si>
  <si>
    <t>OLD-GROWTH FORESTS; FARMLAND ABANDONMENT; COMMUNITIES; TRANSITIONS; PATTERNS; STOCK</t>
  </si>
  <si>
    <t>The extension of forest area is a globally accepted tool to offset CO2 emissions from deforestation and the combustion of fossil fuels. The common assumption is that in addition to the perceived climate benefits increasing forest area will also support biodiversity, thus making afforestation a win-win scenario. Based on the existing scientific evidences, we show that joined climate and biodiversity benefits are strongly context-dependent and that the outcome of afforestation is often highly questionable. In Europe, grasslands managed at low intensity contribute substantially to biodiversity conservation and carbon storage. However, many of these grasslands have been lost due to abandonment and subsequent spontaneous succession towards woody vegetation, or due to land use intensification. Moreover, grasslands are the ecosystems most often deliberately afforested in the context of EU carbon-centered policies that may thus counteract biodiversity conservation programmes. By reviewing the main EU policies targeting forests and grasslands, we found a striking ambivalence between policies and funding schemes addressing grassland conservation on the one hand (e.g. Habitats Directive, green payments within the Common Agricultural Policy) and those supporting afforestation on the other (e.g. rural development funds). We suggest three measures towards a better harmonization of the European Union policies that target forest and grassland ecosystems: (1) promoting the alignment of the decisions taken across different policy sectors; (2) focusing on the whole range of ecosystem services and biodiversity issues rather than on carbon management only; (3) valuing systems managed at low-intensity for their multifunctionality. (C) 2016 Elsevier Ltd. All rights reserved.</t>
  </si>
  <si>
    <t>[Burrascano, Sabina; Giarrizzo, Eleonora; Blasi, Carlo] Sapienza Univ Rome, Dept Environm Biol, Ple Aldo Moro 5, I-00185 Rome, Italy; [Chytry, Milan] Masaryk Univ, Dept Bot &amp; Zool, Brno, Czech Republic; [Kuemmerle, Tobias; Sabatini, Francesco Maria] Humboldt Univ, Dept Geog, Berlin, Germany; [Kuemmerle, Tobias] Humboldt Univ, IRI THESys, Berlin, Germany; [Luyssaert, Sebastiaan] Univ Paris Saclay, LSCE IPSL, CEA CNRS UVSQ, F-91191 Gif Sur Yvette, France; [Luyssaert, Sebastiaan] Vrije Univ Amsterdam, Dept Ecol Sci, NL-1081 HV Amsterdam, Netherlands</t>
  </si>
  <si>
    <t>Sapienza University Rome; Masaryk University; Humboldt University of Berlin; Humboldt University of Berlin; Universite Paris Saclay; CEA; Vrije Universiteit Amsterdam</t>
  </si>
  <si>
    <t>Burrascano, S (corresponding author), Sapienza Univ Rome, Dept Environm Biol, Ple Aldo Moro 5, I-00185 Rome, Italy.</t>
  </si>
  <si>
    <t>sabina.burrascano@uniroma1.it; chytry@sci.muni.cz; tobias.kuemmerle@geo.hu-berlin.de; eleonora.giarrizzo@uniroma1.it; Sebastiaan.Luyssaert@lsce.ipsl.fr; francesco.maria.sabatini@geo.hu-berlin.de; carlo.blasi@uniroma1.it</t>
  </si>
  <si>
    <t>Chytrý, Milan/J-4954-2012; Kuemmerle, Tobias/B-4340-2008; Sabatini, Francesco/H-3290-2019; Burrascano, Sabina/AFU-6287-2022; Luyssaert, Sebastiaan/F-6684-2011</t>
  </si>
  <si>
    <t>Chytrý, Milan/0000-0002-8122-3075; Kuemmerle, Tobias/0000-0002-9775-142X; SABATINI, FRANCESCO MARIA/0000-0002-7202-7697; BLASI, Carlo/0000-0003-3016-0091; Burrascano, Sabina/0000-0002-6537-3313; Giarrizzo, Eleonora/0000-0001-7771-6590; Luyssaert, Sebastiaan/0000-0003-1121-1869</t>
  </si>
  <si>
    <t>0006-3207</t>
  </si>
  <si>
    <t>1873-2917</t>
  </si>
  <si>
    <t>BIOL CONSERV</t>
  </si>
  <si>
    <t>Biol. Conserv.</t>
  </si>
  <si>
    <t>10.1016/j.biocon.2016.08.005</t>
  </si>
  <si>
    <t>DY0JJ</t>
  </si>
  <si>
    <t>WOS:000384782800044</t>
  </si>
  <si>
    <t>Tripathi, N; Hills, CD; Singh, RS; Atkinson, CJ</t>
  </si>
  <si>
    <t>Tripathi, Nimisha; Hills, Colin D.; Singh, Raj S.; Atkinson, Christopher J.</t>
  </si>
  <si>
    <t>Biomass waste utilisation in low-carbon products: harnessing a major potential resource</t>
  </si>
  <si>
    <t>NPJ CLIMATE AND ATMOSPHERIC SCIENCE</t>
  </si>
  <si>
    <t>ACCELERATED CARBONATION; DIOXIDE SEQUESTRATION; RESIDUES; BIOENERGY; ENERGY</t>
  </si>
  <si>
    <t>The increasing demand for food and other basic resources from a growing population has resulted in the intensification of agricultural and industrial activities. The wastes generated from agriculture are a burgeoning problem, as their disposal, utilisation and management practices are not efficient or universally applied. Particularly in developing countries, most biomass residues are left in the field to decompose or are burned in the open, resulting in significant environmental impacts. Similarly, with rapid global urbanisation and the rising demand for construction products, alternative sustainable energy sources and raw material supplies are required. Biomass wastes are an under-utilised source of material (for both energy and material generation), and to date, there has been little activity focussing on a 'low-carbon' route for their valorisation. Thus, the present paper attempts to address this by reviewing the global availability of biomass wastes and their potential for use as a feedstock for the manufacture of high-volume construction materials. Although targeted at practitioners in the field of sustainable biomass waste management, this work may also be of interest to those active in the field of carbon emission reductions. We summarise the potential of mitigating CO2 in a mineralisation step involving biomass residues, and the implications for CO2 capture and utilisation (CCU) to produce construction products from both solid and gaseous wastes. This work contributes to the development of sustainable value-added lower embodied carbon products from solid waste. The approach will offer reduced carbon emissions and lower pressure on natural resources (virgin stone, soil etc.).</t>
  </si>
  <si>
    <t>[Tripathi, Nimisha; Hills, Colin D.] Univ Greenwich, Indo UK Ctr Environm Res &amp; Innovat, Chatham ME4 4TB, Kent, England; [Singh, Raj S.] CSIR Cent Inst Min &amp; Fuel Res, Indo UK Ctr Environm Res &amp; Innovat, Dhanbad 2210015, Jharkhand, India; [Atkinson, Christopher J.] Univ Greenwich, Nat Resources Inst, Chatham ME4 4TB, Kent, England</t>
  </si>
  <si>
    <t>University of Greenwich; Council of Scientific &amp; Industrial Research (CSIR) - India; CSIR - Central Institute of Mining &amp; Fuel Research (CIMFR); University of Greenwich</t>
  </si>
  <si>
    <t>Tripathi, N; Hills, CD (corresponding author), Univ Greenwich, Indo UK Ctr Environm Res &amp; Innovat, Chatham ME4 4TB, Kent, England.;Singh, RS (corresponding author), CSIR Cent Inst Min &amp; Fuel Res, Indo UK Ctr Environm Res &amp; Innovat, Dhanbad 2210015, Jharkhand, India.</t>
  </si>
  <si>
    <t>n.tripathi@gre.ac.uk; c.d.hills@gre.ac.uk; rajcimfr@gmail.com</t>
  </si>
  <si>
    <t>; Hills, Colin/C-2012-2008</t>
  </si>
  <si>
    <t>Atkinson, Chris/0000-0002-4291-3639;</t>
  </si>
  <si>
    <t>2397-3722</t>
  </si>
  <si>
    <t>NPJ CLIM ATMOS SCI</t>
  </si>
  <si>
    <t>npj Clim. Atmos. Sci.</t>
  </si>
  <si>
    <t>OCT 14</t>
  </si>
  <si>
    <t>10.1038/s41612-019-0093-5</t>
  </si>
  <si>
    <t>JM5CC</t>
  </si>
  <si>
    <t>WOS:000496231100001</t>
  </si>
  <si>
    <t>Aduldejcharas, R</t>
  </si>
  <si>
    <t>Aduldejcharas, Runda</t>
  </si>
  <si>
    <t>Integration of Pomacea canaliculata shell waste for low-carbon sustainable creative material design</t>
  </si>
  <si>
    <t>Bio-waste material; Structural engineering; Structural mechanics; Building materials; Multidisciplinary; Sustainable development goals (SDGs)</t>
  </si>
  <si>
    <t>In this study we investigated the properties of compressed earth bricks (CEBs) with a cement-to-soil ratio of 1:5 by weight and incorporating 25%, 50%, 75%, and 100% Pomacea canaliculata shell waste as a replacement for the cement. These materials were tested in interlocking double-walled structures.The best mechanical performance was obtained at the 25% cement replacement level and showed a compressive strength of 104.90 kN, which is greater than the Thai Industrial Standard (TIS 602/2547) for non-load-bearing bricks. The peak density was 2434.5 kg/m3 and occurred at 50% cement replacement and the water absorption was between 16.05% and 17.43%. Calcium carbonate in the form of aragonite and calcite was confirmed using X-ray diffraction (XRD) and X-ray fluorescence (XRF). These two minerals form calcium-silicate-hydrate (C-S-H) gel on reaction with soil silica and alumina, resulting in greater strength.A double-walled system constructed from 64 bricks was confirmed as structurally stable and with efficient stress distribution (maximum stress = 83.91 MPa) through Finite Element Analysis (FEA) using ANSYS software.The approach we describe supports the United Nations Sustainable Development Goals (SDGs 11, 12, and 13) by reducing the demand for cement and the CO2 emissions from its production. It also supports these SDGs by valorising what would otherwise be only agricultural waste, and directly addresses the problems associated with invasive species. To conclude, the approach we put forward provides a feasible method for utilising local agricultural waste to produce a product that has structural reliability is environmentally sustainable.</t>
  </si>
  <si>
    <t>[Aduldejcharas, Runda] Chulalongkorn Univ, Fac Architecture, Dept Interior Architecture, Bangkok 10330, Thailand</t>
  </si>
  <si>
    <t>Chulalongkorn University</t>
  </si>
  <si>
    <t>Aduldejcharas, R (corresponding author), Chulalongkorn Univ, Fac Architecture, Dept Interior Architecture, Bangkok 10330, Thailand.</t>
  </si>
  <si>
    <t>runda.a@chula.ac.th</t>
  </si>
  <si>
    <t>No Funding</t>
  </si>
  <si>
    <t>No Funding.</t>
  </si>
  <si>
    <t>NOV 17</t>
  </si>
  <si>
    <t>10.1038/s41598-025-23922-y</t>
  </si>
  <si>
    <t>9YB1X</t>
  </si>
  <si>
    <t>WOS:001617754400031</t>
  </si>
  <si>
    <t>Zhao, JH; Liu, ZX; Lai, HJ; Zhao, MJ; Zhu, QQ; Zhao, C; Yang, DQ; Li, XD</t>
  </si>
  <si>
    <t>Zhao, Jihao; Liu, Zhaoxin; Lai, Huajiang; Zhao, Mengjie; Zhu, Qiqi; Zhao, Chen; Yang, Dongqing; Li, Xiangdong</t>
  </si>
  <si>
    <t>The impacts of soil tillage combined with plastic film management practices on soil quality, carbon footprint, and peanut yield</t>
  </si>
  <si>
    <t>Tillage practice; Plastic film mulching; Greenhouse gas emissions; Carbon footprint; Peanut production</t>
  </si>
  <si>
    <t>NITROUS-OXIDE EMISSIONS; GREENHOUSE-GAS EMISSIONS; WATER-USE EFFICIENCY; ORGANIC-CARBON; CLIMATE-CHANGE; WINTER-WHEAT; CONSERVATION AGRICULTURE; EXTRACTION METHOD; GRAIN PRODUCTION; CROPPING SYSTEM</t>
  </si>
  <si>
    <t>Soil tillage and plastic film management practices are essential agricultural production strategies for improving crop yield. Furthermore, they can also play important roles in affecting soil quality, greenhouse gas (GHG) emissions, and carbon footprint (CF), and the overall impacts of tillage and plastic film management on these indicators and the potential links among them are rarely assessed. A 4-year-long field experiment was performed under the winter wheat-summer peanut rotation pattern to investigate how the tillage (plow tillage and rotary tillage) and plastic film management practices (plastic film mulching and no plastic film mulching) affected the summer peanut fields' soil quality (soil carbon (C) stock, enzyme activity, and nutrients concentration), soil GHG (N2O and CH4) emissions, CF components, and peanut yield. The present results showed that plow tillage management improved peanut yield and decreased seasonal cumulative soil N2O and CH4 emissions and CF relative to rotary tillage management. However, the seasonal cumulative emissions of soil N2O and CH4 under plastic film mulching were higher than those under no mulching. The application of plastic film mulching also increased soil TOC stock, soil enzymes (invertase, unease, and catalase) activities, and soil nutrients (microbial biomass C, microbial biomass nitrogen (N), ammonium N, and nitrate N) concentrations. The mulching-induced improvements in soil quality can promote an increase in crop productivity; thus, plastic film mulching showed increased peanut yield and decreased yield-scaled CF. In conclusion, plow tillage combined with plastic film mulching (PTM) treatment maintained higher peanut productivity and produced lower CF while generating suitable soil conditions and therefore may be a more high-yielding, eco-friendly, and sustainable development management strategy for summer peanut production.</t>
  </si>
  <si>
    <t>[Zhao, Jihao; Liu, Zhaoxin; Lai, Huajiang; Zhao, Mengjie; Zhu, Qiqi; Zhao, Chen; Yang, Dongqing; Li, Xiangdong] Shandong Agr Univ, State Key Lab Crop Biol, Agron Coll, Tai An 271018, Shandong, Peoples R China</t>
  </si>
  <si>
    <t>Yang, DQ; Li, XD (corresponding author), Shandong Agr Univ, State Key Lab Crop Biol, Agron Coll, Tai An 271018, Shandong, Peoples R China.</t>
  </si>
  <si>
    <t>chengyang2364@126.com; lixdong@sdau.edu.cn</t>
  </si>
  <si>
    <t>National Key Research and Devel- opment Program of China [2018YFD1000900]; Shandong Key Research and Development Program [2018YFJH0601 -3]; Major Agricultural Applied Technological Innovation Projects in Shandong Province [SD2019ZZ11]; Shandong Modern Agricultural Tech- nology and Industry System [SDAIT-04 -01]</t>
  </si>
  <si>
    <t>National Key Research and Devel- opment Program of China(National Key Research &amp; Development Program of China); Shandong Key Research and Development Program; Major Agricultural Applied Technological Innovation Projects in Shandong Province; Shandong Modern Agricultural Tech- nology and Industry System</t>
  </si>
  <si>
    <t>This work was supported by the National Key Research and Devel- opment Program of China (Grant No. 2018YFD1000900) , the Shandong Key Research and Development Program (2018YFJH0601 -3) , the Major Agricultural Applied Technological Innovation Projects in Shandong Province (SD2019ZZ11) , and the Shandong Modern Agricultural Tech- nology and Industry System (SDAIT-04 -01) .</t>
  </si>
  <si>
    <t>10.1016/j.eja.2023.126881</t>
  </si>
  <si>
    <t>J9LA3</t>
  </si>
  <si>
    <t>WOS:001012756200001</t>
  </si>
  <si>
    <t>Cai, SY; Pittelkow, CM; Zhao, X; Wang, SQ</t>
  </si>
  <si>
    <t>Cai, Siyuan; Pittelkow, Cameron M.; Zhao, Xu; Wang, Shenqiang</t>
  </si>
  <si>
    <t>Winter legume-rice rotations can reduce nitrogen pollution and carbon footprint while maintaining net ecosystem economic benefits</t>
  </si>
  <si>
    <t>Rice-legume rotation; N pollution; N2O emission; C footprint; Net environmental economic benefits; Life cycle analysis</t>
  </si>
  <si>
    <t>GREENHOUSE-GAS EMISSIONS; OXIDE EMISSIONS; CROPPING SYSTEM; AGRICULTURAL SOILS; WHEAT; STRAW; MANAGEMENT; SERVICES; METHANE; LOSSES</t>
  </si>
  <si>
    <t>Achieving reductions in nitrogen (N) losses and carbon (C) emissions without enduring a yield penalty is an environmental and economic challenge in sustainable rice production. The use of legumes as a winter crop in rice rotations may provide environmental benefits by reducing synthetic N inputs, yet few studies have integrated long-term field measurements of cropping system N and C dynamics with life cycle assessment (LCA) and net ecosystem economic benefits (NEEB) to determine whether legumes can improve environmental performance while minimizing tradeoffs related to yields and economic returns. We evaluated four contrasting rice cropping rotations (Rice -wheat (R-W); rice -rape (R-Ra); rice-fava bean (R-F); and, rice-milk vetch (R-M)) over six years to determine N input and output balances, methane (CH4) emissions, and soil C changes. These field observations were then incorporated into LCA and NEEB to estimate C footprint, economic and environmental benefits. Results showed that R-F and R-M maintained rice yield but reduced annual synthetic N inputs by 50-63% compared with the conventional R-W and R-Ra rotations, leading to consistent reductions in reactive N losses (ammonia (NH3) volatilization: 39-48%; N runoff: 66-82%; N leaching: 14-34%; and nitrous oxide (N2O) emissions: 40 -64%). The estimated C footprint was 37-50% lower in R-F and R-M than R-W and R-Ra, largely owing to reduced fertilizer use which decreased direct soil N2O emissions as well as indirect emissions relating to reactive N losses. In contrast to N losses, there were no significant differences in CH4 emissions or soil C changes among rotations. When changes in N pollution and C footprint were accounted for in the economic assessment, R-F resulted in NEEB values similar to R-W, while substituting milk vetch as a winter crop reduced NEEB by 6-37%. In the first two study years before grain legume yields declined, NEEB for R-F was 38% greater than R-W, highlighting the potential for simultaneous environmental and economic benefits. This study demonstrated the potential of mixed winter grain/forage legumes-rice crop rotations to consistently reduce N pollution and C footprint while maintaining NEEB based on economic and environmental benefits. (C) 2018 Elsevier Ltd. All rights reserved.</t>
  </si>
  <si>
    <t>[Cai, Siyuan; Zhao, Xu; Wang, Shenqiang] Chinese Acad Sci, Inst Soil Sci, Changshu Natl Agroecosyst Observat &amp; Res Stn, State Key Lab Soil &amp; Sustainable Agr, Nanjing 210008, Jiangsu, Peoples R China; [Cai, Siyuan] Univ Chinese Acad Sci, Beijing 100049, Peoples R China; [Pittelkow, Cameron M.] Univ Illinois, Dept Crop Sci, Urbana, IL 61801 USA</t>
  </si>
  <si>
    <t>Chinese Academy of Sciences; Nanjing Institute of Soil Science, CAS; Chinese Academy of Sciences; University of Chinese Academy of Sciences, CAS; University of Illinois System; University of Illinois Urbana-Champaign</t>
  </si>
  <si>
    <t>Zhao, X (corresponding author), Chinese Acad Sci, Inst Soil Sci, Changshu Natl Agroecosyst Observat &amp; Res Stn, State Key Lab Soil &amp; Sustainable Agr, Nanjing 210008, Jiangsu, Peoples R China.</t>
  </si>
  <si>
    <t>zhaoxu@issas.ac.cn</t>
  </si>
  <si>
    <t>Cai, Siyuan/HKE-3218-2023; Zhao, Xu/I-4527-2019</t>
  </si>
  <si>
    <t>Pittelkow, Cameron/0000-0001-8654-9552; Cai, Siyuan/0000-0002-6612-4095;</t>
  </si>
  <si>
    <t>National Key R&amp;D Program of China [2017M0200104]</t>
  </si>
  <si>
    <t>National Key R&amp;D Program of China</t>
  </si>
  <si>
    <t>The authors gratefully acknowledge the participating technicians and farmers at Yixi lig Base of Changshu National AgroEcosystem Observation and Research Station, Chinese Academy of Sciences (CAS) for their help with the field trial management. We thank Mrs. Yang Li, Mrs. Chielyan Wang and Mr. Qingqian Wang for their assistance with data collection and analysis. We also thank anonymous reviewers and editors for their valuable comments. This work was supported by the National Key R&amp;D Program of China [grant number 2017M0200104].</t>
  </si>
  <si>
    <t>10.1016/j.jclepro.2018.05.115</t>
  </si>
  <si>
    <t>GO8ZC</t>
  </si>
  <si>
    <t>WOS:000440390900025</t>
  </si>
  <si>
    <t>Oldfield, EE; Eagle, AJ; Rubin, RL; Rudek, J; Sanderman, J; Gordon, DR</t>
  </si>
  <si>
    <t>Oldfield, Emily E.; Eagle, Alison J.; Rubin, Rachel L.; Rudek, Joseph; Sanderman, Jonathan; Gordon, Doria R.</t>
  </si>
  <si>
    <t>Crediting agricultural soil carbon sequestration Regional consistency is necessary for carbon credit integrity</t>
  </si>
  <si>
    <t>Editorial Material</t>
  </si>
  <si>
    <t>ORGANIC-CARBON</t>
  </si>
  <si>
    <t>[Oldfield, Emily E.; Eagle, Alison J.; Rudek, Joseph; Gordon, Doria R.] Environm Def Fund, Washington, DC 20009 USA; [Rubin, Rachel L.; Sanderman, Jonathan] Woodwell Climate Res Ctr, Falmouth, MA USA; [Gordon, Doria R.] Univ Florida, Dept Biol, Gainesville, FL USA</t>
  </si>
  <si>
    <t>Environmental Defense Fund; State University System of Florida; University of Florida</t>
  </si>
  <si>
    <t>Oldfield, EE (corresponding author), Environm Def Fund, Washington, DC 20009 USA.</t>
  </si>
  <si>
    <t>eoldfield@edf.org</t>
  </si>
  <si>
    <t>Sanderman, Jonathan/C-3818-2011; Eagle, Alison/AAN-7484-2021</t>
  </si>
  <si>
    <t>Rudek, Joseph/0000-0003-2757-0268; Sanderman, Jonathan/0000-0002-3215-1706</t>
  </si>
  <si>
    <t>High Meadows Foundation; Bezos Earth Fund</t>
  </si>
  <si>
    <t>This research was supported through gifts to the Environmental Defense Fund from the High Meadows Foundation for postdoctoral fellowships; the Bezos Earth Fund; andArcadia, a charitable fund of Lisbet Rausing and Peter Baldwin. We thank S. Hamburg, S. Kerr,J. Lavallee, and R. Lubowski for feedback on this manuscript. We also thank representatives from each crediting organization for reviewing our summary of their protocol.</t>
  </si>
  <si>
    <t>MAR 18</t>
  </si>
  <si>
    <t>10.1126/science.abl7991</t>
  </si>
  <si>
    <t>ZV2SY</t>
  </si>
  <si>
    <t>WOS:000770386600016</t>
  </si>
  <si>
    <t>Wu, WJ; Yu, QL; Chen, YP; Guan, J; Gu, YL; Guo, AQ; Wang, H</t>
  </si>
  <si>
    <t>Wu, Wenjin; Yu, Qianlei; Chen, Yaping; Guan, Jun; Gu, Yule; Guo, Anqi; Wang, Hao</t>
  </si>
  <si>
    <t>Land Management Scale and Net Carbon Effect of Farming in China: Spatial Spillover Effects and Threshold Characteristics</t>
  </si>
  <si>
    <t>land management scale; net carbon effect; carbon-balance ratio; net carbon sink; spatial spillover effect; threshold characteristics</t>
  </si>
  <si>
    <t>CLIMATE-CHANGE; SCENARIOS; EMISSION; PATTERNS; SIZE; SINK</t>
  </si>
  <si>
    <t>The net carbon effect of farming is crucial for climate change mitigation, yet there is insufficient research on the impact of land management scale on it in China. This study aims to explore the magnitude and role of land management scale on the net carbon effect of farming at the spatial level, including threshold characteristics. Unlike previous studies focused on the domestic agricultural economy, this study employs ecological findings to calculate carbon sinks and certain carbon emissions. The carbon-balance ratio is used to characterise the net carbon effect of farming. The spatial Durbin model and threshold regression model were utilised with a sample of 30 provincial-level regions in China from 2004 to 2019. The results indicate that national farming generally exhibits a net sink effect, with significant interannual fluctuations. After applying robust standard errors, the expansion of the land management scale significantly increases sinks and reduces emissions, and it has a positive spatial spillover effect on the carbon-balance ratio, demonstrating significant spatial heterogeneity. Furthermore, as the land management scale expands, the influence of rural residents' income and education level on the carbon-balance ratio changes direction, showing significant non-linear relationship characteristics.</t>
  </si>
  <si>
    <t>[Wu, Wenjin; Yu, Qianlei; Guan, Jun; Gu, Yule; Guo, Anqi; Wang, Hao] Northeast Forestry Univ, Coll Econ &amp; Management, Harbin 150040, Peoples R China; [Chen, Yaping] Northeast Forestry Univ, Coll Forestry, Harbin 150040, Peoples R China</t>
  </si>
  <si>
    <t>Northeast Forestry University - China; Northeast Forestry University - China</t>
  </si>
  <si>
    <t>Guan, J (corresponding author), Northeast Forestry Univ, Coll Econ &amp; Management, Harbin 150040, Peoples R China.</t>
  </si>
  <si>
    <t>wuwenjin@nefu.edu.cn; yqlsa@nefu.edu.cn; guanjun@nefu.edu.cn</t>
  </si>
  <si>
    <t>禹, 芊蕾/0009-0004-2617-0275; GUAN, JUN/0000-0002-2453-9022; 吴, 文金/0009-0003-9424-0987</t>
  </si>
  <si>
    <t>Innovation and Entrepreneurship Training Program at Northeast Forestry University [DC-2024177]; Outstanding Youth Project of Natural Science Foundation of Heilongjiang Province [YQ2019G001]; Fundamental Research Funds for the Central Universities of China [2572021BM02]; Research Projects of Humanities and Social Sciences Foundation of Ministry of Education of China [23YJC790036]</t>
  </si>
  <si>
    <t>Innovation and Entrepreneurship Training Program at Northeast Forestry University; Outstanding Youth Project of Natural Science Foundation of Heilongjiang Province; Fundamental Research Funds for the Central Universities of China(Fundamental Research Funds for the Central Universities); Research Projects of Humanities and Social Sciences Foundation of Ministry of Education of China</t>
  </si>
  <si>
    <t>This research was supported by the Innovation and Entrepreneurship Training Program at Northeast Forestry University (DC-2024177); the Outstanding Youth Project of Natural Science Foundation of Heilongjiang Province (YQ2019G001); Fundamental Research Funds for the Central Universities of China (2572021BM02); the Research Projects of Humanities and Social Sciences Foundation of Ministry of Education of China (23YJC790036).</t>
  </si>
  <si>
    <t>10.3390/su16156392</t>
  </si>
  <si>
    <t>C1K9K</t>
  </si>
  <si>
    <t>WOS:001287031400001</t>
  </si>
  <si>
    <t>Adama, JC; Ezeaku, CA; Nwankwojike, BN</t>
  </si>
  <si>
    <t>Adama, J. C.; Ezeaku, C. A.; Nwankwojike, B. N.</t>
  </si>
  <si>
    <t>Government Policies and Programmes Involved with Agricultural Mechanization in Nigeria: A Case Study of Selected Agencies</t>
  </si>
  <si>
    <t>Over the years especially in the 40s and down to the 60s, the Nigeria economy was agro-based. Government formulated strategies, policies and programmes suitable for developing the agricultural system of the country. Projects were established to executive the policies, strategies and programmes. The objective of this paper is to present a study of some past and present government schemes with mandates related to agricultural mechanization in Nigeria. The schemes studied include Farm Settlement; National Agricultural Land Development Authority and National Centre for Agricultural Mechanization. The formation, operation, achievement constraints and status of each of the agencies were extensively discussed. Information and supporting data were obtained from literature, study visits to some of the sites and the use of structured questionnaire. Findings show that these agencies have had laudable programmes on agricultural mechanization which have made considerable contributions to the economy of Nigeria. One of the organizations considered for this study is nonoperational with their functions, staff and other assets transferred to other agencies while others are still operational.</t>
  </si>
  <si>
    <t>[Adama, J. C.] Michael Okpara Univ Agr, Coll Engn &amp; Engn Technol, Dept Agr &amp; Bioresouces Engn, Farm Power &amp; Machinery syst Engn, PMB 7267, Umuahia, Abia State, Nigeria; [Ezeaku, C. A.] Fed Polytech, Dept Agril &amp; Bioenvironm Engn, Farm Power &amp; Machinery Syst Engn, PMB 0231, Bauchi, Bauchi State, Nigeria; [Nwankwojike, B. N.] Michael Okpara Univ Agr, Coll Engn &amp; Engn Technol, Dept Mech Engn, Ind Engn, Umudike, Abia State, Nigeria</t>
  </si>
  <si>
    <t>Adama, JC (corresponding author), Michael Okpara Univ Agr, Coll Engn &amp; Engn Technol, Dept Agr &amp; Bioresouces Engn, Farm Power &amp; Machinery syst Engn, PMB 7267, Umuahia, Abia State, Nigeria.</t>
  </si>
  <si>
    <t>adamajoseph@yahoo.com; Clement85e@gmail.com</t>
  </si>
  <si>
    <t>Bethrand Nduka, Nwankwojike/CAF-9710-2022; Adama, Joseph/AHE-7750-2022</t>
  </si>
  <si>
    <t>WOS:000433525500016</t>
  </si>
  <si>
    <t>Vieira, LA; Silva, FO</t>
  </si>
  <si>
    <t>Vieira, Leonardo A.; Silva, Felipe O.</t>
  </si>
  <si>
    <t>Vertical channel stabilization of barometer-aided inertial navigation systems by optimal control</t>
  </si>
  <si>
    <t>ASIAN JOURNAL OF CONTROL</t>
  </si>
  <si>
    <t>Inertial navigation; Vertical channel; Barometer; Optimal control; LQR; Performance indices</t>
  </si>
  <si>
    <t>INITIAL ALIGNMENT; COARSE ALIGNMENT; OBSERVABILITY; INTEGRATION; INS</t>
  </si>
  <si>
    <t>This study investigates the problem of inertial navigation system's (INS's) vertical channel instability, which primarily results from the positive gravity feedback that takes place in the numerical integration step of the accelerometer measurements. Traditional solutions to the problem include using information from auxiliary sensors, typically barometers and global navigation satellite systems (GNSSs), integrated into INSs through feedback control loops (referred to as mechanizations) and/or Kalman filters (KFs). Most studies on this subject lack clarity regarding the methodology used for the mechanization tuning (by showing excessive empiricism) and/or disregard the benefits of using optimal control techniques for the purpose of the latter. This study, therefore, reviews the main mechanization used for vertical channel stabilization of baro-inertial integrations and presents, as its main contribution, the performance analysis of new tuning techniques based on optimal control theory, namely, by linear quadratic regulator (LQR) and by minimization of performance indices such as the integral absolute error (IAE), integral squared error (ISE), integral of time multiplied absolute error (ITAE), and integral of time multiplied squared error (ITSE). To validate the proposed tunings, the integrated altitude and vertical velocity mean errors (MEs) and standard deviations (SDs) are used as metrics, which are compared with the corresponding MEs/SDs of the empirical tuning with highest performance/acceptance in the literature. We also evaluate the ability of the mechanizations to fulfill their ultimate goal, namely, to track the reference barometer input, by also attenuating its noise. Based on simulated and experimental results, the present study demonstrates and validates the effectiveness/robustness of the proposed optimal tunings, particularly those based on LQR and ITAE minimization.</t>
  </si>
  <si>
    <t>[Vieira, Leonardo A.; Silva, Felipe O.] Univ Fed Lavras, Dept Automatics, Lavras, MG, Brazil</t>
  </si>
  <si>
    <t>Universidade Federal de Lavras</t>
  </si>
  <si>
    <t>Silva, FO (corresponding author), Univ Fed Lavras, Dept Automatics, Lavras, MG, Brazil.</t>
  </si>
  <si>
    <t>felipe.oliveira@ufla.br</t>
  </si>
  <si>
    <t>vieira, leonardo/JWP-2055-2024; Silva, Felipe/R-6677-2016</t>
  </si>
  <si>
    <t>Research Development Foundation [27192.02.02/2021.01.00]; National Council for Scientific and Technological Development [313160/2019-8, 312194/2022-6]; Brazilian Agricultural Research Corporation [212-20/2018]; Minas Gerais Research Foundation [APQ-01449-17, APQ-04659-22]</t>
  </si>
  <si>
    <t>Research Development Foundation; National Council for Scientific and Technological Development(Conselho Nacional de Desenvolvimento Cientifico e Tecnologico (CNPQ)); Brazilian Agricultural Research Corporation(Empresa Brasileira de Pesquisa Agropecuaria (EMBRAPA)); Minas Gerais Research Foundation(Fundacao de Amparo a Pesquisa do Estado de Minas Gerais (FAPEMIG))</t>
  </si>
  <si>
    <t>Research Development Foundation (FUNDEP -ROTA 2030), Grant/Award 27192.02.02/2021.01.00; National Council for Scientific and Technological Development (CNPq), Grant/Award numbers: 313160/2019-8 and 312194/2022-6; Brazilian Agricultural Research Corporation (EMBRAPA), Grant/Award number: 212-20/2018; Minas Gerais Research Foundation (FAPEMIG), Grant/Award numbers: APQ-01449-17 and APQ-04659-22.</t>
  </si>
  <si>
    <t>1561-8625</t>
  </si>
  <si>
    <t>1934-6093</t>
  </si>
  <si>
    <t>ASIAN J CONTROL</t>
  </si>
  <si>
    <t>Asian J. Control</t>
  </si>
  <si>
    <t>10.1002/asjc.3058</t>
  </si>
  <si>
    <t>Automation &amp; Control Systems</t>
  </si>
  <si>
    <t>R0VO3</t>
  </si>
  <si>
    <t>WOS:000956602100001</t>
  </si>
  <si>
    <t>Bayssi, O; Elssakhi, N; Lamrabet, A; Zian, A; Bakher, ZE; Ouahabi, HEL; Rachidi, S; Hirt, A</t>
  </si>
  <si>
    <t>Bayssi, Oussama; Elssakhi, Nisrine; Lamrabet, Abderrahman; Zian, Ahmed; Bakher, Zine El Abidine; Ouahabi, Hajar E. L.; Rachidi, Samir; Hirt, Ayoub</t>
  </si>
  <si>
    <t>Carbon sources for the development of Power-to-X chains: Case studies in Morocco</t>
  </si>
  <si>
    <t>ENERGY FOR SUSTAINABLE DEVELOPMENT</t>
  </si>
  <si>
    <t>Carbon-sourcing tactics; Synthetic fuels; Energy carriers; Industrial carbon; Biogenic carbon</t>
  </si>
  <si>
    <t>CO2 EMISSIONS; GREEN; ENERGY; BIOGAS; WASTE</t>
  </si>
  <si>
    <t>The Power-to-X (PtX) concept offers a transformative approach to energy decarbonization by converting surplus renewable electricity into energy carriers such as hydrogen, synthetic fuels, and value-added chemicals. A critical component of PtX is carbon dioxide (CO2), which can be captured from industrial emissions, biogenic sources, or direct air capture to produce synthetic fuels and chemicals. With its abundant renewable energy potential and diverse CO2 sources, Morocco is well-positioned for PtX deployment. However, effective implementation requires a region-specific strategy that aligns CO2 availability with industrial activity and renewable power generation. This study systematically quantifies Morocco's CO2 sources, identifying Casablanca-Settat and Souss-Massa as the highest industrial emitters, with over 15 MtCO2 annually from cement production and power generation. In contrast, biogenic CO2 sources exceed 2.9 MtCO2 in Casablanca-Settat and 2.6 MtCO2 in Rabat-Sale-Kenitra, primarily from livestock and municipal waste. By integrating geospatial CO2 distribution, sectoral emission intensities, and PtX feasibility, the study highlights key industrial and biogenic hubs for PtX applications. The findings suggest that Casablanca-Settat and the East Region are optimal for industrial CO2 capture and hydrogen synthesis. At the same time, Souss-Massa and Rabat-Sale-Kenitra offer strong bio-methane and biochar potential through agricultural waste valorization.</t>
  </si>
  <si>
    <t>[Bayssi, Oussama; Ouahabi, Hajar E. L.; Rachidi, Samir; Hirt, Ayoub] Res Inst Solar Energy &amp; New Energies IRESEN, Rabat, Morocco; [Elssakhi, Nisrine; Zian, Ahmed] Abdelmalek Essaadi Univ, Natl Sch Appl Sci AI Hoceima, Dept Civil Engn Water &amp; Environm Energy &amp; Renewabl, Lab Engn Sci &amp; Applicat, Tetouan, Morocco; [Lamrabet, Abderrahman; Bakher, Zine El Abidine] Univ Hassan 1, Lab Phys Chem Proc &amp; Mat, Fac Sci &amp; Technol, Settat, Morocco; [Ouahabi, Hajar E. L.] Tech Tangier Univ Abdelmalek, Fac Sci &amp; Tech, Dept Chem, Phys Chem Lab Mat,Natural Substances &amp; Environm, Tangier, Morocco</t>
  </si>
  <si>
    <t>Abdelmalek Essaadi University of Tetouan; Hassan First University of Settat</t>
  </si>
  <si>
    <t>Bayssi, O (corresponding author), Res Inst Solar Energy &amp; New Energies IRESEN, Rabat, Morocco.</t>
  </si>
  <si>
    <t>bayssi@iresen.org</t>
  </si>
  <si>
    <t>ZIAN, AHMED/ACO-6467-2022</t>
  </si>
  <si>
    <t>0973-0826</t>
  </si>
  <si>
    <t>2352-4669</t>
  </si>
  <si>
    <t>ENERGY SUSTAIN DEV</t>
  </si>
  <si>
    <t>Energy Sustain Dev.</t>
  </si>
  <si>
    <t>10.1016/j.esd.2025.101858</t>
  </si>
  <si>
    <t>8VZ9Y</t>
  </si>
  <si>
    <t>WOS:001598671100001</t>
  </si>
  <si>
    <t>Li, Z; Zhu, M; Huang, H; Yi, Y; Fu, JY</t>
  </si>
  <si>
    <t>Li, Zhi; Zhu, Ming; Huang, Huang; Yi, Yu; Fu, Jingyi</t>
  </si>
  <si>
    <t>Influencing Factors and Path Analysis of Sustainable Agricultural Mechanization: Econometric Evidence from Hubei, China</t>
  </si>
  <si>
    <t>sustainable; agricultural mechanization; structural equation model (SEM); partial least square (PLS); affecting factors; agri-food supply chain</t>
  </si>
  <si>
    <t>The importance of supporting agricultural mechanization in agri-food supply chains to achieve agricultural and rural development has been comprehensively recognized. There has been a surge in the attention given to Sustainable Agricultural Mechanization (SAM) in the context of developing countries. However, it is important to address the major challenge of studying the important factors and the influencing path of SAM. As a representative province of China's agricultural development, Hubei has developed significantly in terms of agricultural mechanization in the past 20 years. Therefore, using a literature review, representative field survey data, and statistical analytical approaches, 28 relevant factors related to SAM were extracted, and the main influencing factors of SAM were determined by building an integrative conceptual framework and using the corresponding structural equation model based on partial least squares (PLS-SEM). The relationships and influencing paths between the factors were analyzed, and a confirmatory measurement model and a structural model of the effects on sustainable agricultural mechanization were constructed. The results show that (1) the PLS-SEM model fits the experimental data well and can effectively reflect the relationships among factors in this complex system; (2) within the factors influencing the development level of SAM in Hubei, China, the economic factors have the greatest weight, whereas government policy factors are the core elements promoting development, and environmental factors are the most noteworthy outcome factors; and (3) economic and policy factors play a very obvious role in promoting SAM through the influencing paths of agricultural production and agricultural machinery production and sales. Ultimately, corresponding suggestions have been put forward for decisions regarding the implementation of SAM for similar countries and regions.</t>
  </si>
  <si>
    <t>[Li, Zhi; Zhu, Ming; Huang, Huang] Huazhong Agr Univ, Coll Engn, Wuhan 430070, Peoples R China; [Li, Zhi] Huazhong Agr Univ, Coll Sci, Wuhan 430070, Peoples R China; [Yi, Yu] Zhongnan Univ Econ &amp; Law, Law Sch, Wuhan 430073, Peoples R China; [Fu, Jingyi] Peoples Bank China, Zhengzhou Cent Sub Branch, Zhengzhou 450018, Peoples R China</t>
  </si>
  <si>
    <t>Huazhong Agricultural University; Huazhong Agricultural University; Zhongnan University of Economics &amp; Law; People's Bank of China</t>
  </si>
  <si>
    <t>Yi, Y (corresponding author), Zhongnan Univ Econ &amp; Law, Law Sch, Wuhan 430073, Peoples R China.</t>
  </si>
  <si>
    <t>hzau_lizhi@mail.hzau.edu.cn; 13801392760@163.com; huanghuang@mail.hzau.edu.cn; yiyulucky@zuel.edu.cn; kaelynn@163.com</t>
  </si>
  <si>
    <t>Li, Zhi/0000-0002-3263-3289</t>
  </si>
  <si>
    <t>National Natural Science Foundation of China [71503095]; guiding project of humanities and social sciences of the Hubei Provincial Department of Education [15G028]</t>
  </si>
  <si>
    <t>National Natural Science Foundation of China(National Natural Science Foundation of China (NSFC)); guiding project of humanities and social sciences of the Hubei Provincial Department of Education</t>
  </si>
  <si>
    <t>This research was supported by the National Natural Science Foundation of China (71503095), a guiding project of humanities and social sciences of the Hubei Provincial Department of Education (15G028).</t>
  </si>
  <si>
    <t>10.3390/su14084518</t>
  </si>
  <si>
    <t>0S3UG</t>
  </si>
  <si>
    <t>WOS:000786201900001</t>
  </si>
  <si>
    <t>Turek, ME; Nemes, A; Holzkämper, A</t>
  </si>
  <si>
    <t>Turek, Maria Eliza; Nemes, Attila; Holzkamper, Annelie</t>
  </si>
  <si>
    <t>Sequestering carbon in the subsoil benefits crop transpiration at the onset of drought</t>
  </si>
  <si>
    <t>SOIL</t>
  </si>
  <si>
    <t>SOIL ORGANIC-MATTER; HYDRAULIC CONDUCTIVITY; PEDOTRANSFER FUNCTIONS; GRAIN MAIZE; SANDY LOAM; MODEL; LIMITATIONS; POTENTIALS; AMENDMENTS; TILLAGE</t>
  </si>
  <si>
    <t>Increasing soil organic carbon is promoted as a negative emission technology for the agricultural sector with a potential co-benefit for climate adaptation due to increased soil water retention. Field-scale hydrological models are powerful tools for evaluating how the agricultural systems would respond to the changing climate in upcoming years and decades, for predicting impacts, and for looking for measures that would help decrease drought-driven crop stress under current and future climatic conditions. We quantified how different levels of soil organic carbon (SOC) additions at varied soil depths are expected to influence drought-induced transpiration reduction (Tred dry ) in maize cultivated in Switzerland. Parameterization of the model based on a pedotransfer function (PTF) was validated against soil moisture data from a long-term lysimeter experiment with a typical Swiss soil, and the model was subsequently applied under climate forcing between 1981 until 2099, representative of three distinct climatic sites of Switzerland. We used the same PTF to indirectly assess the effects of SOC additions at different depths on soil hydraulic properties. We found a threshold in both the added amount of SOC (2 % added) and the depth of sequestering that SOC (top 65 cm), beyond which any additional benefit appears to be substantially reduced. However, adding at least 2 % SOC down to at least 65 cm depth can reduce Tred dry in maize, i.e. increase transpiration annually but mostly at the onset of summer drought, by almost 40 mm. We argue that SOC increases in subsoils can play a supporting role in mitigating drought impacts in rain-fed cropping in Switzerland.</t>
  </si>
  <si>
    <t>[Turek, Maria Eliza; Holzkamper, Annelie] Div Agroecol &amp; Environm, Agroscope, Zurich, Switzerland; [Turek, Maria Eliza; Holzkamper, Annelie] Univ Bern, Oeschger Ctr Climate Change Res, Bern, Switzerland; [Nemes, Attila] Norwegian Univ Life Sci, Fac Environm &amp; Nat Resource Management, As, Norway; [Nemes, Attila] Norwegian Inst Bioecon Res NIBIO, Div Environm &amp; Nat Resources, As, Norway</t>
  </si>
  <si>
    <t>Swiss Federal Research Station Agroscope; University of Bern; Norwegian University of Life Sciences; Norwegian Institute of Bioeconomy Research</t>
  </si>
  <si>
    <t>Turek, ME (corresponding author), Div Agroecol &amp; Environm, Agroscope, Zurich, Switzerland.;Turek, ME (corresponding author), Univ Bern, Oeschger Ctr Climate Change Res, Bern, Switzerland.</t>
  </si>
  <si>
    <t>mariaeliza.turek@agroscope.admin.ch</t>
  </si>
  <si>
    <t>Holzkämper, Annelie/0000-0002-1951-1041</t>
  </si>
  <si>
    <t>Horizon 2020 Framework Programme [862756]; European Union [862695]; European Joint Program for SOIL Towards climate-smart sustainable management of agricultural soils - European Union</t>
  </si>
  <si>
    <t>Horizon 2020 Framework Programme(Horizon 2020); European Union(European Union (EU)); European Joint Program for SOIL Towards climate-smart sustainable management of agricultural soils - European Union</t>
  </si>
  <si>
    <t>This project was developed in the framework of the OPTAIN and SoilX-EJP SOIL projects. OPTAIN (OPtimal strategies to retAIN and re-use water and nutrients in small agricultural catchments across different soil-climatic regions in Europe, https://cordis.europa.eu, last access: 1 November 2023) has received funding from the European Union's Horizon 2020 research and innovation programme (grant agreement no. 862756). SoilX is part of the European Joint Program for SOIL Towards climate-smart sustainable management of agricultural soils (EJP SOIL) funded by the European Union Horizon 2020 research and innovation programme (grant agreement no. 862695). The authors thank Volker Prasuhn for providing full assistance with the lysimeter data.</t>
  </si>
  <si>
    <t>2199-3971</t>
  </si>
  <si>
    <t>2199-398X</t>
  </si>
  <si>
    <t>SOIL-GERMANY</t>
  </si>
  <si>
    <t>Soil</t>
  </si>
  <si>
    <t>NOV 9</t>
  </si>
  <si>
    <t>10.5194/soil-9-545-2023</t>
  </si>
  <si>
    <t>IV3G2</t>
  </si>
  <si>
    <t>WOS:001169066300001</t>
  </si>
  <si>
    <t>Liu, Y; Feng, C</t>
  </si>
  <si>
    <t>Liu, Ying; Feng, Chao</t>
  </si>
  <si>
    <t>What drives the decoupling between economic growth and energy-related CO2 emissions in China's agricultural sector?</t>
  </si>
  <si>
    <t>Decoupling; LMDI; PDA; Agricultural; Carbon emission</t>
  </si>
  <si>
    <t>CARBON-DIOXIDE EMISSIONS; GREENHOUSE-GAS EMISSIONS; DRIVING-FORCE ANALYSIS; CROP PRODUCTION; DECOMPOSITION ANALYSIS; INDUSTRIAL-GROWTH; METAL-INDUSTRY; GHG EMISSIONS; CONSUMPTION; EFFICIENCY</t>
  </si>
  <si>
    <t>Many studies have shown that the rapid agricultural mechanization development in China led to substantial energy consumption and CO2 emission growth. To better explain the mechanism behind the decoupling between economic growth and CO2 emissions, this paper extends the logarithmic mean Divisia index (LMDI) and production-theoretical decomposition (PDA) considering agricultural decoupling from both structural and technical perspectives. The results reveal that (1) China's agricultural decoupling performance was not ideal. Investment and investment efficiency were the most important factors influencing the decoupling status. The main decoupling obstacle was a higher investment in productivity rather than in energy conservation and carbon reduction. (2) The decoupling status and investment orientation of decoupling efforts among regions were different. Strong negative decoupling statuses frequently occurred in the eastern region, whose main disadvantage was high potential energy intensity. The decoupling status of the central region exhibited expansive features. The decoupling key is to invest more in energy-saving technology rather than in production. The western region changed from weak decoupling to expansive negative decoupling. Both output technology and energy-related factors should be the main investment targets. (3) Weak decoupling and expansive negative decoupling were the most common statuses among provinces. The influence mechanism of drivers exhibited a high spatial heterogeneity at the provincial level. Therefore, the study offered a convincing basis for local governments to formulate low-carbon agricultural development policies by identifying the main decoupling drivers.</t>
  </si>
  <si>
    <t>[Liu, Ying] Weifang Univ Sci &amp; Technol, Ctr Agr Sage Culture Studies, Weifang 262700, Shandong, Peoples R China; [Feng, Chao] Chongqing Univ, Sch Econ &amp; Business Adm, Chongqing 400030, Peoples R China</t>
  </si>
  <si>
    <t>Weifang University of Science &amp; Technology; Chongqing University</t>
  </si>
  <si>
    <t>Feng, C (corresponding author), Chongqing Univ, Sch Econ &amp; Business Adm, Chongqing 400030, Peoples R China.</t>
  </si>
  <si>
    <t>littlefc@126.com</t>
  </si>
  <si>
    <t>Feng, Chao/A-6705-2019</t>
  </si>
  <si>
    <t>Feng, Chao/0000-0002-3568-7418; ying, liu/0000-0003-3483-0021</t>
  </si>
  <si>
    <t>National Natural Science Foundation of China [72003017]; National Social Science Foundation of China [19ZDA082]; Social Science Planning Project of Chongqing [2018BS54]; Soft Science Planning Program of Shandong Province [2020RKA07033]; Fundamental Research Funds for the Central Universities [2019CDSKXYJG0037, 2020CDXYJG019]</t>
  </si>
  <si>
    <t>National Natural Science Foundation of China(National Natural Science Foundation of China (NSFC)); National Social Science Foundation of China(National Office of Philosophy and Social Sciences); Social Science Planning Project of Chongqing; Soft Science Planning Program of Shandong Province; Fundamental Research Funds for the Central Universities(Fundamental Research Funds for the Central Universities)</t>
  </si>
  <si>
    <t>We gratefully acknowledge financial supports from the National Natural Science Foundation of China (No. 72003017), the National Social Science Foundation of China (No. 19ZDA082), the Social Science Planning Project of Chongqing (No. 2018BS54), the Soft Science Planning Program of Shandong Province (No. 2020RKA07033), and the Fundamental Research Funds for the Central Universities (Nos. 2019CDSKXYJG0037 and 2020CDXYJG019).</t>
  </si>
  <si>
    <t>10.1007/s11356-021-13508-2</t>
  </si>
  <si>
    <t>TZ2KZ</t>
  </si>
  <si>
    <t>WOS:000639770400017</t>
  </si>
  <si>
    <t>Rivers, N; Schaufele, B</t>
  </si>
  <si>
    <t>Rivers, Nicholas; Schaufele, Brandon</t>
  </si>
  <si>
    <t>The Effect of Carbon Taxes on Agricultural Trade</t>
  </si>
  <si>
    <t>CANADIAN JOURNAL OF AGRICULTURAL ECONOMICS-REVUE CANADIENNE D AGROECONOMIE</t>
  </si>
  <si>
    <t>ENVIRONMENTAL-REGULATION; INTERNATIONAL-TRADE; COMPETITIVENESS; EXEMPTIONS; PERMITS; US</t>
  </si>
  <si>
    <t>This study evaluates the implications of an existing carbon tax on international trade in the agricultural sector. Applying uniformly to all fossil fuels combusted within its borders, the province of British Columbia unilaterally introduced a carbon tax on July 1, 2008. In 2012, the province granted an exemption from the tax to certain agricultural sectors. Using commodity-specific trade flows and exploiting cross-provincial and intertemporal variation, we find little evidence that the carbon tax is associated with any meaningful effects on agricultural trade despite the sector being singled out as at risk by the provincial government. Our findings suggest that there is not compelling evidence to support exempting the agricultural sector from the tax. Discussion of potential policy remedies to address the tax's potential effects on firm profitability and international competitiveness is also included.</t>
  </si>
  <si>
    <t>[Rivers, Nicholas] Univ Ottawa, Grad Sch Publ &amp; Int Affairs, Ottawa, ON K1N 6N5, Canada; [Rivers, Nicholas; Schaufele, Brandon] Univ Ottawa, Inst Environm, Ottawa, ON K1N 6N5, Canada; [Schaufele, Brandon] Univ Ottawa, Dept Econ, Ottawa, ON K1N 6N5, Canada</t>
  </si>
  <si>
    <t>University of Ottawa; University of Ottawa; University of Ottawa</t>
  </si>
  <si>
    <t>Rivers, N (corresponding author), Univ Ottawa, Dept Econ, 120 Univ, Ottawa, ON K1N 6N5, Canada.</t>
  </si>
  <si>
    <t>Nicholas.rivers@uottawa.ca; bschaufele@ivey.uwo.ca</t>
  </si>
  <si>
    <t>Pacific Institute for Climate Solutions</t>
  </si>
  <si>
    <t>Funding for this project was provided by the Pacific Institute for Climate Solutions. The authors acknowledge the excellent research assistance of Linda Li and Noemie Schmiedel.</t>
  </si>
  <si>
    <t>0008-3976</t>
  </si>
  <si>
    <t>1744-7976</t>
  </si>
  <si>
    <t>CAN J AGR ECON</t>
  </si>
  <si>
    <t>Can. J. Agric. Econ.-Rev. Can. Agroecon.</t>
  </si>
  <si>
    <t>10.1111/cjag.12048</t>
  </si>
  <si>
    <t>CH7TJ</t>
  </si>
  <si>
    <t>WOS:000354239200004</t>
  </si>
  <si>
    <t>Paterson, KC; Holden, NM</t>
  </si>
  <si>
    <t>Paterson, Kirsty C.; Holden, Nicholas M.</t>
  </si>
  <si>
    <t>Assessment of policy conflict using systems thinking: A case study of carbon footprint reduction on Irish dairy farms</t>
  </si>
  <si>
    <t>Policy conflict; Systems thinking; Causal loop diagram; Dairy; Carbon footprint</t>
  </si>
  <si>
    <t>LIFE-CYCLE ASSESSMENT; GREENHOUSE-GAS EMISSIONS; MILK-PRODUCTION; CLIMATE; COW; MANAGEMENT; APPRAISAL; NITROGEN; IRELAND; IMPACTS</t>
  </si>
  <si>
    <t>The dairy sector in Ireland is in potential conflict with environmental regulations due to the abolition of European Union dairy quotas and domestic agricultural expansion policy. The 'Dairy Carbon Navigator' aims to help Irish farmers reduce the carbon footprint of their milk and enhance economic viability by suggesting actions that could be taken to reduce carbon footprint. The tool is a national solution to Ireland's contribution to the global problem of climate change and food production. It was designed to drive a decrease in net global greenhouse gas (GHG) emissions per unit milk produced but may conflict with legislation and policy designed to reduce total national emissions. The aim of this work was to assess the feasibility of taking a systems thinking approach to identify areas of policy conflict, using carbon footprint reduction on Irish dairy farms as a case study. This was done by developing a causal loop diagram (CLD), which reflected a typical Irish dairy farm. The causal loop diagram was used to show the direction of change in farm level impact caused by implementing the Dairy Carbon Navigator recommendations. This was used to identify potential conflicts between farm management changes and the achievement of the EU Effort Sharing Decision (regulating GHG emissions), National Emissions Ceiling Directive (regulating some GHG emissions and acidification) and the Water Framework and Nitrates Directives (regulating eutrophication). It was found that extending the grazing season would increase absolute greenhouse gas emissions and absolute eutrophication but decrease carbon footprint. Increasing total herd intake per unit milk would also increase absolute impact. However, across all recommendations, reductions in carbon footprint, acidification and eutrophication per unit milk solids was predicted, due to increased efficiency. These results reflected the rising emissions detailed in the most recent national inventory report and reported decline in water quality, threatening the current overall good status of Irish waterbodies. The qualitative methods used to develop the CLD may introduce bias, but this was moderated by using workshops with interested parties. However, the main benefit of the approach was the identification of the differences between improving production efficiency (impact per unit output) and absolute mitigation of environmental impacts (decrease in national inventory). Systems thinking facilitates an interdisciplinary approach to policy evaluation from initiation to implementation, and highlights issues that may be overlooked when policy instruments are focused on a single factor.</t>
  </si>
  <si>
    <t>[Paterson, Kirsty C.] Univ Coll Dublin, UCD Sch Biol &amp; Environm Sci, Dublin, Ireland; [Holden, Nicholas M.] Univ Coll Dublin, UCD Sch Biosyst &amp; Food Engn, Dublin, Ireland</t>
  </si>
  <si>
    <t>University College Dublin; University College Dublin</t>
  </si>
  <si>
    <t>Paterson, KC (corresponding author), Scotlands Rural Coll SRUC, Edinburgh Campus,Kings Bldg,West Mains Rd, Edinburgh EH9 3JG, Midlothian, Scotland.</t>
  </si>
  <si>
    <t>kirsty.paterson@ucdconnect.ie</t>
  </si>
  <si>
    <t>Paterson, Kirsty/0009-0004-4042-1982</t>
  </si>
  <si>
    <t>10.1016/j.envsci.2019.07.008</t>
  </si>
  <si>
    <t>JO5DY</t>
  </si>
  <si>
    <t>WOS:000497600400006</t>
  </si>
  <si>
    <t>Tyagi, A; Haritash, AK</t>
  </si>
  <si>
    <t>Tyagi, Anshul; Haritash, A. K.</t>
  </si>
  <si>
    <t>Geophysical electrical survey for aquifer detection, and carbon footprinting for groundwater abstraction in India</t>
  </si>
  <si>
    <t>RENDICONTI LINCEI-SCIENZE FISICHE E NATURALI</t>
  </si>
  <si>
    <t>Soil resistivity; Groundwater aquifer; Geochemistry; Carbon dioxide emissions; Aravali hills</t>
  </si>
  <si>
    <t>Groundwater in India is a critical resource, particularly in semi-arid regions of the country like Rajasthan. The deteriorated quality of surface water has led to the over-exploitation of groundwater, resulting in the drying up of shallow wells and deepening of groundwater levels. The increasing demand for water and drilling cost for boreholes have generated a prior need for exploration, monitoring, and assessment of groundwater aquifers in water-scarce agriculture-intensive areas. Identifying suitable aquifers is important; however, the emissions associated with the extraction of water from these aquifers should not be overlooked as fuel-aided extraction is a significant source of carbon emissions. A geophysical investigation based on electrical resistivity imaging using the dipole-dipole configuration was conducted in the agricultural belt of Alwar district, Rajasthan to detect aquifer depth and its hydrogeological characteristics. Resistivity survey data indicate the presence of a shallow alluvial aquifer at a depth of 9 m. The resistivity of the aquifer ranges from 15 to 84 omega m, indicating that the soil is saturated with water in its weathered layer with a thin clay layer surrounding the saturated water zones. The groundwater and surface water represent high chemical variability which depicts that groundwater has deep meteoric percolation and subsurface geology has played a key role in regulating the water quality. Further, it was observed that electric and diesel pumps contribute significantly to carbon footprint with the values ranging from 249 to 1476 kgC/ha-yr and 60 to 266 kgC/ha-yr, respectively. Solar pumps can be a sustainable option to meet the target toward decarbonization with no emissions involved. The study concludes that solar pumping of groundwater is an important intervention for decarbonisation in agriculture sector along with judicious management interventions, improved methods of irrigation, and sustainable use of groundwater to ensure water availability and environmental quality in the region.</t>
  </si>
  <si>
    <t>[Tyagi, Anshul; Haritash, A. K.] Delhi Technol Univ, Dept Environm Engn, Environm Microbiol &amp; Bioremediat Lab, Bawana Rd, Delhi 110042, India</t>
  </si>
  <si>
    <t>Delhi Technological University</t>
  </si>
  <si>
    <t>Haritash, AK (corresponding author), Delhi Technol Univ, Dept Environm Engn, Environm Microbiol &amp; Bioremediat Lab, Bawana Rd, Delhi 110042, India.</t>
  </si>
  <si>
    <t>akharitash@dce.ac.in</t>
  </si>
  <si>
    <t>Haritash, Anil Kumar/0000-0003-2658-9370</t>
  </si>
  <si>
    <t>SPRINGER-VERLAG ITALIA SRL</t>
  </si>
  <si>
    <t>MILAN</t>
  </si>
  <si>
    <t>VIA DECEMBRIO, 28, MILAN, 20137, ITALY</t>
  </si>
  <si>
    <t>2037-4631</t>
  </si>
  <si>
    <t>1720-0776</t>
  </si>
  <si>
    <t>REND LINCEI-SCI FIS</t>
  </si>
  <si>
    <t>Rend. Lincei.-Sci. Fis. Nat.</t>
  </si>
  <si>
    <t>2024 MAR 10</t>
  </si>
  <si>
    <t>10.1007/s12210-024-01227-y</t>
  </si>
  <si>
    <t>KH9P4</t>
  </si>
  <si>
    <t>WOS:001179190200001</t>
  </si>
  <si>
    <t>Wang, ZW; Huang, WF; Wang, H; Gao, J; Zhang, RK; Xu, GY; Wang, ZF</t>
  </si>
  <si>
    <t>Wang, Zhanwu; Huang, Wanfeng; Wang, Heng; Gao, Jing; Zhang, Runkai; Xu, Guangyin; Wang, Zhenfeng</t>
  </si>
  <si>
    <t>Research on the improvement of carbon neutrality by utilizing agricultural waste: Based on a life cycle assessment of biomass briquette fuel heating system</t>
  </si>
  <si>
    <t>Carbon neutrality; Life cycle assessment; Biomass briquette fuel; Biomass heating; Carbon emission reduction</t>
  </si>
  <si>
    <t>RICE STRAW; ENERGY; GENERATION; PRIORITIZATION; TECHNOLOGIES; PERFORMANCE; FRAMEWORK; RANKING</t>
  </si>
  <si>
    <t>Various environmental issues caused by global warming demand urgent action to reduce greenhouse gas emissions. Implementing a carbon neutrality strategy emerges as an effective solution to alleviate environmental pollution. The use of biomass briquette fuel significantly contributes to promoting carbon neutrality. In this study, the life cycle assessment (LCA) method was employed to create a model for assessing carbon reduction in biomass briquette fuel heating systems. The findings suggested that the use of agricultural waste briquette fuel for heating has great potential for carbon neutrality. The utilization of 100,000 tons of biomass briquette fuel by a heating enterprise resulted in a remarkable reduction of 335,679 tons of CO2-eq, equivalent to 91,305 tons of carbon. This substitution also displaced 63,558 tons of coal, leading to a reduction of 5460 tons of SO2 and 1012 tons of PM10. The sensitivity analysis identified that transportation distance, energy consumption, and pollutant removal technologies were the primary drivers influencing carbon reduction. Subsequently, some recommendations were proposed to enhance the carbon neutrality of biomass briquette fuel heating systems. These findings have significant implications for achieving carbon neutrality.</t>
  </si>
  <si>
    <t>[Wang, Zhanwu; Huang, Wanfeng; Wang, Heng; Gao, Jing; Zhang, Runkai; Xu, Guangyin; Wang, Zhenfeng] Henan Agr Univ, Coll Mech &amp; Elect Engn, Zhengzhou, Henan, Peoples R China; [Xu, Guangyin] Huanghe S&amp;T Univ, Inst Agr Engn, Zhengzhou 450006, Peoples R China; [Wang, Zhenfeng] Henan Prov Cold Chain Informat &amp; Equipment Lab Log, Zhengzhou, Henan, Peoples R China</t>
  </si>
  <si>
    <t>Wang, ZF (corresponding author), Henan Agr Univ, Coll Mech &amp; Elect Engn, Zhengzhou, Henan, Peoples R China.</t>
  </si>
  <si>
    <t>zfking@henau.edu.cn</t>
  </si>
  <si>
    <t>Wang, Zhanwu/MTF-6534-2025</t>
  </si>
  <si>
    <t>Natural Science Foundation of Henan Province [232300420075]; Henan Provincial Science and Technology Research Project [232102110300]</t>
  </si>
  <si>
    <t>Natural Science Foundation of Henan Province; Henan Provincial Science and Technology Research Project</t>
  </si>
  <si>
    <t>authors gratefully acknowledge these grants. This work was funded by the Natural Science Foundation of Henan Province (Grant no. 232300420075) and the Henan Provincial Science and Technology Research Project (Grant no. 232102110300) . The</t>
  </si>
  <si>
    <t>10.1016/j.jclepro.2023.140365</t>
  </si>
  <si>
    <t>IJ1K4</t>
  </si>
  <si>
    <t>WOS:001165864400001</t>
  </si>
  <si>
    <t>Jayaraman, S; Sahu, M; Sinha, NK; Mohanty, M; Chaudhary, RS; Yadav, B; Srivastava, LK; Hati, KM; Patra, AK; Dalal, RC</t>
  </si>
  <si>
    <t>Jayaraman, Somasundaram; Sahu, Meenakshi; Sinha, Nishant K.; Mohanty, Monoranjan; Chaudhary, Ranjeet S.; Yadav, Brijesh; Srivastava, Lalit K.; Hati, Kuntal M.; Patra, Ashok K.; Dalal, Ram C.</t>
  </si>
  <si>
    <t>Conservation Agricultural Practices Impact on Soil Organic Carbon, Soil Aggregation and Greenhouse Gas Emission in a Vertisol</t>
  </si>
  <si>
    <t>conservation tillage; no-tillage; reduced tillage; greenhouse gas emissions; soil organic carbon; carbon sequestration</t>
  </si>
  <si>
    <t>WHEAT CROPPING SYSTEM; NO-TILLAGE; PHYSICAL-PROPERTIES; MATTER; WATER; MANAGEMENT; SEQUESTRATION; NITROGEN; ROTATION; RESIDUE</t>
  </si>
  <si>
    <t>Conservation agriculture (CA), comprising of minimum soil disturbance and crop residue retention (&gt;30%), with a diversified cropping system, has become increasingly popular around the world. It is recognized as a sustainable practice to improve soil health by augmenting key soil properties. However, scanty information exists about the effect of CA practices on soil organic carbon (SOC), aggregation and greenhouse gas emissions (GHG) in a vertisol. Thus, this study investigated the effect of CA practices on SOC, soil aggregation and GHG emission under soybean-wheat and maize-chickpea cropping systems in a vertisol in Central India. Treatment consisted of three different tillage practices, being conventional tillage (CT), reduced tillage (RT), and no tillage (NT) under four cropping systems viz., Soybean-Wheat, Soybean + Pigeon pea (2:1), Maize-Chickpea and Maize + Pigeon pea (1:1). Regardless of cropping system, the soil under NT and RT exhibited better aggregation (20.77 to 25.97% increase), and SOC (12.9 to 19.4% increase) compared to the CT practice in surface layers. The aggregate-associated C concentration increased with aggregate size, and it was highest with large macroaggregates and lowest with silt and clay fractions across different tillage and cropping systems. Higher SOC stock was recorded under NT (4.22 +/- 0.133 Mg C/ha) compared to RT (3.84 +/- 0.123 Mg C/ha) and CT (3.65 +/- 0.04 Mg C/ha) practices at 0 to 5 cm depth. Thus, the adoption of CA practices reduced CO2 emissions, while also contributing to increases in SOC as well as improvement in soil structure.</t>
  </si>
  <si>
    <t>[Jayaraman, Somasundaram; Sahu, Meenakshi; Sinha, Nishant K.; Mohanty, Monoranjan; Chaudhary, Ranjeet S.; Hati, Kuntal M.; Patra, Ashok K.] ICAR Indian Inst Soil Sci, Berasia Rd, Bhopal 462038, India; [Sahu, Meenakshi; Srivastava, Lalit K.] Indira Gandhi Krishi Vishwa Vidyalaya, Dept Soil Sci &amp; Agr Chem, Raipur 492012, Madhya Pradesh, India; [Yadav, Brijesh] ICAR Directorate Mushroom Res, Chambaghat 173213, Solari, India; [Dalal, Ram C.] Univ Queensland, Sch Agr &amp; Food Sci, Brisbane, Qld 4072, Australia</t>
  </si>
  <si>
    <t>Indian Council of Agricultural Research (ICAR); ICAR - Indian Institute of Soil Sciences; Indira Gandhi Krishi Vishwavidyalaya (IGKV); Indian Council of Agricultural Research (ICAR); ICAR - Directorate of Mushroom Research; University of Queensland</t>
  </si>
  <si>
    <t>Jayaraman, S (corresponding author), ICAR Indian Inst Soil Sci, Berasia Rd, Bhopal 462038, India.</t>
  </si>
  <si>
    <t>somajayaraman@gmail.com; meenakshisahu1822@gmail.com; nishant.sinha@icar.gov.in; manoranjan.mohanty@icar.gov.in; ranjeet.chaudhary@icar.gov.in; brijesh.yadav@icar.gov.in; srivastavalalit9@gmail.com; kuntal.hati@icar.gov.in; ashok.patra@icar.gov.in; r.dalal@uq.edu.au</t>
  </si>
  <si>
    <t>Hati, Kuntal/AGZ-8079-2022; PATRA, ASHOK/AAI-4898-2020; Jayaraman, Somasundaram/AAF-7679-2020; Chaudhary, Ranjeet/GQQ-0558-2022</t>
  </si>
  <si>
    <t>Patra, Ashok/0000-0003-0513-2267; Jayaraman, Somasundaram/0000-0003-3486-4109; Dalal, Ram/0000-0003-2381-9601</t>
  </si>
  <si>
    <t>10.3390/agriculture12071004</t>
  </si>
  <si>
    <t>3G7EL</t>
  </si>
  <si>
    <t>WOS:000831513000001</t>
  </si>
  <si>
    <t>Rizvi, RH; Newaj, R; Chaturvedi, OP; Prasad, R; Handa, AK; Alam, B</t>
  </si>
  <si>
    <t>Rizvi, R. H.; Newaj, Ram; Chaturvedi, O. P.; Prasad, Rajendra; Handa, A. K.; Alam, Badre</t>
  </si>
  <si>
    <t>Carbon sequestration and CO2 absorption by agroforestry systems: An assessment for Central Plateau and Hill region of India</t>
  </si>
  <si>
    <t>JOURNAL OF EARTH SYSTEM SCIENCE</t>
  </si>
  <si>
    <t>BIOMASS PRODUCTION; CLIMATE-CHANGE; STORAGE</t>
  </si>
  <si>
    <t>India ranks fourth in terms of greenhouse gas (GHG) emissions and accounts for 6% of total GHG emissions in the world. Carbon dioxide (CO2) has major contribution of 76% in total GHG emissions. Agroforestry that integrates trees in the agricultural landscape is regarded as a strategy for both adaptation and mitigation of climate change. Agroforestry plays an important role in reducing the level of GHG emissions vis-a-vis atmospheric CO2 through carbon sequestration. Carbon sequestration is the process involved in carbon capture and the long period storage of atmospheric CO2. In the present study, firstly area under agroforestry was estimated in Central Plateau and Hill region (agro-climatic zone-8) using satellite remote sensing data. Secondly, dynamic CO2FIX model v3.1 was used to assess the baseline total carbon and carbon sequestration potential (CSP) of agroforestry systems for a simulation period of 30yr. Finally, equivalent CO2 absorption was assessed with the help of estimated agroforestry area and net CSP in the zone. Estimated area in Central Plateau and Hill region is about 1.96 million ha, which is 5.18% of total geographical area of this zone. Total carbon sequestered at zone level was estimated to be 17.81Tg (tera gram) C and equivalent CO2 absorption is at 65.36 Tg. The CSP of agroforestry systems would be about 158.55 Tg C for a simulated period of 30 yr or CSP would be 5.28Tg C yr-1 at country level. On the other hand, equivalent CO2 absorption was 586.50 Tg for a period of 30 yr or would be 19.55 Tg yr-1 at country level. Hence, the present study concludes that agroforestry has significant contribution in reduction of atmospheric CO2 which would have much more if the area under agroforestry and/or number of trees ha-1 on farmlands are increased.</t>
  </si>
  <si>
    <t>[Rizvi, R. H.; Newaj, Ram; Chaturvedi, O. P.; Prasad, Rajendra; Handa, A. K.; Alam, Badre] Cent Agroforestry Res Inst, ICAR, Jhansi, Uttar Pradesh, India</t>
  </si>
  <si>
    <t>Indian Council of Agricultural Research (ICAR); ICAR - Central Agroforestry Research Institute</t>
  </si>
  <si>
    <t>Rizvi, RH (corresponding author), Cent Agroforestry Res Inst, ICAR, Jhansi, Uttar Pradesh, India.</t>
  </si>
  <si>
    <t>rhrizvi@gmail.com</t>
  </si>
  <si>
    <t>ICAR; CAFRI, Jhansi</t>
  </si>
  <si>
    <t>ICAR(Indian Council of Agricultural Research (ICAR)); CAFRI, Jhansi</t>
  </si>
  <si>
    <t>The authors are thankful to ICAR for funding the National Initiative on Climate Resilient Agriculture (NICRA) project and the authors are also thankful to the Director, CAFRI, Jhansi for providing support for this project.</t>
  </si>
  <si>
    <t>2347-4327</t>
  </si>
  <si>
    <t>0973-774X</t>
  </si>
  <si>
    <t>J EARTH SYST SCI</t>
  </si>
  <si>
    <t>J. Earth Syst. Sci.</t>
  </si>
  <si>
    <t>10.1007/s12040-019-1071-3</t>
  </si>
  <si>
    <t>Geosciences, Multidisciplinary; Multidisciplinary Sciences</t>
  </si>
  <si>
    <t>Geology; Science &amp; Technology - Other Topics</t>
  </si>
  <si>
    <t>HM9IJ</t>
  </si>
  <si>
    <t>WOS:000459796800005</t>
  </si>
  <si>
    <t>Monge, JJ; Bryant, HL; Gan, JB; Richardson, JW</t>
  </si>
  <si>
    <t>Monge, Juan J.; Bryant, Henry L.; Gan, Jianbang; Richardson, James W.</t>
  </si>
  <si>
    <t>Land use and general equilibrium implications of a forest-based carbon sequestration policy in the United States</t>
  </si>
  <si>
    <t>Carbon sequestration; Afforestation; Set-aside; Land-use change; Computable General Equilibrium; Heterogeneous land; Major land resource areas; Management intensity</t>
  </si>
  <si>
    <t>CLIMATE-CHANGE; IMPACTS; COST; STRATEGIES; MANAGEMENT; MODELS</t>
  </si>
  <si>
    <t>A comparative static Computable General Equilibrium model was used to assess the impacts of forest-based carbon payments on sequestration, land use, and agricultural commodity prices in the U.S. A modified 2008 regional Social Accounting Matrix, considering land as a heterogeneous factor, was used as the model's main input. The matrix was projected to its 2050 counterpart using capital and labour growth projections. The forest-generated carbon offset sources considered were afforested set-asides, commercial forestry intensification and harvested wood products. A new dataset on regional afforestation carbon uptake rates and costs was used to include afforested set-asides as latent activities. For a carbon offset price of $20/MT CO2, 12% of U.S. annual emissions could be sequestered in 2050. More than half of the additional carbon sequestered (611 million MT CO2), compared to the 2050 baseline, would be attributed to set-asides and composed mainly of softwood forests. High carbon prices would increase land prices resulting in the diversion of 15% and 8% of pasture and cropland to carbon set-asides, respectively, mainly in the Central Plains. The high agricultural land diversion would force activities to intensify production systems driving the prices of beef up by 14% as well as oilseeds and grains by 3% and 4%, respectively. (C) 2016 Elsevier B.V. All rights reserved.</t>
  </si>
  <si>
    <t>[Monge, Juan J.] Scion New Zealand Forest Res Inst, Private Bag 3020, Rotorua 3046, New Zealand; [Bryant, Henry L.; Richardson, James W.] Texas A&amp;M Univ, Dept Agr Econ, Agr &amp; Food Policy Ctr, 2124 TAMU, College Stn, TX 77843 USA; [Gan, Jianbang] Texas A&amp;M Univ, Dept Ecosyst Sci &amp; Management, 2138 TAMU, College Stn, TX 77843 USA</t>
  </si>
  <si>
    <t>Texas A&amp;M University System; Texas A&amp;M University College Station; Texas A&amp;M University System; Texas A&amp;M University College Station</t>
  </si>
  <si>
    <t>Monge, JJ (corresponding author), Scion New Zealand Forest Res Inst, Private Bag 3020, Rotorua 3046, New Zealand.</t>
  </si>
  <si>
    <t>juan.monge@scionresearch.com</t>
  </si>
  <si>
    <t>Monge, Juan J/0000-0002-6710-255X</t>
  </si>
  <si>
    <t>Office of Chief Economist, USDA; Scion's core funding - Ministry of Business, Innovation and Employment (MBIE) [CORE15/16]</t>
  </si>
  <si>
    <t>Office of Chief Economist, USDA; Scion's core funding - Ministry of Business, Innovation and Employment (MBIE)</t>
  </si>
  <si>
    <t>The authors wish to acknowledge the feedback obtained at various academic presentations held at the International Food Policy Research Institute (IFPRI at Washington DC, U.S.), Landcare Research (Auckland, New Zealand), and Victoria University (Wellington, New Zealand). We would also like to gratefully acknowledge Rob Ostensen (former AFPC employee) for creating the maps, Adam Daigneault (Landcare Research) for sharing regional sequestration estimates using GTM, and the three anonymous reviewers for providing helpful comments. Funding for the writing of this paper was provided mostly by the Office of Chief Economist, USDA, and in part by Scion's core funding (CORE15/16) funded by the Ministry of Business, Innovation and Employment (MBIE).</t>
  </si>
  <si>
    <t>10.1016/j.ecolecon.2016.03.015</t>
  </si>
  <si>
    <t>DM9VF</t>
  </si>
  <si>
    <t>WOS:000376713100009</t>
  </si>
  <si>
    <t>Krishankumar, R; Ecer, F; Korucuk, S; Aytekin, A; Yadav, A</t>
  </si>
  <si>
    <t>Krishankumar, Raghunathan; Ecer, Fatih; Korucuk, Selcuk; Aytekin, Ahmet; Yadav, Abhishek</t>
  </si>
  <si>
    <t>Evaluating zero-carbon measures through a probabilistic hesitant fuzzy LOPCOW and WISP approach</t>
  </si>
  <si>
    <t>APPLIED SOFT COMPUTING</t>
  </si>
  <si>
    <t>Zero-carbon measure; Decarbonization; Climate change; Probabilistic hesitant fuzzy sets; Net-zero-carbon emissions; SDG13</t>
  </si>
  <si>
    <t>GROUP DECISION-MAKING; ENERGY EFFICIENCY IMPROVEMENT; SEQUESTRATION; SCENARIOS</t>
  </si>
  <si>
    <t>Climate change is a pressing issue globally, and countries are implementing zero-carbon measures (ZCMs) to combat it. The ranking of such measures is essential, as it facilitates policymakers in preparing action plans for sustainability. As a variant of the hesitant fuzzy set (HFS), the probabilistic hesitant fuzzy set (PHFS) is utilized, which considers both hesitancy during rating and the associated confidence level for each value. Logarithmic percentage change-driven objective weighting (LOPCOW) and simple weighted sum product (WISP) are cuttingedge weighting and ranking methods for multi-criteria decision-making (MCDM), respectively. This study aims to rank ZCMs to achieve SDG13 via a novel integrated LOPCOW-WISP multi-criteria method with PHFSs. So far, there has been no work on developing LOPCOW and WISP methods under PHFSs, and no PHFS-driven research has evaluated ZCMs. Regarding the findings, sustainable agriculture is the foremost measure, followed by research and innovation and decarbonizing industry. Sensitivity and comparison analyses are further conducted to realize the method's robustness. The findings can also help to shape the practical and future end-use vision for energy resources, allowing for significant advantages while incurring zero-carbon emissions costs. Policymakers can readily use this framework in logical decision-making processes. Furthermore, the study proposes an ideal measurement method that prioritizes technological, agricultural, and research and development factors, along with concerns like energy efficiency, to achieve the goal of zero-carbon emissions.</t>
  </si>
  <si>
    <t>[Krishankumar, Raghunathan] IIM Bodh Gaya, IT Syst &amp; Analyt Area, Turi Khurd 824234, Bihar, India; [Ecer, Fatih] Afyon Kocatepe Univ, Fac Econ &amp; Adm Sci, Sub Dept Operat Res, Afyonkarahisar, Turkiye; [Korucuk, Selcuk] Giresun Univ, Bulancak Kadir Karabas Vocat Sch, Dept Logist Management, Giresun, Turkiye; [Aytekin, Ahmet] Samsun Univ, Fac Polit Sci, Dept Int Trade &amp; Business, Samsun, Turkiye; [Yadav, Abhishek] Amrita Vishwa Vidyapeetham, Amrita Sch Phys Sci, Dept Math, Coimbatore, India</t>
  </si>
  <si>
    <t>Indian Institute of Management (IIM System); Indian Institute of Management Bodh Gaya; Afyon Kocatepe University; Giresun University; Samsun University; Amrita Vishwa Vidyapeetham; Amrita Vishwa Vidyapeetham Coimbatore</t>
  </si>
  <si>
    <t>Ecer, F (corresponding author), Afyon Kocatepe Univ, Fac Econ &amp; Adm Sci, Sub Dept Operat Res, Afyonkarahisar, Turkiye.</t>
  </si>
  <si>
    <t>raghunathan.k@iimbg.ac.in; fecer@aku.edu.tr; selcuk.korucuk@giresun.edu.tr; ahmet.aytekin@samsun.edu.tr; cb.sc.i5das20002@cb.students.amrita.edu</t>
  </si>
  <si>
    <t>Ecer, Fatih/AAE-8455-2020; Aytekin, Ahmet/AAG-1900-2019; KORUCUK, SELÇUK/ACL-1523-2022</t>
  </si>
  <si>
    <t>1568-4946</t>
  </si>
  <si>
    <t>1872-9681</t>
  </si>
  <si>
    <t>APPL SOFT COMPUT</t>
  </si>
  <si>
    <t>Appl. Soft. Comput.</t>
  </si>
  <si>
    <t>D</t>
  </si>
  <si>
    <t>10.1016/j.asoc.2025.114216</t>
  </si>
  <si>
    <t>Computer Science, Artificial Intelligence; Computer Science, Interdisciplinary Applications</t>
  </si>
  <si>
    <t>I5995</t>
  </si>
  <si>
    <t>WOS:001626709000004</t>
  </si>
  <si>
    <t>Van Loon, J; Woltering, L; Krupnik, TJ; Baudron, F; Boa, M; Govaerts, B</t>
  </si>
  <si>
    <t>Van Loon, Jelle; Woltering, Lennart; Krupnik, Timothy J.; Baudron, Frederic; Boa, Maria; Govaerts, Bram</t>
  </si>
  <si>
    <t>Scaling agricultural mechanization services in smallholder farming systems: Case studies from sub-Saharan Africa, South Asia, and Latin America</t>
  </si>
  <si>
    <t>Appropriate mechanization; Service models; Enabling environment; Rural entrepreneurship; Transition framework</t>
  </si>
  <si>
    <t>There is great untapped potential for farm mechanization to support rural development initiatives in low- and middle-income countries. As technology transfer of large machinery from high-income countries was ineffective during the 1980s and 90s, mechanization options were developed appropriate to resource poor farmers cultivating small and scattered plots. More recently, projects that aim to increase the adoption of farm machinery have tended to target service providers rather than individual farmers. This paper uses the Scaling Scan tool to assess three project case studies designed to scale different Mechanization Service Provider Models (MSPMs) in Mexico, Zimbabwe, and Bangladesh. It provides a useful framework to assess the gap between international lessons learned on scaling captured in forty tactical questions over ten scaling ingredients as perceived by stakeholders involved in the projects, as well as private sector actors and government employees. Although at first sight the case studies seem to successfully reach high numbers of end users, the assessment exposes issues around the sustainable and transformative nature of the interventions. These are highly influenced by the design of the projects and by the environment and context of the intervention areas. Across the three case studies, large-scale adoption of the models was found to be hampered by lack of finance to set up MSPMs and insufficient collaboration among the value chain actors to strengthen and foster Mechanization Service Provider (MSP) entrepreneurs. Applying a scaling perspective on each case study project exposed important lessons on minimizing project dependencies. Positive examples include integration of capacity development materials in vocational training centers in Zimbabwe, promotion of MSPMs by other donors in East Africa and levering of nearly USD six million of private sector investment in appropriate machinery in Bangladesh. On the other hand, there is still a high dependency on the projects in terms of coaching of service providers, facilitating collaboration along the value chain, and provision of leadership and advocacy to address issues at governance level. These results have important implications for similar development interventions aimed at increasing smallholder access to mechanization services at scale and is to our knowledge the first cross-continental assessment of these issues to date.</t>
  </si>
  <si>
    <t>[Van Loon, Jelle; Woltering, Lennart; Boa, Maria; Govaerts, Bram] CIMMYT Int Maize &amp; Wheat Improvement Ctr, Carretera Mexico Veracruz Km 45, Texcoco 56237, Estado De Mexic, Mexico; [Krupnik, Timothy J.] CIMMYT Bangladesh, House 10-B Rd 53 Gulshan 2, Dhaka 1213, Bangladesh; [Baudron, Frederic] CIMMYT Southern Africa Reg Off, 12-5 Km Peg Mazowe Rd, Harare, Zimbabwe</t>
  </si>
  <si>
    <t>CGIAR; International Maize &amp; Wheat Improvement Center (CIMMYT); CGIAR; International Maize &amp; Wheat Improvement Center (CIMMYT)</t>
  </si>
  <si>
    <t>Van Loon, J (corresponding author), CIMMYT Int Maize &amp; Wheat Improvement Ctr, Carretera Mexico Veracruz Km 45, Texcoco 56237, Estado De Mexic, Mexico.</t>
  </si>
  <si>
    <t>J.Vanloon@cgiar.org; L.Woltering@cgiar.org; T.Krupnik@cgiar.org; F.Baudron@cgiar.org; m.boa@cgiar.org; B.Govaerts@cgiar.org</t>
  </si>
  <si>
    <t>Krupnik, Timothy/J-6363-2019</t>
  </si>
  <si>
    <t>Van Loon, Jelle/0000-0003-1939-6685; Bauon, Frédéric/0000-0002-5648-2083; Krupnik, Timothy Joseph/0000-0001-6973-0106; Govaerts, Bram/0000-0002-6109-7286; Boa Alvarado, Maria del Refugio/0000-0002-8758-3266</t>
  </si>
  <si>
    <t>Government of Mexico; Government of Guanajuato; Bill and Melinda Gates Foundation; United States Agency for International Development (USAID)/Bangladesh; Australian Centre for International Agricultural Research (ACIAR); German Federal Ministry for Economic Cooperation and Development (BMZ)</t>
  </si>
  <si>
    <t>Government of Mexico; Government of Guanajuato; Bill and Melinda Gates Foundation(Bill &amp; Melinda Gates Foundation); United States Agency for International Development (USAID)/Bangladesh(United States Agency for International Development (USAID)); Australian Centre for International Agricultural Research (ACIAR); German Federal Ministry for Economic Cooperation and Development (BMZ)</t>
  </si>
  <si>
    <t>This work was implemented by CIMMYT as part of the projects MasAgro, the Cereal Systems Initiative for South Asia (CSISA) Phase III and the CSISA-Mechanization and Irrigation sub-project, and FACASI under the CGIAR Research Programs Maize and Wheat, made possible by the generous support of the Government of Mexico, the Government of Guanajuato, the Bill and Melinda Gates Foundation, the United States Agency for International Development (USAID)/Bangladesh, and the Australian Centre for International Agricultural Research (ACIAR). Furthermore, the German Federal Ministry for Economic Cooperation and Development (BMZ) supported the work through the Integrated Expert program of Gesellschaft fur Internationale Zusammenarbeit (GIZ) GmbH. The contents and opinions expressed herein are those of the author(s) and do not necessarily reflect the views of USAID or the United States Government or any of the donors</t>
  </si>
  <si>
    <t>10.1016/j.agsy.2020.102792</t>
  </si>
  <si>
    <t>LB9UG</t>
  </si>
  <si>
    <t>WOS:000524975500015</t>
  </si>
  <si>
    <t>Vogt, D; Hattingh, T</t>
  </si>
  <si>
    <t>Vogt, D.; Hattingh, T.</t>
  </si>
  <si>
    <t>The importance of people in the process of converting a narrow tabular hard-rock mine to mechanization</t>
  </si>
  <si>
    <t>JOURNAL OF THE SOUTHERN AFRICAN INSTITUTE OF MINING AND METALLURGY</t>
  </si>
  <si>
    <t>levels of technology; mechanization; underground mining; productivity; change management</t>
  </si>
  <si>
    <t>AUTOMATION</t>
  </si>
  <si>
    <t>This paper argues that the technology change to mechanization is also going to require a change in people. It presents a model for technological progress and adapts it to the mining industry. It then goes on to motivate the need for mines to become learning organizations in order to achieve maximum value from their people as they become less labour-intensive. In an important sense, mechanization is as much about knowledge as it is about technology. The change when a mine introduces mechanization or a level of automation is not simply one of technology but also a stage in the development of mining from 'art' to 'science'. 'Art' describes a state of technology characterized by tacit knowledge, an understanding that comes only from experience, and has no formal procedures and little structure. In contrast, 'science' represents a state of technology where all the component processes are understood in detail, all knowledge is explicit, and processes and structures are formal. Studies of other industries, including metal part manufacture and aviation, show that each stage in the progression from art to science changes the nature of the organization and requires a different mix of skills from the workforce. Perhaps the most important change is the increase in knowledge and decision -making required as the technology gets closer to science. There is anecdotal evidence that South African underground hard -rock mines are not learning organizations. Mines by their nature are capital intensive with long lead times from investment to returns, so there is reluctance to change from the original plans or to encourage staff to think independently. Particularly as mines move from art to science, this reluctance must be overcome. The important lesson for engineers involved in introducing mechanization is to understand that success or failure will be determined by the people involved, and not solely by the technology. The process will almost certainly require a culture change on the mine. We recommend that the mechanization team includes an expert in human and organizational behaviour to ensure that a receptive workforce and management are in place to accept the new technology when it arrives..</t>
  </si>
  <si>
    <t>[Vogt, D.; Hattingh, T.] Univ Witwartersrand, Ctr Mechanized Min Syst, Johannesburg, South Africa</t>
  </si>
  <si>
    <t>Vogt, D (corresponding author), Univ Witwartersrand, Ctr Mechanized Min Syst, Johannesburg, South Africa.</t>
  </si>
  <si>
    <t>Hattingh, Teresa/0000-0001-5930-2546</t>
  </si>
  <si>
    <t>SOUTHERN AFRICAN INST MINING METALLURGY</t>
  </si>
  <si>
    <t>MARSHALLTOWN L</t>
  </si>
  <si>
    <t>5 HOLLARD ST, 5TH FLOOR, CHAMBER OF MINES BUILDING, PO BOX 61127, MARSHALLTOWN L 2107, SOUTH AFRICA</t>
  </si>
  <si>
    <t>2225-6253</t>
  </si>
  <si>
    <t>2411-9717</t>
  </si>
  <si>
    <t>J S AFR I MIN METALL</t>
  </si>
  <si>
    <t>J. S. Afr. Inst. Min. Metall.</t>
  </si>
  <si>
    <t>10.17159/2411-9717/2016/v116n3a8</t>
  </si>
  <si>
    <t>Metallurgy &amp; Metallurgical Engineering; Mining &amp; Mineral Processing</t>
  </si>
  <si>
    <t>DN1AD</t>
  </si>
  <si>
    <t>WOS:000376797300010</t>
  </si>
  <si>
    <t>Ramantswana, M; Guerra, SPS; Ersson, BT</t>
  </si>
  <si>
    <t>Ramantswana, Muedanyi; Guerra, Saulo Philipe Sebastiao; Ersson, Back Tomas</t>
  </si>
  <si>
    <t>Advances in the Mechanization of Regenerating Plantation Forests: a Review</t>
  </si>
  <si>
    <t>CURRENT FORESTRY REPORTS</t>
  </si>
  <si>
    <t>Forest operations; Silvicultural technology; Site preparation; Tree planting; Stand tending; Reforestation</t>
  </si>
  <si>
    <t>NORWAY SPRUCE; SITE PREPARATION; EUCALYPT PLANTATIONS; VEGETATION CONTROL; SOIL PREPARATION; HERBICIDE USE; SCOTS PINE; PRODUCTIVITY; GROWTH; ESTABLISHMENT</t>
  </si>
  <si>
    <t>Purpose of Review The mechanization of silvicultural work on forest plantations is usually driven by a decreasing supply of motivated labour which increases its relative cost. Mechanization can also result in other advantages like increased effectiveness, higher efficiency, and improved working conditions. The purpose of our review is to examine the last few decades' endeavours to mechanize the regeneration activities of plantation forestry in the southern and northern hemisphere. In this case, regeneration activities include (1) site preparation; (2) tree planting; and (3) stand tending until the crop trees are free from vegetative competition. Recent Findings Originally, the mechanization of silvicultural work commenced in the northern hemisphere, but over the past decades, the most notable progress has been made in the southern hemisphere plantation forests. Although soil preparation is largely mechanized across the globe, tree planting and stand tending activities lag behind because of factors such as global variations in the manner in which they are performed, higher level of complexity, and low-cost competitiveness compared with existing labour-intensive methods. For mechanization of regeneration/silvicultural activities to progress, productive and adaptable machines will be required where economies of scale permit cost-efficient operations. These machines will probably have to be modified to the specific forestry context of different countries. Knowledge of the existing and state-of-the-art regeneration technologies available in both the northern and southern hemispheres is important for foresters to make informed decisions about the selection and application of mechanized regeneration systems.</t>
  </si>
  <si>
    <t>[Ramantswana, Muedanyi] Nelson Mandela Univ, Sch Nat Resource Management, George, South Africa; [Guerra, Saulo Philipe Sebastiao] Sao Paulo State Univ, Sch Agron Sci, Botucatu, SP, Brazil; [Ersson, Back Tomas] SLU Swedish Univ Agr Sci, Sch Forest Management, Skinnskatteberg, Sweden</t>
  </si>
  <si>
    <t>Nelson Mandela University; Universidade Estadual Paulista; Swedish University of Agricultural Sciences</t>
  </si>
  <si>
    <t>Ramantswana, M (corresponding author), Nelson Mandela Univ, Sch Nat Resource Management, George, South Africa.</t>
  </si>
  <si>
    <t>muedanyi.ramantswana@mandela.ac.za; saulo.guerra@unesp.br; back.tomas.ersson@slu.se</t>
  </si>
  <si>
    <t>Guerra, Saulo/AAH-8321-2020; Sebastião Guerra, Saulo Philipe/G-6503-2012; Ersson, Back/AGS-6553-2022</t>
  </si>
  <si>
    <t>Sebastião Guerra, Saulo Philipe/0000-0002-6760-9094; Ersson, Back Tomas/0000-0003-2442-7482;</t>
  </si>
  <si>
    <t>SPRINGER INT PUBL AG</t>
  </si>
  <si>
    <t>CHAM</t>
  </si>
  <si>
    <t>GEWERBESTRASSE 11, CHAM, CH-6330, SWITZERLAND</t>
  </si>
  <si>
    <t>2198-6436</t>
  </si>
  <si>
    <t>CURR FOR REP</t>
  </si>
  <si>
    <t>Curr. For. Rep.</t>
  </si>
  <si>
    <t>10.1007/s40725-020-00114-7</t>
  </si>
  <si>
    <t>MG9OB</t>
  </si>
  <si>
    <t>WOS:000530216500001</t>
  </si>
  <si>
    <t>Dai, Y; Xu, W; Hong, JQ; Zheng, YN; Fan, HZ; Zhang, J; Fei, JW; Zhu, WY; Hong, JL</t>
  </si>
  <si>
    <t>Dai, Yin; Xu, Wei; Hong, Junqiang; Zheng, Yani; Fan, Huizhu; Zhang, Jun; Fei, Jianwen; Zhu, Wanying; Hong, Junli</t>
  </si>
  <si>
    <t>A molecularly imprinted ratiometric fluorescence sensor based on blue/red carbon quantum dots for the visual determination of thiamethoxam</t>
  </si>
  <si>
    <t>BIOSENSORS &amp; BIOELECTRONICS</t>
  </si>
  <si>
    <t>Thiamethoxam; Carbon dots; Ratiometric fluorescence sensor; Molecular imprinting polymers; Visual detection; Smartphone</t>
  </si>
  <si>
    <t>CHROMATOGRAPHY; POLYMER</t>
  </si>
  <si>
    <t>Neonicotinoids such as thiamethoxam (TMX) were widely used in agricultural production and tended to accu-mulate in the environment, potentially harming human and ecosystem health. To enable widespread monitoring of TMX residues, it was essential to design a reliable and sensitive detection method. Here, we developed a novel smartphone-enablled molecularly imprinted ratiometric fluorescence sensing system for selective on-site detection of TMX. It was based on blue-emission carbon dots (CDs) wrapped with a molecularly imprinted layer (B-CDs@MIPs), which provided the response signal, while red-emission CDs (R-CDs) served as an internal reference. The fluorescence signal ratio of the sensor increased with the TMX concentration, resulting in an obvious fluorescence color change from red to blue. The sensor exhibited a satisfactory limit of detection (LOD) of 13.5 nM in fluorescence analysis while LOD of 70.1 nM in visual determination. In addition, the sensing system was validated using food and environment samples, exhibiting recoveries from 91.40% to 105.7%, indicating excellent reliability for TMX detection in actual samples. Thus, the sensing system developed in this study offered promising prospects for visual detection of pesticide residues in complex environmental samples.</t>
  </si>
  <si>
    <t>[Dai, Yin; Xu, Wei; Zheng, Yani; Fan, Huizhu; Zhang, Jun; Fei, Jianwen; Zhu, Wanying; Hong, Junli] Nanjing Med Univ, Sch Pharm, Nanjing 211166, Jiangsu, Peoples R China; [Hong, Junqiang] Fujian Med Univ, Dept Radiotherapy, Affiliated Xiamen Humanity Hosp, Xiamen 361000, Fujian, Peoples R China</t>
  </si>
  <si>
    <t>Nanjing Medical University; Fujian Medical University</t>
  </si>
  <si>
    <t>Hong, JL (corresponding author), Nanjing Med Univ, Sch Pharm, Nanjing 211166, Jiangsu, Peoples R China.</t>
  </si>
  <si>
    <t>junlihong@njmu.edu.cn</t>
  </si>
  <si>
    <t>Medical Research Foundation of JiangsuCommission of Health [Z2020009]; China Postdoctoral Science Foundation [2017M621789]; National Natural Science Foun-dation of China [81202853]</t>
  </si>
  <si>
    <t>Medical Research Foundation of JiangsuCommission of Health; China Postdoctoral Science Foundation(China Postdoctoral Science Foundation); National Natural Science Foun-dation of China(National Natural Science Foundation of China (NSFC))</t>
  </si>
  <si>
    <t>Acknowledgment This work was supported by Medical Research Foundation of JiangsuCommission of Health (No. Z2020009) , China Postdoctoral Science Foundation (No. 2017M621789) and National Natural Science Foun-dation of China (No. 81202853) .</t>
  </si>
  <si>
    <t>ELSEVIER ADVANCED TECHNOLOGY</t>
  </si>
  <si>
    <t>OXFORD FULFILLMENT CENTRE THE BOULEVARD, LANGFORD LANE, KIDLINGTON, OXFORD OX5 1GB, OXON, ENGLAND</t>
  </si>
  <si>
    <t>0956-5663</t>
  </si>
  <si>
    <t>1873-4235</t>
  </si>
  <si>
    <t>BIOSENS BIOELECTRON</t>
  </si>
  <si>
    <t>Biosens. Bioelectron.</t>
  </si>
  <si>
    <t>10.1016/j.bios.2023.115559</t>
  </si>
  <si>
    <t>Biophysics; Biotechnology &amp; Applied Microbiology; Chemistry, Analytical; Electrochemistry; Nanoscience &amp; Nanotechnology</t>
  </si>
  <si>
    <t>Biophysics; Biotechnology &amp; Applied Microbiology; Chemistry; Electrochemistry; Science &amp; Technology - Other Topics</t>
  </si>
  <si>
    <t>P6VO7</t>
  </si>
  <si>
    <t>WOS:001052034700001</t>
  </si>
  <si>
    <t>Fischer, ML; Parazoo, N; Brophy, K; Cui, XG; Jeong, S; Liu, JJ; Keeling, R; Taylor, TE; Gurney, K; Oda, T; Graven, H</t>
  </si>
  <si>
    <t>Fischer, Marc L.; Parazoo, Nicholas; Brophy, Kieran; Cui, Xinguang; Jeong, Seongeun; Liu, Junjie; Keeling, Ralph; Taylor, Thomas E.; Gurney, Kevin; Oda, Tomohiro; Graven, Heather</t>
  </si>
  <si>
    <t>Simulating estimation of California fossil fuel and biosphere carbon dioxide exchanges combining in situ tower and satellite column observations</t>
  </si>
  <si>
    <t>JOURNAL OF GEOPHYSICAL RESEARCH-ATMOSPHERES</t>
  </si>
  <si>
    <t>fossil fuel; biosphere; emissions; carbon dioxide; simulation; inversion</t>
  </si>
  <si>
    <t>CO2 EMISSIONS; PERFORMANCE; (CO2)-C-14; MISSION; FLUXES</t>
  </si>
  <si>
    <t>We report simulation experiments estimating the uncertainties in California regional fossil fuel and biosphere CO2 exchanges that might be obtained by using an atmospheric inverse modeling system driven by the combination of ground-based observations of radiocarbon and total CO2, together with column-mean CO2 observations from NASA's Orbiting Carbon Observatory (OCO-2). The work includes an initial examination of statistical uncertainties in prior models for CO2 exchange, in radiocarbon-based fossil fuel CO2 measurements, in OCO-2 measurements, and in a regional atmospheric transport modeling system. Using these nominal assumptions for measurement and model uncertainties, we find that flask measurements of radiocarbon and total CO2 at 10 towers can be used to distinguish between different fossil fuel emission data products for major urban regions of California. We then show that the combination of flask and OCO-2 observations yields posterior uncertainties in monthly-mean fossil fuel emissions of similar to 5-10%, levels likely useful for policy relevant evaluation of bottom-up fossil fuel emission estimates. Similarly, we find that inversions yield uncertainties in monthly biosphere CO2 exchange of similar to 6%-12%, depending on season, providing useful information on net carbon uptake in California's forests and agricultural lands. Finally, initial sensitivity analysis suggests that obtaining the above results requires control of systematic biases below approximately 0.5ppm, placing requirements on accuracy of the atmospheric measurements, background subtraction, and atmospheric transport modeling.</t>
  </si>
  <si>
    <t>[Fischer, Marc L.; Cui, Xinguang; Jeong, Seongeun] Lawrence Berkeley Natl Lab, Berkeley, CA 94720 USA; [Parazoo, Nicholas] CALTECH, Jet Prop Lab, Pasadena, CA USA; [Brophy, Kieran; Graven, Heather] Imperial Coll London, Dept Phys, London, England; [Liu, Junjie] Jet Prop Lab, Pasadena, CA USA; [Keeling, Ralph] Univ Calif San Diego, Scripps Inst Oceanog, La Jolla, CA 92093 USA; [Taylor, Thomas E.] Colorado State Univ, Cooperat Inst Res Atmosphere, Ft Collins, CO 80523 USA; [Gurney, Kevin] Arizona State Univ, Sch Life Sci, Tucson, AZ USA; [Oda, Tomohiro] NASA, Goddard Space Flight Ctr, Global Modeling &amp; Assimilat Off, Greenbelt, MD USA; [Oda, Tomohiro] Univ Space Res Assoc, Goddard Earth Sci Technol &amp; Res, Columbia, MD USA</t>
  </si>
  <si>
    <t>United States Department of Energy (DOE); Lawrence Berkeley National Laboratory; National Aeronautics &amp; Space Administration (NASA); NASA Jet Propulsion Laboratory (JPL); California Institute of Technology; Imperial College London; National Aeronautics &amp; Space Administration (NASA); NASA Jet Propulsion Laboratory (JPL); University of California System; University of California San Diego; Scripps Institution of Oceanography; Colorado State University System; Colorado State University Fort Collins; Arizona State University; National Aeronautics &amp; Space Administration (NASA); NASA Goddard Space Flight Center; Universities Space Research Association (USRA)</t>
  </si>
  <si>
    <t>Fischer, ML (corresponding author), Lawrence Berkeley Natl Lab, Berkeley, CA 94720 USA.</t>
  </si>
  <si>
    <t>mlfischer@lbl.gov</t>
  </si>
  <si>
    <t>Liu, Junjie/F-5739-2017; Oda, Tomohiro/AAC-8565-2019; Parazoo, Nicholas/R-7139-2017; Taylor, Tommy/E-2544-2016</t>
  </si>
  <si>
    <t>Graven, Heather/0000-0003-3934-2502; Parazoo, Nicholas/0000-0002-4165-4532; gurney, kevin/0000-0001-9218-7164; Oda, Tomohiro/0000-0002-8328-3020; Brophy, Kieran/0000-0001-9546-6468</t>
  </si>
  <si>
    <t>NASA CMS program under U.S. Department of Energy [NNH13ZDA001N, DE-AC02-05CH11231]</t>
  </si>
  <si>
    <t>NASA CMS program under U.S. Department of Energy</t>
  </si>
  <si>
    <t>We gratefully acknowledge Jim Collatz and Andrew Jacobson for producing the CASA and Carbon Tracker biosphere CO2 exchanges used in this work and for insightful comments on the manuscript. We also thank John Lin, Christoph Gerbig, Steve Wofsy, Janusz Eluszkiewicz, and Thomas Nehrkorn for making the STILT code publicly available; Krishna Muriki for assistance running the WRF-STILT models on the LBNL-Lawrencium cluster; and two anonymous reviewers for valuable suggestions that improved the paper. All prior CO2 emission models used in this simulation study are available on websites listed in the references. Simulated CO2 signals calculated with Vulcan and CASA biosphere CO2 fluxes for OCO-2 and tower receptors are being made available at the Oak Ridge DAC (https://doi.org/10.3334/ORNLDAAC/1381). This study was supported by the NASA CMS program (NNH13ZDA001N) under U.S. Department of Energy contract DE-AC02-05CH11231.</t>
  </si>
  <si>
    <t>2169-897X</t>
  </si>
  <si>
    <t>2169-8996</t>
  </si>
  <si>
    <t>J GEOPHYS RES-ATMOS</t>
  </si>
  <si>
    <t>J. Geophys. Res.-Atmos.</t>
  </si>
  <si>
    <t>MAR 27</t>
  </si>
  <si>
    <t>10.1002/2016JD025617</t>
  </si>
  <si>
    <t>ES6KC</t>
  </si>
  <si>
    <t>WOS:000399655200027</t>
  </si>
  <si>
    <t>Hetland, J; Yowargana, P; Leduc, S; Kraxner, F</t>
  </si>
  <si>
    <t>Hetland, Jens; Yowargana, Ping; Leduc, Sylvain; Kraxner, Florian</t>
  </si>
  <si>
    <t>Carbon-negative emissions: Systemic impacts of biomass conversion A case study on CO2 capture and storage options</t>
  </si>
  <si>
    <t>Biopower; Bioenergy; BECCS; CO2 capture; CCS; Co-firing; Efficiency; CO2 mitigation; Negative emissions</t>
  </si>
  <si>
    <t>This paper is a contribution to the ongoing debate on carbon-negative energy solutions. It deals with biomass conversion in dedicated biopower plants equipped with CCS (BECCS), or co-fired plants retrofitted with CCS in order to generate negative CO2-emissions. In this context, bioenergy refers to the use of biomass to generate electricity (i.e. biopower) in compliance with the needs of nations and regions without seasonal space heating demand. In this paper, direct-fired and co-fired systems will be addressed, combined mainly with post-combustion flue gas cleaning. The question is which CCS alternative should be preferred in order to obtain negative emissions: either building multiple smaller biopower units, or employing co-firing of biomass and coal in existing large coal power plants. Based on efficacy and the potential for mitigating greenhouse gas emissions as key indicators, some major differences between the alternatives are shown. In the event that a coal power plant equipped with CCS is readily available, more net electric energy (in MWh) can be provided from the feedstock of biomass than would be obtainable from an independent BECCS plant, although the amount of CO2 captured and stored from the biomass (per tonne) will be essentially the same. Further case-specific cost-benefit analyses will be required to determine the feasibility of carbon-negative energy solutions. Although the study is carried out from the perspective of actual biomass sources as regards biomass composition and available technology (i.e. expected efficiency levels) using Indonesian agricultural residues, its main conclusion is fairly general. (C) 2016 Elsevier Ltd. All rights reserved.</t>
  </si>
  <si>
    <t>[Hetland, Jens] SINTEF Energy Res, Trondheim, Norway; [Yowargana, Ping; Leduc, Sylvain; Kraxner, Florian] IIASA, ESM, Laxenburg, Austria</t>
  </si>
  <si>
    <t>SINTEF; International Institute for Applied Systems Analysis (IIASA)</t>
  </si>
  <si>
    <t>Hetland, J (corresponding author), SINTEF Energy Res, Trondheim, Norway.</t>
  </si>
  <si>
    <t>jens.hetland@sintef.no</t>
  </si>
  <si>
    <t>Leduc, Sylvain/LZG-9520-2025</t>
  </si>
  <si>
    <t>Kraxner, Florian/0000-0003-3832-6236; Yowargana, Ping/0000-0002-4854-0044; Leduc, Sylvain/0000-0002-6923-7650</t>
  </si>
  <si>
    <t>10.1016/j.ijggc.2016.03.017</t>
  </si>
  <si>
    <t>DM6JZ</t>
  </si>
  <si>
    <t>WOS:000376459200031</t>
  </si>
  <si>
    <t>Dong, D; Yang, WC; Sun, H; Kong, S; Xu, H</t>
  </si>
  <si>
    <t>Dong, Dan; Yang, Weichao; Sun, Hao; Kong, Shuang; Xu, Hui</t>
  </si>
  <si>
    <t>Effects of animal manure and nitrification inhibitor on N2O emissions and soil carbon stocks of a maize cropping system in Northeast China</t>
  </si>
  <si>
    <t>NITROUS-OXIDE EMISSIONS; AGRICULTURAL SOILS; NO EMISSIONS; FERTILIZATION; FIELD; UREASE; YIELD; DMPP</t>
  </si>
  <si>
    <t>The incorporation of animal manure (AM) in soil plays an essential role in soil carbon sequestration but might induce higher soil nitrous oxide (N2O) emissions. The use of nitrification inhibitors (NI) is an effective strategy to abate N2O emission in agro-ecosystems. However, very few studies have evaluated the effectiveness of applying NI under the combined application of organic and inorganic fertilizers for increasing soil carbon sequestration and reducing N2O emissions simultaneously in Northeast China. Here, a four-year field experiment was conducted with three treatments [inorganic fertilizer (NPK), inorganic fertilizer + manure (NPKM), and inorganic fertilizer with NI + manure (NPKI + M)], in a rainfed maize cropping system in Northeast China. Plots of different treatments were kept in the same locations for 4 years. Gas samples were collected using the static closed chamber technique, and nitrous oxide (N2O) concentration in gas samples was quantified using a gas chromatograph. Soil organic carbon sequestration rate (SOCSR) was calculated based on the changes in SOC from April 2012 to October 2015. Averaged over the four years, AM incorporation significantly increased soil N2O emissions by 25.8% (p &lt; 0.05), compared to NPK treatment. DMPP (3,4-dimethylpyrazole phosphate) significantly decreased N2O emissions by 32.5% (p &lt; 0.05) relative to NPKM treatment. SOC content was significantly elevated by 24.1% in the NPKI + M treatment than the NPK treatment after four years of manure application (p &lt; 0.05). The annual topsoil SOCSR for the NPKM and NPKI + M treatments was 0.57 Mg ha(-1) yr(-1) and 1.02 Mg ha(-1) yr(-1), respectively, which were significantly higher than that of NPK treatment (- 0.61 Mg ha(-1) yr(-1), p &lt; 0.05). AM addition significantly increased the aboveground biomass and crop yields of maize in the fourth year. Overall, combined application of DMPP, inorganic fertilizer and AM is strongly recommended in this rainfed maize cropping system, which can increase maize yield and SOC sequestration rate, and mitigate N2O emission.</t>
  </si>
  <si>
    <t>[Dong, Dan; Yang, Weichao; Sun, Hao; Kong, Shuang; Xu, Hui] Chinese Acad Sci, Inst Appl Ecol, Key Lab Pollut Ecol &amp; Environm Engn, Shenyang 110016, Peoples R China; [Dong, Dan] Huaiyin Normal Univ, Jiangsu Collaborat Innovat Ctr Reg Modern Agr &amp; E, Jiangsu Key Lab Ecoagr Biotechnol Hongze Lake, Huaian 223300, Peoples R China; [Dong, Dan] Univ Chinese Acad Sci, Beijing 100049, Peoples R China</t>
  </si>
  <si>
    <t>Chinese Academy of Sciences; Shenyang Institute of Applied Ecology, CAS; Huaiyin Normal University; Chinese Academy of Sciences; University of Chinese Academy of Sciences, CAS</t>
  </si>
  <si>
    <t>Xu, H (corresponding author), Chinese Acad Sci, Inst Appl Ecol, Key Lab Pollut Ecol &amp; Environm Engn, Shenyang 110016, Peoples R China.</t>
  </si>
  <si>
    <t>xuhui@iae.ac.cn</t>
  </si>
  <si>
    <t>dong, Dong/JFJ-3808-2023</t>
  </si>
  <si>
    <t>Non-Profit Research Foundation for Agriculture [201103039]; Open Research Project of Shouguang Facilities Agriculture Center in Institute of Applied Ecology [2018SG-S-02]; National Natural Science Foundation of China [41701300]; Natural Science Research Programme of Huai'an [HAB202055]; Huai'an Excellent Youth Science Foundation</t>
  </si>
  <si>
    <t>Non-Profit Research Foundation for Agriculture; Open Research Project of Shouguang Facilities Agriculture Center in Institute of Applied Ecology; National Natural Science Foundation of China(National Natural Science Foundation of China (NSFC)); Natural Science Research Programme of Huai'an; Huai'an Excellent Youth Science Foundation</t>
  </si>
  <si>
    <t>This study was financially supported by the Non-Profit Research Foundation for Agriculture (201103039), Open Research Project of Shouguang Facilities Agriculture Center in Institute of Applied Ecology (2018SG-S-02) and the National Natural Science Foundation of China (41701300), the Natural Science Research Programme of Huai'an (HAB202055) and Huai'an Excellent Youth Science Foundation.</t>
  </si>
  <si>
    <t>SEP 8</t>
  </si>
  <si>
    <t>10.1038/s41598-022-19592-9</t>
  </si>
  <si>
    <t>4L1LH</t>
  </si>
  <si>
    <t>WOS:000852396300019</t>
  </si>
  <si>
    <t>He, HH; Zhang, ZH; Ding, RJ; Shi, Y</t>
  </si>
  <si>
    <t>He, Huanhuan; Zhang, Ziheng; Ding, Rijia; Shi, Ying</t>
  </si>
  <si>
    <t>Multi-driving paths for the coupling coordinated development of agricultural carbon emission reduction and sequestration and food security: A configurational analysis based on dynamic fsQCA</t>
  </si>
  <si>
    <t>Carbon emission reduction; Carbon sequestration; Food security; Coupling coordination; Dynamic fsQCA</t>
  </si>
  <si>
    <t>CLIMATE-CHANGE; CO2 EMISSIONS; CHINA; SYSTEMS; MITIGATION; SINK</t>
  </si>
  <si>
    <t>Exploring the coupling coordinated development of carbon emission reduction and sequestration (CERS) and food security in agriculture is conducive to mitigating climate change and achieving sustainable development goals. However, there is little research on the coupling coordinated development of these two systems. Based on panel data of 31 Chinese provinces from 2001 to 2021, this study used the dynamic fuzzy set qualitative comparative analysis (fsQCA) method to analyze the levels and driving paths of coupling coordinated development between agricultural CERS and food security. The results revealed that (1) the coupling coordination degree increased from 0.443 in 2001 to 0.489 in 2021, showing an upward trend. (2) We identified three driving paths of coupling coordination development: technology-driven, finance-driven and urban-development-driven. (3) The grain sown area and unit yield are core variables, serving as fundamental pillars, and their combination with technology or financial expenditure enhances this coordinated development. Notably, the grain sown area and unit yield exhibit a complementary relationship, while agricultural technology and financial expenditure demonstrate a substitution relationship. (4) Temporal analysis showed a consistent trend in the technologydriven and finance-driven paths. Regional analysis revealed marked heterogeneity: the technology-finance synergy path predominates in the remote west, the technology-driven path lies in the mountainous southwest, the finance-driven path clusters in the north, and the urban-development-driven path is located in economically advanced regions. Policymakers should formulate policies according to these different driving paths to promote coupling coordinated development.</t>
  </si>
  <si>
    <t>[He, Huanhuan; Zhang, Ziheng; Ding, Rijia; Shi, Ying] China Univ Min &amp; Technol Beijing, Sch Management, Beijing 100083, Peoples R China</t>
  </si>
  <si>
    <t>China University of Mining &amp; Technology</t>
  </si>
  <si>
    <t>Shi, Y (corresponding author), China Univ Min &amp; Technol Beijing, Sch Management, Beijing 100083, Peoples R China.</t>
  </si>
  <si>
    <t>shiying_cumtb@163.com</t>
  </si>
  <si>
    <t>Foundation, China [ZR2020QD055]</t>
  </si>
  <si>
    <t>Foundation, China</t>
  </si>
  <si>
    <t>This research is funded by the Natural Science Foundation of China (42206240); the China National Key R&amp;D Program (2022YFF0607404); the Shandong Provincial Natural Science Foundation, China (ZR2020QD055).r Foundation, China (ZR2020QD055) .</t>
  </si>
  <si>
    <t>10.1016/j.ecolind.2024.111875</t>
  </si>
  <si>
    <t>OH5T0</t>
  </si>
  <si>
    <t>WOS:001206401000001</t>
  </si>
  <si>
    <t>Luo, M; Shephard, MW; Cady-Pereira, KE; Henze, DK; Zhu, LY; Bash, JO; Pinder, RW; Capps, SL; Walker, JT; Jones, MR</t>
  </si>
  <si>
    <t>Luo, Ming; Shephard, Mark W.; Cady-Pereira, Karen E.; Henze, Daven K.; Zhu, Liye; Bash, Jesse O.; Pinder, Robert W.; Capps, Shannon L.; Walker, John T.; Jones, Matthew R.</t>
  </si>
  <si>
    <t>Satellite observations of tropospheric ammonia and carbon monoxide: Global distributions, regional correlations and comparisons to model simulations</t>
  </si>
  <si>
    <t>Satellite observations of carbon monoxide and ammonia; GEOS-Chem model simulations</t>
  </si>
  <si>
    <t>EMISSION SPECTROMETER; ATMOSPHERIC POLLUTANTS; HIGH-RESOLUTION; INTEX-B; TES; IASI; VARIABILITY; INVENTORY; DEPOSITION; TRANSPORT</t>
  </si>
  <si>
    <t>Ammonia (NH3) and carbon monoxide (CO) are primary pollutants emitted to the Earth's atmosphere from common as well as distinct sources associated with anthropogenic and natural activities. The seasonal and global distributions and correlations of NH3 and CO from the Tropospheric Emission Spectrometer (TES) satellite observations and GEOS-Chem model simulations for 2007 are investigated to evaluate how well the global and seasonal pollutant sources are prescribed in the model. Although the GEOS-Chem simulations of NH3 and CO atmospheric mixing ratio values are lower than the TES satellite observations, the global distribution patterns from the model reasonably agree with the observations, indicating that the model represents the general location of the source regions and the seasonal enhancements of NH3 and CO globally over large regional scales. In regions and seasons where biomass burning is the dominant source of both NH3 and CO emissions into the atmosphere, there are strong NH3:CO correlations, which is consistent with the relationship demonstrated by surface measurements over fires. In regions where the enhanced NH3 and CO are known to be produced by different sources, the NH3:CO correlations from TES observations and model simulations are weak or non-existent. For biomass burning regions the NH3:CO ratios are 0.015 (TES) and 0.013 (GEOS-Chem). In regions of high-population density, known heavy traffic, and limited biomass burning sources, such as the rapidly developing areas of South Asia and northern China, which include mixtures of megacities, industrial, and agricultural areas, the two species show weaker but still positive correlations and NH3:CO ratios of 0.051 (TES) and 0.036 (GEOS-Chem). These enhancement ratios of NH3 relative to CO are useful in constraining NH3 emission inventories when CO emission inventories are better known for some events or regions (i.e. biomass burning). (C) 2015 Elsevier Ltd. All rights reserved.</t>
  </si>
  <si>
    <t>[Luo, Ming] CALTECH, Jet Prop Lab, Pasadena, CA 91109 USA; [Shephard, Mark W.] Environm Canada, Toronto, ON, Canada; [Cady-Pereira, Karen E.] Atmospher &amp; Environm Res Inc, Lexington, MA USA; [Henze, Daven K.; Zhu, Liye] Univ Colorado, Boulder, CO 80309 USA; [Bash, Jesse O.; Pinder, Robert W.; Capps, Shannon L.; Walker, John T.; Jones, Matthew R.] US EPA, Res Triangle Pk, NC 27711 USA; [Jones, Matthew R.] Ctr Ecol &amp; Hydrol, Edinburgh, Midlothian, Scotland</t>
  </si>
  <si>
    <t>California Institute of Technology; National Aeronautics &amp; Space Administration (NASA); NASA Jet Propulsion Laboratory (JPL); Environment &amp; Climate Change Canada; Atmospheric &amp; Environmental Research; University of Colorado System; University of Colorado Boulder; United States Environmental Protection Agency; UK Centre for Ecology &amp; Hydrology (UKCEH)</t>
  </si>
  <si>
    <t>Luo, M (corresponding author), CALTECH, Jet Prop Lab, 4800 Oak Grove Dr, Pasadena, CA 91109 USA.</t>
  </si>
  <si>
    <t>Ming.Luo@jpl.nasa.gov</t>
  </si>
  <si>
    <t>Walker, John/I-8880-2014; Bash, Jesse/E-9688-2013; Zhu, Liye/Q-3083-2017; Jones, Matthew/A-1905-2010; Henze, Daven/A-1920-2012; Pinder, Robert/F-8252-2011; Capps, Shannon/H-7499-2013</t>
  </si>
  <si>
    <t>Walker, John/0000-0001-6034-7514; Capps, Shannon/0000-0002-6872-6604; Cady-Pereira, Karen/0000-0002-1386-3791; Bash, Jesse/0000-0001-8736-0102; Jones, Matthew Richard/0000-0002-2006-8809</t>
  </si>
  <si>
    <t>Jet Propulsion Laboratory, California Institute of Technology under contract to the National Aeronautics and Space Administration (NASA); NASA ACMAP [NNX10AG63G]; EPA-STAR [RD83455901]; Research Participation Program at the U.S. EPA; NASA [NNX10AG63G, 133849] Funding Source: Federal RePORTER</t>
  </si>
  <si>
    <t>Jet Propulsion Laboratory, California Institute of Technology under contract to the National Aeronautics and Space Administration (NASA); NASA ACMAP(National Aeronautics &amp; Space Administration (NASA)); EPA-STAR(United States Environmental Protection Agency); Research Participation Program at the U.S. EPA; NASA(National Aeronautics &amp; Space Administration (NASA))</t>
  </si>
  <si>
    <t>Research was partially supported by the Jet Propulsion Laboratory, California Institute of Technology under contract to the National Aeronautics and Space Administration (NASA). We also recognize support from NASA ACMAP NNX10AG63G and EPA-STAR RD83455901. SC was supported by an appointment to the Research Participation Program at the U.S. EPA, administered by the Oak Ridge Institute for Science and Education. Although this paper has been reviewed by EPA and approved for publication, it does not necessarily reflect official EPA agency views or policies.</t>
  </si>
  <si>
    <t>10.1016/j.atmosenv.2015.02.007</t>
  </si>
  <si>
    <t>CE6RR</t>
  </si>
  <si>
    <t>WOS:000351966200026</t>
  </si>
  <si>
    <t>Manninen, N; Kanerva, S; Lemola, R; Turtola, E; Soinne, H</t>
  </si>
  <si>
    <t>Manninen, Noora; Kanerva, Sanna; Lemola, Riitta; Turtola, Eila; Soinne, Helena</t>
  </si>
  <si>
    <t>Contribution of water erosion to organic carbon and total nitrogen loads in agricultural discharge from boreal mineral soils</t>
  </si>
  <si>
    <t>Cultivation practices; Dissolved loads; Sediment loads; Subsurface drainage; Surface runoff; Carbon budget</t>
  </si>
  <si>
    <t>SURFACE RUNOFF; LAND-USE; PHOSPHORUS TRANSPORT; INTERRILL EROSION; SUSPENDED-SOLIDS; FINNISH RIVERS; NO-TILL; MATTER; CATCHMENT; LOSSES</t>
  </si>
  <si>
    <t>While organic carbon (OC) in agricultural mineral soils is widely studied in terms of soil carbon sequestration and gaseous emissions, discharge-induced OC loss from soil is still poorly understood and estimations of boreal soil OC loads within water erosion are lacking. Loss of organic matter from arable soils is a concern for surface water quality, climate change and soil productivity. The main aim of this study was to quantify the role of water erosion in total OC and nitrogen (N) loads exported in agricultural discharge from boreal mineral soils under various cultivation practices. Surface water and subsurface drainage were collected near-continually over 2 years in two clayey and one sandy soil in Finland. Eroded sediment was mechanically separated by centrifugation from all discharge samples to detect sediment OC% and N% by dry-combustion method. Dissolved OC and N con-centrations in selected discharge samples were measured with high-temperature catalytic oxidation of unfiltered supernatant. A multiple linear regression model was used to study the significant factors affecting dissolved, sediment and total OC loads. In the clayey soils, the sediment OC (2-24 kg ha- 1 y-1) and N (0.2-1.1 kg ha- 1 y-1) export accounted for up to 35 % and 20 % of the annual discharge-induced total loads of OC (19-85 kg ha -1) and N (2-8 kg ha -1), respectively. In the sandy soil, erosion was negligible and dissolved loads of 17-35 kg OC ha- 1 y- 1and 4-7 kg N ha- 1 y-1 were detected. Subsurface drainage exported most of the sediment-associated OC and N loads from clayey soils. For the total OC loads, the distribution varied between the discharge routes, while the total N loads were mostly exported in subsurface drainage in both soil types. Sediment OC and N exports were related to soil plowing and discharge intensity, while dissolved OC loss was promoted by high surface soil OC%. Our results also indicated that a single cultivation practice may affect sediment and dissolved loads in opposite ways. These findings can be used to complement carbon budget estimations for mineral agricultural soils, and to assess soil management effects on terrestrial organic matter loading to boreal surface waters.</t>
  </si>
  <si>
    <t>[Manninen, Noora; Kanerva, Sanna] Univ Helsinki, Dept Agr Sci, Unit Environm Soil Sci, POB 56,Viikinkaari 9, FI-00014 Helsinki, Finland; [Lemola, Riitta; Turtola, Eila] Nat Resources Inst Finland, Tietotie 4, FI-31600 Jokioinen, Finland; [Soinne, Helena] Nat Resources Inst Finland, Latokartanonkaari 9, FI-00790 Helsinki, Finland</t>
  </si>
  <si>
    <t>University of Helsinki; Natural Resources Institute Finland (Luke); Natural Resources Institute Finland (Luke)</t>
  </si>
  <si>
    <t>Manninen, N (corresponding author), Univ Helsinki, Dept Agr Sci, Unit Environm Soil Sci, POB 56,Viikinkaari 9, FI-00014 Helsinki, Finland.</t>
  </si>
  <si>
    <t>noora.manninen@helsinki.fi</t>
  </si>
  <si>
    <t>Kanerva, Sanna Mari/0000-0002-2307-4892; Manninen, Noora/0000-0001-7371-6702</t>
  </si>
  <si>
    <t>Maj and Tor Nessling Foundation [201500181, 201600017, 201700122]; Jenny and Antti Wihuri Foundation; Marjatta ja Eino Kollin [1093, 20190058, 20220131]; Maa- ja vesitekniikan tuki ry [14-8735-19]; August Johannes ja Aino Tiuran maatalouden [625, 327236]; University of Helsinki; Helsinki Vocational College and Adult Institute; Academy of Finland (AKA) [327236] Funding Source: Academy of Finland (AKA)</t>
  </si>
  <si>
    <t>Maj and Tor Nessling Foundation; Jenny and Antti Wihuri Foundation; Marjatta ja Eino Kollin; Maa- ja vesitekniikan tuki ry; August Johannes ja Aino Tiuran maatalouden; University of Helsinki(University of Helsinki); Helsinki Vocational College and Adult Institute; Academy of Finland (AKA)(Research Council of Finland)</t>
  </si>
  <si>
    <t>This study was funded by the Maj and Tor Nessling Foundation (grant numbers 201500181, 201600017, 201700122) , the Jenny and Antti Wihuri Foundation, the Marjatta ja Eino Kollin Saatio Foundation (grant number 1093) , Oiva Kuusisto Saatiosr (grant numbers 20190058, 20220131) , Maa ja vesitekniikan tuki ry (grant number 14-8735-19) , and August Johannes ja Aino Tiuran maatalouden tutkimussaatio (grant number 625) , as well as the Strategic Research Council at the Academy of Finland (Multi -benefit solutions to climate-smart agriculture, MULTA) (grant number 327236) . The study was also supported by the Natural Resources Institute Finland in maintaining and managing the experimental sites, collecting the discharge samples, and conducting part of the laboratory analyses. The University of Helsinki provided the laboratory, data-analysis and writing facilities. The authors would like to thank Ilona Kerovuori and Ilkka Olkkonen, as well as laboratory trainees from the Helsinki Vocational College and Adult Institute and Omnia-the Joint Authority of Education in the Espoo Region-for their contribution to the laboratory analysis. We are also grateful for the help of Cathryn Primrose-Mathisen for reviewing the language in the manuscript. She was not responsible for reviewing the final version.</t>
  </si>
  <si>
    <t>10.1016/j.scitotenv.2023.167300</t>
  </si>
  <si>
    <t>W0OE3</t>
  </si>
  <si>
    <t>WOS:001088703200001</t>
  </si>
  <si>
    <t>Zomer, RJ; Neufeldt, H; Xu, JC; Ahrends, A; Bossio, D; Trabucco, A; van Noordwijk, M; Wang, MC</t>
  </si>
  <si>
    <t>Zomer, Robert J.; Neufeldt, Henry; Xu, Jianchu; Ahrends, Antje; Bossio, Deborah; Trabucco, Antonio; van Noordwijk, Meine; Wang, Mingcheng</t>
  </si>
  <si>
    <t>Global Tree Cover and Biomass Carbon on Agricultural Land: The contribution of agroforestry to global and national carbon budgets</t>
  </si>
  <si>
    <t>SEQUESTRATION; UNCERTAINTY; ARGENTINA; SCALE</t>
  </si>
  <si>
    <t>Agroforestry systems and tree cover on agricultural land make an important contribution to climate change mitigation, but are not systematically accounted for in either global carbon budgets or national carbon accounting. This paper assesses the role of trees on agricultural land and their significance for carbon sequestration at a global level, along with recent change trends. Remote sensing data show that in 2010, 43% of all agricultural land globally had at least 10% tree cover and that this has increased by 2% over the previous ten years. Combining geographically and bioclimatically stratified Intergovernmental Panel on Climate Change (IPCC) Tier 1 default estimates of carbon storage with this tree cover analysis, we estimated 45.3 PgC on agricultural land globally, with trees contributing &gt;75%. Between 2000 and 2010 tree cover increased by 3.7%, resulting in an increase of &gt;2 PgC (or 4.6%) of biomass carbon. On average, globally, biomass carbon increased from 20.4 to 21.4 tC ha(-1). Regional and country-level variation in stocks and trends were mapped and tabulated globally, and for all countries. Brazil, Indonesia, China and India had the largest increases in biomass carbon stored on agricultural land, while Argentina, Myanmar, and Sierra Leone had the largest decreases.</t>
  </si>
  <si>
    <t>[Zomer, Robert J.; Xu, Jianchu; Wang, Mingcheng] Chinese Acad Sci, Kunming Inst Bot, Key Lab Plant Divers &amp; Biogeog East Asia KLPB, Kunming 650201, Yunnan, Peoples R China; [Zomer, Robert J.; Xu, Jianchu] World Agroforestry Ctr ICRAF, East &amp; Cent Asia Reg, Ctr Mt Ecosyst Studies, Kunming 650201, Peoples R China; [Neufeldt, Henry] World Agroforestry Ctr ICRAF, Nairobi, Kenya; [Ahrends, Antje] Royal Bot Garden Edinburgh, 20A Inverleith Row, Edinburgh EH3 5LR, Midlothian, Scotland; [Bossio, Deborah] CIAT, Div Soils, Nairobi, Kenya; [Trabucco, Antonio] Euromediterranean Ctr Climate Change, IAFES Div, Sassari, Italy; [Trabucco, Antonio] Univ Sassari, Dept Sci Nat &amp; Environm Resources DIPNET, Via De Nicola 9, I-07100 Sassari, Italy; [van Noordwijk, Meine] World Agroforestry Ctr ICRAF, Southeast Asia Reg Off, Bogor, Indonesia; [van Noordwijk, Meine] Wageningen Univ &amp; Res, Plant Prod Syst, Wageningen, Netherlands</t>
  </si>
  <si>
    <t>Chinese Academy of Sciences; Kunming Institute of Botany, CAS; CGIAR; World Agroforestry (ICRAF); Alliance; International Center for Tropical Agriculture - CIAT; Centro Euro-Mediterraneo sui Cambiamenti Climatici (CMCC); University of Sassari; Wageningen University &amp; Research</t>
  </si>
  <si>
    <t>Xu, JC (corresponding author), Chinese Acad Sci, Kunming Inst Bot, Key Lab Plant Divers &amp; Biogeog East Asia KLPB, Kunming 650201, Yunnan, Peoples R China.;Xu, JC (corresponding author), World Agroforestry Ctr ICRAF, East &amp; Cent Asia Reg, Ctr Mt Ecosyst Studies, Kunming 650201, Peoples R China.</t>
  </si>
  <si>
    <t>J.C.Xu@cgiar.org</t>
  </si>
  <si>
    <t>Xu, Jianchu/Y-2890-2019; Zomer, Robert/AGZ-2675-2022; Trabucco, Antonio/A-7412-2009; van Noordwijk, Meine/C-3338-2008; van Noordwijk, Meine/JRX-7633-2023</t>
  </si>
  <si>
    <t>Trabucco, Antonio/0000-0002-0743-3680; van Noordwijk, Meine/0000-0002-7791-4703; Zomer, Robert/0000-0002-2259-3359</t>
  </si>
  <si>
    <t>National Key Basic Research Program of China [2014CB954100]; National Science Foundation China [31270524]; CGIAR Research Program on Forests, Trees and Agroforestry [CRP6]; CGIAR Research Program on Climate Change, Agriculture, and Food Security [CRP 7]</t>
  </si>
  <si>
    <t>National Key Basic Research Program of China(National Basic Research Program of China); National Science Foundation China(National Natural Science Foundation of China (NSFC)); CGIAR Research Program on Forests, Trees and Agroforestry(CGIAR); CGIAR Research Program on Climate Change, Agriculture, and Food Security(CGIAR)</t>
  </si>
  <si>
    <t>Research partly supported by the National Key Basic Research Program of China (Grant No. 2014CB954100), and National Science Foundation China (Grant No. 31270524). Additional support was also provided from the CGIAR Research Programs on Forests, Trees and Agroforestry (CRP6) and Climate Change, Agriculture, and Food Security (CRP 7). We also express our gratitude to the Carbon Dioxide Information Analysis Center (CDIAC) Oakridge National Laboratory and the authors of the New IPCC Tier 1 Global Biomass Carbon Map 48 for providing online the valuable data used in this analysis.</t>
  </si>
  <si>
    <t>10.1038/srep29987</t>
  </si>
  <si>
    <t>DR5CC</t>
  </si>
  <si>
    <t>WOS:000379919600001</t>
  </si>
  <si>
    <t>Zhang, JL; Liu, WZ; Wu, HQ; Xie, L; Liu, SH</t>
  </si>
  <si>
    <t>Zhang, Jianlong; Liu, Weizhong; Wu, Hongqi; Xie, Ling; Liu, Suhong</t>
  </si>
  <si>
    <t>Carbon-Oriented Eco-Efficiency of Cultivated Land Utilization Under Different Ownership Structures: Evidence from Arid Oases in Northwest China</t>
  </si>
  <si>
    <t>eco-efficiency of cultivated land utilization; random forest regression model; cultivated land carbon emission; land ownership; Super-SBM; oases in arid areas</t>
  </si>
  <si>
    <t>INTENSIFICATION; EMISSIONS; IMPACT</t>
  </si>
  <si>
    <t>Cultivated land (CL) is essential for human survival, as its coordinated utilization plays a crucial role in both food production and ecological protection. In this study, we focus on Aksu, a typical oasis in arid areas of Xinjiang, to explore how to improve the eco-efficiency of cultivated land utilization (ECLU) from the perspective of carbon emissions under different ownership structures. The goal is to provide policy support for the sustainable intensification of CL in Aksu. The super-efficiency slack-based measure (Super-SBM) model was used to calculate the ECLU, while the carbon emissions coefficient method was employed to estimate cultivated land carbon emissions (CLCE). Additionally, the random forest regression (RFR) model was utilized to analyze differences in CLCE between collective and state-owned cultivated lands. Finally, a Geo-detector analysis was conducted to identify driving factors of CLCE. The findings indicate that the overall ECLU values in Aksu initially increased and subsequently decreased over time. During the study period, Kalpin showed the highest ECLU, followed by Wensu and Wushi. The total CLCE in Aksu demonstrated an initial increase followed by a decrease, but the overall trend was growth, from 3.7 t in 2008 to 5.63 t in 2019, on average. It was observed that carbon emissions from state-owned cultivated land were greater than those from collective cultivated land, and carbon emissions from non-food crops were higher than those from food crops. Furthermore, spatial heterogeneity was evident in the CLCE. The single factor detection results showed that the Local_GDP (q = 0.763, representing the explanatory power of the Local_GDP on cultivated land carbon emissions) was identified as the main driver of CLCE in Aksu. The interactive detection results indicated that the Local_GDP and Farmer income (0.839) had stronger effects on CLCE in Aksu than any other two factors. It was also found that ownership of CL directly affects CLCE and indirectly affects the ECLU. In conclusion, it is necessary to formulate corresponding countermeasures for improving the ECLU involving government intervention, as well as cooperation with farmers and other stakeholders, to address these issues effectively within Aksu's agricultural sector.</t>
  </si>
  <si>
    <t>[Zhang, Jianlong; Liu, Weizhong] Xinjiang Agr Univ, Coll Econ &amp; Management, Urumqi 830052, Peoples R China; [Wu, Hongqi] Xinjiang Agr Univ, Coll Resources &amp; Environm, Urumqi 830052, Peoples R China; [Xie, Ling] Guangxi Normal Univ, Guangxi Key Lab Landscape Resources Conservat &amp; Su, Guilin 541001, Peoples R China; [Xie, Ling] Guangxi Normal Univ, Coll Environm &amp; Resources, Guilin 541001, Peoples R China; [Liu, Suhong] Beijing Normal Univ, Dept Geog, Beijing 100875, Peoples R China</t>
  </si>
  <si>
    <t>Xinjiang Agricultural University; Xinjiang Agricultural University; Guangxi Normal University; Guangxi Normal University; Beijing Normal University</t>
  </si>
  <si>
    <t>Liu, WZ (corresponding author), Xinjiang Agr Univ, Coll Econ &amp; Management, Urumqi 830052, Peoples R China.;Xie, L (corresponding author), Guangxi Normal Univ, Guangxi Key Lab Landscape Resources Conservat &amp; Su, Guilin 541001, Peoples R China.;Xie, L (corresponding author), Guangxi Normal Univ, Coll Environm &amp; Resources, Guilin 541001, Peoples R China.</t>
  </si>
  <si>
    <t>xl_0773@stu.xju.edu.cn; lzw12045@xjau.edu.cn; xl_humgeo@mailbox.gxnu.edu.cn</t>
  </si>
  <si>
    <t>Natural Science Foundation of Guangxi [2021JJA150154]; Emergency Management Joint Innovative Science and Technology project of Guangxi [2024GXYJ043]; National Natural Science Foundation of China [42293272]; Social Science Foundation of Guangxi [24SHB002]</t>
  </si>
  <si>
    <t>Natural Science Foundation of Guangxi(National Natural Science Foundation of Guangxi Province); Emergency Management Joint Innovative Science and Technology project of Guangxi; National Natural Science Foundation of China(National Natural Science Foundation of China (NSFC)); Social Science Foundation of Guangxi</t>
  </si>
  <si>
    <t>This work was supported by the National Natural Science Foundation of China (42293272); the Natural Science Foundation of Guangxi (2021JJA150154); the Social Science Foundation of Guangxi (24SHB002); and the Emergency Management Joint Innovative Science and Technology project of Guangxi (2024GXYJ043).</t>
  </si>
  <si>
    <t>OCT 22</t>
  </si>
  <si>
    <t>10.3390/su17219369</t>
  </si>
  <si>
    <t>9RH0I</t>
  </si>
  <si>
    <t>WOS:001613145500001</t>
  </si>
  <si>
    <t>Kämpf, I; Hölzel, N; Störrle, M; Broll, G; Kiehl, K</t>
  </si>
  <si>
    <t>Kaempf, Immo; Hoelzel, Norbert; Stoerrle, Maria; Broll, Gabriele; Kiehl, Kathrin</t>
  </si>
  <si>
    <t>Potential of temperate agricultural soils for carbon sequestration: A meta-analysis of land-use effects</t>
  </si>
  <si>
    <t>SOC; Carbon sequestration; Agricultural abandonment; Ex-arable; No-till farming; Grassland restoration</t>
  </si>
  <si>
    <t>ORGANIC-MATTER DECOMPOSITION; PHYSICAL PROTECTION; CLIMATE-CHANGE; DYNAMICS; NITROGEN; MANAGEMENT; TILLAGE; IMPACTS; STORAGE; RUSSIA</t>
  </si>
  <si>
    <t>Restoring depleted soil organic carbon (SOC) stocks of arable land to remove carbon from the atmosphere and offset fossil fuel emissions is a promising strategy for the mitigation of climate change. In agroecosystems conservational tillage practices and the abandonment of formerly plowed fields (ex-arable land) are shown to have the highest potential to sequester SOC. Nevertheless reported sequestration rates vary and the effects of environmental site conditions remain poorly understood. Our results are based on a meta-analysis of 273 paired SOC estimates from 65 publications which included only mineral soils from the temperate zone. SOC stocks of ex-arable grasslands with an average of 14 years since abandonment were 18% larger compared to the SOC of arable land. Likewise, SOC stocks of never-plowed grassland plots were 11% larger than the SOC stocks of abandoned fields. The average sequestration rate was 0.72 t C ha(-1) yr(-1). Semi-arid and sub-humid climate as well as low initial SOC stocks positively affected proportional SOC gains suggesting that the recovery of carbon stocks is not limited by low primary production. Therefore, the northward shift of cultivation areas in the temperate zone will lead to the abandonment of soils with high SOC recovery potential. However, if native soils are opened up elsewhere to compensate for yield losses due to abandonment the surplus of SOC in ex-arable land can easily be overcompensated by cultivation losses. (C) 2016 Elsevier B.V. All rights reserved.</t>
  </si>
  <si>
    <t>[Kaempf, Immo; Kiehl, Kathrin] Osnabruck Univ Appl Sci, Fac Agr Sci &amp; Landscape Architecture, Oldenburger Landstr 24, D-49090 Osnabruck, Germany; [Hoelzel, Norbert] Univ Munster, Inst Landscape Ecol, Heisenbergstr 2, D-48149 Munster, Germany; [Stoerrle, Maria; Broll, Gabriele] Univ Osnabruck, Inst Geog, Seminarstr 19 A-B, D-49074 Osnabruck, Germany</t>
  </si>
  <si>
    <t>University of Munster; University Osnabruck</t>
  </si>
  <si>
    <t>Kämpf, I (corresponding author), Univ Munster, Inst Landscape Ecol, Heisenbergstr 2, D-48149 Munster, Germany.</t>
  </si>
  <si>
    <t>immokaempf@uni-muenster.de</t>
  </si>
  <si>
    <t>Hölzel, Norbert/H-8753-2013</t>
  </si>
  <si>
    <t>Hölzel, Norbert/0000-0002-6367-3400; Kiehl, Kathrin/0000-0003-3931-187X</t>
  </si>
  <si>
    <t>German Government, Federal Ministry of Education and Research within their Sustainable Land Management funding framework [01LL0906D]</t>
  </si>
  <si>
    <t>German Government, Federal Ministry of Education and Research within their Sustainable Land Management funding framework</t>
  </si>
  <si>
    <t>This work was conducted as part of project SASCHA ('Sustainable land management and adaptation strategies to climate change for the Western Siberian grain belt'). We are grateful for funding by the German Government, Federal Ministry of Education and Research within their Sustainable Land Management funding framework (funding reference 01LL0906D). We would like to thank Johannes Kamp and an anonymous reviewer for helpful comments on an earlier version of the manuscript.</t>
  </si>
  <si>
    <t>10.1016/j.scitotenv.2016.05.067</t>
  </si>
  <si>
    <t>DS8VK</t>
  </si>
  <si>
    <t>WOS:000381060900044</t>
  </si>
  <si>
    <t>Kim, JH; Lee, T; Lee, D; Chen, WH; Kwon, EE</t>
  </si>
  <si>
    <t>Kim, Jung-Hun; Lee, Taewoo; Lee, Doyeon; Chen, Wei-Hsin; Kwon, Eilhann E.</t>
  </si>
  <si>
    <t>Carbon negative pyrolysis system for the valorization of agricultural waste into syngas</t>
  </si>
  <si>
    <t>THERMAL SCIENCE AND ENGINEERING PROGRESS</t>
  </si>
  <si>
    <t>Circular economy; Waste valorization; Pyrolysis; Walnut husk; CO 2 utilization</t>
  </si>
  <si>
    <t>FEEDSTOCK</t>
  </si>
  <si>
    <t>High cost of biofuel production remains a major barrier to replacing fossil fuels, largely because of the low energy density of feedstocks. The utilization of non-edible biomass waste is a viable strategy for cost-effective biofuel production. Here, we explored the pyrolysis of walnut husk (WH) as a model non-edible biomass, employing CO2 as a reactive gas to enhance sustainability and economic feasibility. Under CO2-rich atmospheres, single-phase reactions involving CO2 and volatiles released from WH resulted in distinct syngas (H2 and CO) production trends compared to N2 atmospheres. The introduction of a Ni/Al2O3 catalyst further amplified these effects, increasing CO production by 162.6% relative to the reference case. Notably, the CO2-assisted catalytic pyrolysis of WH has been shown to generate sufficient energy to sustain the walnut industry while sequestering CO2 at levels that could offset its emissions. Given the CO2 consumption during the process, the resulting H2 and CO can be classified as carbon-negative syngas, highlighting the potential of WH as a renewable feedstock in a circular bioeconomy.</t>
  </si>
  <si>
    <t>[Kim, Jung-Hun; Lee, Taewoo; Kwon, Eilhann E.] Hanyang Univ, Dept Earth Resources &amp; Environm Engn, Seoul 04763, South Korea; [Lee, Doyeon] Hanbat Natl Univ, Dept Civil &amp; Environm Engn, Daejeon 34158, South Korea; [Chen, Wei-Hsin] Natl Cheng Kung Univ, Dept Aeronaut &amp; Astronaut, Tainan 701, Taiwan; [Chen, Wei-Hsin] Tunghai Univ, Res Ctr Smart Sustainable Circular Econ, Taichung 407, Taiwan; [Chen, Wei-Hsin] Natl Chin Yi Univ Technol, Dept Mech Engn, Taichung 411, Taiwan</t>
  </si>
  <si>
    <t>Hanyang University; Hanbat National University; National Cheng Kung University; Tunghai University; National Chin-Yi University of Technology</t>
  </si>
  <si>
    <t>Kwon, EE (corresponding author), Hanyang Univ, Dept Earth Resources &amp; Environm Engn, Seoul 04763, South Korea.</t>
  </si>
  <si>
    <t>ek2148@hanyang.ac.kr</t>
  </si>
  <si>
    <t>; Chen, Wei-Hsin/S-2033-2018; Kwon, Eilhann/AGY-3339-2022</t>
  </si>
  <si>
    <t>Lee, Taewoo/0000-0002-0017-3716; Kim, Jung-Hun/0000-0002-6042-8266; Lee, Doyeon/0000-0002-2195-8520;</t>
  </si>
  <si>
    <t>National Research Foundation of Korea (NRF) - Korean Government (MSIT) [RS-2023-NR077231]; Hyundai Motor Chung Mong-Koo Foundation</t>
  </si>
  <si>
    <t>National Research Foundation of Korea (NRF) - Korean Government (MSIT)(National Research Foundation of KoreaMinistry of Science &amp; ICT (MSIT), Republic of Korea); Hyundai Motor Chung Mong-Koo Foundation</t>
  </si>
  <si>
    <t>This work was supported by the National Research Foundation of Korea (NRF) grant funded by the Korean Government (MSIT) (No. RS-2023-NR077231) . Jung-Hun Kim also acknowledges the financial sup-port from the Hyundai Motor Chung Mong-Koo Foundation.</t>
  </si>
  <si>
    <t>2451-9049</t>
  </si>
  <si>
    <t>THERM SCI ENG PROG</t>
  </si>
  <si>
    <t>Therm. Sci. Eng. Prog.</t>
  </si>
  <si>
    <t>10.1016/j.tsep.2025.103927</t>
  </si>
  <si>
    <t>Thermodynamics; Energy &amp; Fuels; Engineering, Mechanical; Mechanics</t>
  </si>
  <si>
    <t>Thermodynamics; Energy &amp; Fuels; Engineering; Mechanics</t>
  </si>
  <si>
    <t>5WI5W</t>
  </si>
  <si>
    <t>WOS:001545893000001</t>
  </si>
  <si>
    <t>Gong, YT; Li, PR; Lu, WY; Nishiwaki, J; Komatsuzaki, M</t>
  </si>
  <si>
    <t>Gong, Yingting; Li, Peiran; Lu, Wenyi; Nishiwaki, Junko; Komatsuzaki, Masakazu</t>
  </si>
  <si>
    <t>Response of soil carbon dioxide emissions to no-tillage and moldboard plow systems on Andosols in a humid, subtropical climate, Japan</t>
  </si>
  <si>
    <t>Soil CO2 emissions; No-tillage; Carbon stock; Andosol; Humid subtropical climate</t>
  </si>
  <si>
    <t>Characterization of soil carbon dioxide (CO2) emissions can help us to understand the effects of agricultural management on climate change and the ability of soil to sequester atmospheric carbon. However, there is a lack of studies on the effects of tillage and cover crops on soil CO2 emissions on Andosols in the humid, subtropical climate. The present study aimed to quantify soil CO2 emissions and identify the factors accounting for CO2 emissions among no-tillage (NT) and moldboard plow (MP) systems under different cover crop treatments at an experimental site established in 2002 in Kanto, Japan. A split-plot field experiment was conducted from May 2017 to November 2018 comprising two tillage systems (NT and MP) and three cover crops: fallow, hairy vetch (HV), and rye (RY). Higher soil CO2 daily emissions at 80% of the measurements and significantly greater CO2 seasonal and annual emissions were observed in the NT system as compared to the MP system. The relationship between CO2 daily flux and soil temperature was well-described by exponential functions (p &lt; 0.001). Soil volumetric water content (theta v) was significantly positively associated with soil CO2 daily emissions when soil temperature ranged from 10 degrees C to 20 degrees C (p &lt; 0.05) and 20 degrees C to 30 degrees C (p &lt; 0.01), and the response of soil CO2 flux to soil temperature and Ov was well-described by a multiplicative model (RMSE: 1.2920, R-2: 0.7777). Although there was no difference in soil temperature between NT and MP, significantly higher soil Ov was found in NT than in MP. In addition, significant exponential correlations were observed between soil organic carbon (SOC) stocks and annual CO2 emissions in four different soil layers (0-2.5 cm, 0-7.5 cm, 0-15 cm, and 0-30 cm). The HV and RY cover crops had a positive effect on SOC stocks. NT increased SOC stocks significantly compared to MP at 0-2.5 cm (p &lt; 0.001) and 0-7.5 cm (p &lt; 0.05) depth while no significant SOC stock difference at 0-15 cm and 0-30 cm depth between NT and MP were observed. These results suggest that surface SOC enrichment and higher soil Ov result in higher soil CO2 emissions in 15-year NT systems on Andosols in the humid, subtropical climate of Kanto, Japan. The carbon sources and their proportions of soil CO2 emissions require further clarification to properly assess the benefits of NT in soil carbon sequestration.</t>
  </si>
  <si>
    <t>[Gong, Yingting; Li, Peiran] Tokyo Univ Agr &amp; Technol, United Grad Sch Agr Sci, 3-5-8 Saiwaicho, Fuchu, Tokyo 1838509, Japan; [Lu, Wenyi; Nishiwaki, Junko] Ibaraki Univ, Coll Agr, 3-21-1 Chuuo, Inashiki, Ibaraki 3000393, Japan; [Komatsuzaki, Masakazu] Ibaraki Univ, Coll Agr, Ctr Int Field Agr Res &amp; Educ, 3-21-1 Ami, Ibaraki 3000393, Japan</t>
  </si>
  <si>
    <t>Tokyo University of Agriculture &amp; Technology; Ibaraki University; Ibaraki University</t>
  </si>
  <si>
    <t>Komatsuzaki, M (corresponding author), Ibaraki Univ, Coll Agr, Ctr Int Field Agr Res &amp; Educ, 3-21-1 Ami, Ibaraki 3000393, Japan.</t>
  </si>
  <si>
    <t>masakazu.komatsuzaki.fsc@vc.ibaraki.ac.jp</t>
  </si>
  <si>
    <t>; Komatsuzaki, Masakazu/AAO-1306-2021; Lu, Wenyi/IYS-7147-2023; Nishiwaki, Junko/HNC-2266-2023; Gong, Yingting/GQI-0314-2022</t>
  </si>
  <si>
    <t>Komatsuzaki, Masakazu/0000-0002-1709-8900; Lu, Wenyi/0000-0003-4260-3814</t>
  </si>
  <si>
    <t>JSPS KAKENHI [18H02310]; Grants-in-Aid for Scientific Research [18H02310] Funding Source: KAKEN</t>
  </si>
  <si>
    <t>JSPS KAKENHI(Ministry of Education, Culture, Sports, Science and Technology, Japan (MEXT)Japan Society for the Promotion of ScienceGrants-in-Aid for Scientific Research (KAKENHI)); Grants-in-Aid for Scientific Research(Ministry of Education, Culture, Sports, Science and Technology, Japan (MEXT)Japan Society for the Promotion of ScienceGrants-in-Aid for Scientific Research (KAKENHI))</t>
  </si>
  <si>
    <t>We would like to thank Mr. Kouhei Hashimoto (College of Agriculture, Ibaraki University) for his technical assistance in field management. This study was supported in part by JSPS KAKENHI Grant Number 18H02310.</t>
  </si>
  <si>
    <t>10.1016/j.geoderma.2020.114920</t>
  </si>
  <si>
    <t>QB1SL</t>
  </si>
  <si>
    <t>WOS:000613923000014</t>
  </si>
  <si>
    <t>He, D; Sheng, ZY; Tian, CX</t>
  </si>
  <si>
    <t>He, Dong; Sheng, Zhongyuan; Tian, Chunxiao</t>
  </si>
  <si>
    <t>Examining the U-shaped relationship between non-agricultural sources water pollution and the urban-rural income gap</t>
  </si>
  <si>
    <t>HEALTH EVIDENCE; IMPACT</t>
  </si>
  <si>
    <t>Determining how the economy and society interact with the environment of water quality is essential to determining the financial impact of green development. Based on China's provincial panel data from 2010 to 2021, this research considers non-agricultural sources of water pollution (NASWP) as a negative factor of production, investigates its influence on the urban-rural divide, and explains the mechanism of action. The empirical results show that there is a significant correlation between NASWP and the urban-rural gap, with a U-shaped relationship between the two. Water pollution first reduces and then increases the urban-rural income gap, and the results are robust after considering endogeneity. Mechanistic research demonstrates that NASWP cause a loss in food output, which in combination with changes in food prices and food subsidy programs impacts the incomes of rural dwellers, thereby having an influence on the urban-rural income gap. Using the threshold effect model, it is discovered that under the combined influence of agricultural mechanization and food subsidy policy, the relationship between NASWP and urban-rural income divide exhibits an U-shape in areas with high agricultural mechanization and an inverted U shape in areas with low agricultural mechanization.</t>
  </si>
  <si>
    <t>[He, Dong] Xihua Univ, Sch Management, Chengdu, Sichuan, Peoples R China; [Sheng, Zhongyuan; Tian, Chunxiao] Xihua Univ, Sch Econ, Chengdu, Sichuan, Peoples R China; [He, Dong; Sheng, Zhongyuan; Tian, Chunxiao] Sichuan Agr Univ, Chengdu, Sichuan, Peoples R China</t>
  </si>
  <si>
    <t>Xihua University; Xihua University; Sichuan Agricultural University</t>
  </si>
  <si>
    <t>Sheng, ZY (corresponding author), Xihua Univ, Sch Econ, Chengdu, Sichuan, Peoples R China.;Sheng, ZY (corresponding author), Sichuan Agr Univ, Chengdu, Sichuan, Peoples R China.</t>
  </si>
  <si>
    <t>496597875@qq.com</t>
  </si>
  <si>
    <t>盛, 中原/0009-0002-2159-0313</t>
  </si>
  <si>
    <t>JUL 18</t>
  </si>
  <si>
    <t>e0305530</t>
  </si>
  <si>
    <t>10.1371/journal.pone.0305530</t>
  </si>
  <si>
    <t>ZD0Z1</t>
  </si>
  <si>
    <t>WOS:001273249400074</t>
  </si>
  <si>
    <t>Sagadevan, S; Balakrishnan, T; Rahman, MZ; Soga, T; Randriamahazaka, H; Kakavandi, B; Johan, MR</t>
  </si>
  <si>
    <t>Sagadevan, Suresh; Balakrishnan, Thivyah; Rahman, Md Zillur; Soga, Tetsuo; Randriamahazaka, Hyacinthe; Kakavandi, Babak; Johan, Mohd Rafie</t>
  </si>
  <si>
    <t>Agricultural biomass-based activated carbons for efficient and sustainable supercapacitors</t>
  </si>
  <si>
    <t>JOURNAL OF ENERGY STORAGE</t>
  </si>
  <si>
    <t>Agricultural biomass; Activated carbon; Supercapacitor; Capacitance performance</t>
  </si>
  <si>
    <t>HIERARCHICAL POROUS CARBON; SURFACE-AREA; HYDROTHERMAL CARBONIZATION; PHYSICAL ACTIVATION; WASTE; ELECTRODES; REMOVAL; TECHNOLOGIES; PERFORMANCE; CONVERSION</t>
  </si>
  <si>
    <t>The depletion of fossil fuels and increasing demand for the sustainable energy storage have driven research toward agricultural biomass-based activated carbons as a promising alternative for supercapacitor electrodes. This review explores the perspective of biomass-based activated carbons, highlighting their advantages, such as renewability, low cost, and abundant availability. It also discusses the conversion process of agricultural waste into activated carbons, emphasizing the role of activation methods in tailoring the pore structure and surface chemistry for enhanced electrochemical performance. The key characteristics of activated carbons derived from various agricultural sources and their effects on the specific capacitance and energy/power density are compared and analyzed. Furthermore, this review has addressed the challenges of using agricultural biomass for activated carbon production, including process optimization and environmental considerations. Finally, this review summarizes the future outlook of this field, and current research efforts to develop high-performance, sustainable supercapacitors using agricultural biomass-derived activated carbons.</t>
  </si>
  <si>
    <t>[Sagadevan, Suresh; Johan, Mohd Rafie] Univ Malaya, Nanotechnol &amp; Catalysis Res Ctr, Kuala Lumpur 50603, Malaysia; [Balakrishnan, Thivyah] Univ Kebangsaan Malaysia, Fac Engn &amp; Built Environm, Dept Chem &amp; Proc Engn, Bangi 43600, Selangor, Malaysia; [Rahman, Md Zillur] Ahsanullah Univ Sci &amp; Technol, Dept Mech Engn, Dhaka 1208, Bangladesh; [Soga, Tetsuo] Nagoya Inst Technol, Dept Elect &amp; Mech Engn, Gokiso Cho,Showa Ku, Nagoya 4668555, Japan; [Randriamahazaka, Hyacinthe] Univ Paris Cite, CNRS, ITODYS, F-75013 Paris, France; [Kakavandi, Babak] Alborz Univ Med Sci, Res Ctr Hlth Safety &amp; Environm, Karaj, Iran; [Kakavandi, Babak] Alborz Univ Med Sci, Dept Environm Hlth Engn, Karaj, Iran</t>
  </si>
  <si>
    <t>Universiti Malaya; Universiti Kebangsaan Malaysia; Ahsanullah University of Science &amp; Technology (AUST); Nagoya Institute of Technology; Universite Paris Cite; Centre National de la Recherche Scientifique (CNRS); Alborz University of Medical Sciences; Alborz University of Medical Sciences</t>
  </si>
  <si>
    <t>Sagadevan, S (corresponding author), Univ Malaya, Nanotechnol &amp; Catalysis Res Ctr, Kuala Lumpur 50603, Malaysia.;Randriamahazaka, H (corresponding author), Univ Paris Cite, CNRS, ITODYS, F-75013 Paris, France.</t>
  </si>
  <si>
    <t>drsureshsagadevan@um.edu.my; hyacinthe.randria@u-paris.fr</t>
  </si>
  <si>
    <t>JOHAN, MOHD/B-9106-2010; Rahman, Zillur/AAV-3812-2021; Sagadevan, Suresh/ABF-3381-2021; Kakavandi, Babak/I-5817-2017; Soga, Tetsuo/ABE-5939-2020; Balakrishnan, Thivyah/KIK-1305-2024</t>
  </si>
  <si>
    <t>Sagadevan, Suresh/0000-0003-2779-6339; Soga, Tetsuo/0000-0003-3460-4593; Rahman, Zillur/0000-0002-6028-8793;</t>
  </si>
  <si>
    <t>University of Malaya [ST010-2023]; ANR (Agence Nationale de la Recherche); CGI (Commissariat a l'Investissement d'Avenir) [ANR-10-LABX-096, ANR-18-IDEX-0001]</t>
  </si>
  <si>
    <t>University of Malaya(Universiti Malaya); ANR (Agence Nationale de la Recherche)(Agence Nationale de la Recherche (ANR)); CGI (Commissariat a l'Investissement d'Avenir)(Agence Nationale de la Recherche (ANR))</t>
  </si>
  <si>
    <t>The authors are grateful to the University of Malaya for funding this work under grant number ST010-2023. H.R. is grateful to ANR (Agence Nationale de la Recherche) and CGI (Commissariat a l'Investissement d'Avenir) for their financial support through Labex SEAM (Science and Engineering for Advanced Materials and devices) , ANR-10-LABX-096 and ANR-18-IDEX-0001.</t>
  </si>
  <si>
    <t>2352-152X</t>
  </si>
  <si>
    <t>2352-1538</t>
  </si>
  <si>
    <t>J ENERGY STORAGE</t>
  </si>
  <si>
    <t>J. Energy Storage</t>
  </si>
  <si>
    <t>10.1016/j.est.2024.112878</t>
  </si>
  <si>
    <t>A8O2Q</t>
  </si>
  <si>
    <t>WOS:001285070300001</t>
  </si>
  <si>
    <t>Rajput, S; Tyagi, V; Sonika; Nayak, R; Verma, SK</t>
  </si>
  <si>
    <t>Rajput, Shailendra; Tyagi, Varee; Sonika, Ratikanta; Nayak, Ratikanta; Verma, Sushil Kumar</t>
  </si>
  <si>
    <t>Waste-Derived Activated Carbon for Supercapacitors: Current Trends and Future Prospects</t>
  </si>
  <si>
    <t>ENERGY TECHNOLOGY</t>
  </si>
  <si>
    <t>activated carbon; electrode; energy storage device; graphene; supercapacitor; sustainable; waste-derived</t>
  </si>
  <si>
    <t>HIERARCHICAL POROUS CARBON; CAPACITIVE ENERGY-STORAGE; METAL-ORGANIC FRAMEWORKS; COAL-TAR PITCH; PLASTIC WASTE; ELECTRODE MATERIALS; MESOPOROUS CARBONS; NANOPOROUS CARBON; KOH ACTIVATION; PERFORMANCE</t>
  </si>
  <si>
    <t>The primary challenge for supercapacitor technology lies in achieving battery-level performance while reducing costs. Enhancing energy density involves strategic adjustments such as increasing capacitance, reliance on electrode-electrolyte interactions, or boosting cell voltage, dependent on electrolyte stability. Thus, optimizing energy density requires careful electrode material design and electrolyte selection. Because of their abundant availability, exceptional performance, and simple processing methods, various naturally occurring bio-wastes and industrial wastes have been explored for the production of activated carbon for supercapacitors. Additionally, agricultural by-products such as sugarcane bagasse, rice husk, tea waste, coconut shell, peanut shell, lotus stem, and hemp fiber show promise as raw materials for graphene synthesis. Life cycle assessments beyond greenhouse gas emissions and energy efficiency, along with calibrated evaluation techniques and techno-economic analyses, are essential for meaningful sustainability comparisons. The rapid expansion of the bioenergy sector underscores the need for responsible management and sustainability evaluations. This article emphasizes the potential of waste-derived activated carbon as a sustainable and efficient electrode material for supercapacitors.</t>
  </si>
  <si>
    <t>[Rajput, Shailendra] Xian Int Univ, Coll Engn, Xian 710077, Peoples R China; [Tyagi, Varee; Verma, Sushil Kumar] Indian Inst Technol Guwahati, Ctr Excellence Sustainable Polymers, Gauhati 781039, India; Rajiv Gandhi Univ, Dept Phys, Rono Hills, Itanagar 791112, Arunachal Prade, India; [Nayak, Ratikanta] NIST Univ, Dept Phys, Inst Pk, Berhampur 761008, Odisha, India</t>
  </si>
  <si>
    <t>Indian Institute of Technology System (IIT System); Indian Institute of Technology (IIT) - Guwahati; Rajiv Gandhi University, Itanagar</t>
  </si>
  <si>
    <t>Verma, SK (corresponding author), Indian Inst Technol Guwahati, Ctr Excellence Sustainable Polymers, Gauhati 781039, India.</t>
  </si>
  <si>
    <t>sushilnano@rnd.iitg.ac.in</t>
  </si>
  <si>
    <t>Verma, Sushil Kumar/C-3312-2015; Rajput, Shailendra/G-1775-2014; Verma, Sushil/C-3312-2015</t>
  </si>
  <si>
    <t>Verma, Sushil Kumar/0000-0003-1400-3432; Rajput, Shailena/0000-0002-6973-9693;</t>
  </si>
  <si>
    <t>2194-4288</t>
  </si>
  <si>
    <t>2194-4296</t>
  </si>
  <si>
    <t>ENERGY TECHNOL-GER</t>
  </si>
  <si>
    <t>Energy Technol.</t>
  </si>
  <si>
    <t>10.1002/ente.202401977</t>
  </si>
  <si>
    <t>3IN6X</t>
  </si>
  <si>
    <t>WOS:001419020400001</t>
  </si>
  <si>
    <t>Mocanu, V; Dumitru, S; Paltineanu, C; Domnariu, H</t>
  </si>
  <si>
    <t>Mocanu, Victoria; Dumitru, Sorina; Paltineanu, Cristian; Domnariu, Horia</t>
  </si>
  <si>
    <t>DYNAMICS OF SOIL ORGANIC CARBON AFTER MORE THAN 25 YEARS OF FARMING IN THE DANUBE DELTA</t>
  </si>
  <si>
    <t>CARPATHIAN JOURNAL OF EARTH AND ENVIRONMENTAL SCIENCES</t>
  </si>
  <si>
    <t>wetland ecosystem; crop environment; carbon sequestration; carbon loss; Histosols; histic soils</t>
  </si>
  <si>
    <t>GRASSLAND MANAGEMENT; SEQUESTRATION; GROUNDWATER; DENSITY; STORAGE; TEMPERATE; QUALITY; CYCLE; CO2</t>
  </si>
  <si>
    <t>Soil organic carbon (SOC) is an important parameter in the context of global warming, and a special attention should be given to its dynamics. The purpose of this paper is to test the existence of SOC losses from the soils taken for farming for more than 25 years in some areas of the Danube Delta. Another objective is to quantify such SOC losses if they exist. The studied soils belong to two land reclamation areas, Carasuhat and Dunavat, from the Danube Delta. Data of present-day SOC stocks were compared to the SOC stocks calculated for the period until year 1996 for the same soil units in order to assess the dynamics of SOC losses for more than 25 years. We have found that a specific process was noted for the organic soils, Histosols, which were turned into histic soils after farming, meaning that there was a significant decrease in SOC pool. Thus, SOC losses due to farming were maximum for Histosols, and SOC stocks were highly significantly lower in 2022 versus 1996, due to increasing mineralization processes of organic matter and subsequent greenhouse gas emissions that occurred in cropland areas. Relationships have been found quantifying SOC losses versus the original 1996 stocks, confirming that Histosols, containing the maximum SOC stocks, present the highest risk of degradation. Lowering of the ground water and consequently the intensified oxidation of peat are very important factors in SOC losses beside the agricultural land use works. Policy makers, decision makers and stake holders should promote conservation of the natural landscape of the Danube Delta in order to increase SOC stocks and decrease CO2 and other greenhouse gas emissions into the atmosphere. Maintaining the former SOC stock at the present-day level and enhancing new organic C sequestration in the renatured parts of the less fertile Delta soils could contribute to global warming mitigation in the future and to supply agricultural products in the cropland already in use. Future research in characteristic stationary sites of the Danube Delta, especially in the farmland area, is recommended to improve our knowledge on SOC evolution.</t>
  </si>
  <si>
    <t>[Mocanu, Victoria; Dumitru, Sorina; Paltineanu, Cristian; Domnariu, Horia] Natl Res &amp; Dev Inst Soil Sci Agrochem &amp; Environm I, Bdul Marasti 61, Bucharest 011464, Romania</t>
  </si>
  <si>
    <t>Paltineanu, C (corresponding author), Natl Res &amp; Dev Inst Soil Sci Agrochem &amp; Environm I, Bdul Marasti 61, Bucharest 011464, Romania.</t>
  </si>
  <si>
    <t>cristian.paltineanu@icpa.ro</t>
  </si>
  <si>
    <t>domnariu, horia/KPB-3705-2024; Dumitru, Sorina/IAP-4867-2023; PALTINEANU, Cristian/N-2295-2016</t>
  </si>
  <si>
    <t>Domnariu, Horia/0000-0003-3872-3768; Dumitru, Sorina Iustina/0000-0002-9760-1886; Mocanu, Victoria/0000-0003-2568-910X</t>
  </si>
  <si>
    <t>German Federal Ministry for Economic Affairs and Climate Action (BMWK), through The European Climate Initiative (EUKI); Deutsche Gesellschaft fur Internationale Zusammenarbeit (GIZ) GmbH; Romanian Ministry of Research, Innovation and Digitization [PN19 34 01 01]</t>
  </si>
  <si>
    <t>German Federal Ministry for Economic Affairs and Climate Action (BMWK), through The European Climate Initiative (EUKI); Deutsche Gesellschaft fur Internationale Zusammenarbeit (GIZ) GmbH; Romanian Ministry of Research, Innovation and Digitization(Ministry of Research, Innovation and Digitization - Romania)</t>
  </si>
  <si>
    <t>The authors acknowledge the financial support received from the German Federal Ministry for Economic Affairs and Climate Action (BMWK), through The European Climate Initiative (EUKI) and the Deutsche Gesellschaft fur Internationale Zusammenarbeit (GIZ) GmbH for the EDAPHIC-BLOOM DANUBE Project and from the Grant of the Romanian Ministry of Research, Innovation and Digitization, project number PN19 34 01 01 -Soil functions contribution to eco-systemic services related to local soil, geologic, and climatic conditions and to the present and historical land use as support for agri-environmental policies. The authors also acknowledge the contribution of Dr. Andrei Vrinceanu and pedologist Mivu Antemir from OJSPA Tulcea for their field work.</t>
  </si>
  <si>
    <t>Carpathian Assoc Environment and Earth Sciences</t>
  </si>
  <si>
    <t>Baia Mare</t>
  </si>
  <si>
    <t>Victoriei 47A, Baia Mare, ROMANIA</t>
  </si>
  <si>
    <t>1842-4090</t>
  </si>
  <si>
    <t>1844-489X</t>
  </si>
  <si>
    <t>CARPATH J EARTH ENV</t>
  </si>
  <si>
    <t>Carpath. J. Earth Environ. Sci.</t>
  </si>
  <si>
    <t>10.26471/cjees/2023/018/236</t>
  </si>
  <si>
    <t>A5RD8</t>
  </si>
  <si>
    <t>WOS:000955682500001</t>
  </si>
  <si>
    <t>Yang, HW; Hu, FL; Yin, W; Chai, Q; Zhao, C; Yu, AZ; Fan, ZL; Fan, H; Ren, XL</t>
  </si>
  <si>
    <t>Yang, Hongwei; Hu, Falong; Yin, Wen; Chai, Qiang; Zhao, Cai; Yu, Aizhong; Fan, Zhilong; Fan, Hong; Ren, Xuling</t>
  </si>
  <si>
    <t>Integration of tillage and planting density improves crop production and carbon mitigation of maize/pea intercropping in the oasis irrigation area of northwestern China</t>
  </si>
  <si>
    <t>Intercropping; No-tillage; Planting density; Crop production; Carbon mitigation</t>
  </si>
  <si>
    <t>SOIL CARBON; CO2 EMISSIONS; WINTER-WHEAT; YIELD; DIOXIDE; ENERGY; SEQUESTRATION; FERTILIZER; IMPACTS; SYSTEMS</t>
  </si>
  <si>
    <t>High yield is a benefit of production system with high input, but usually more CO2 emitted. It is unclear whether to integrate a multi-technology in the intercropping to achieve a high-yielding, low emission, and high efficiency agricultural integrated production system. In order to assess the crop production and carbon mitigation in integrated system, a field experiment of maize/pea intercropping was performed with two tillage (no-tillage and conventional tillage) and three maize plant density (low density-45,000, medium density-60,000, and high density-75,000 plants ha(-1)) in the oasis irrigation area of northwestern China during the 2016-2018. We found that no-tillage improved crop production and carbon mitigation, increasing maize density was able to improve yield in maize/pea intercropping, but increased the carbon emission. From the 3-year average, the integration of no-tillage and medium plant density (NI2) effectively increased the total grain yield (GY) by 14.5 %, reduced carbon emission by 3.5 % compared to conventional tillage with low maize density (CI1). Meanwhile, this integrated system had increased carbon emission efficiency (CEE) by 16.7 % compared to the CI1. For different crop components in maize/pea intercropping, no-tillage mainly reduced the carbon emission of the maize strip, but no significant effect of pea strip by increasing the maize plant density. In addition, this integrated system also increased net primary production (NPP), net ecosystem production (NEP) and carbon sequestration potential by 17.8, 19.9 and 21.8 % compared with CI1, while had highest economic benefits (average 3.1). Therefore, maize/ pea intercropping compound production pattern integrated no-tillage and medium maize plant density (NI2) should be recommended as the high-efficiency model of farming system for resources saving and reducing carbon emission in oasis irrigation area of northwest China.</t>
  </si>
  <si>
    <t>[Yang, Hongwei; Hu, Falong; Yin, Wen; Chai, Qiang; Zhao, Cai; Yu, Aizhong; Fan, Zhilong; Fan, Hong] Gansu Prov Key Lab Aridland Crop Sci, Lanzhou 730070, Peoples R China; [Yang, Hongwei; Hu, Falong; Yin, Wen; Chai, Qiang; Yu, Aizhong; Fan, Zhilong] Gansu Agr Univ, Coll Agron, Lanzhou 730070, Peoples R China; [Ren, Xuling] Stn Popularizing Agr Tech, Pingliang 744000, Peoples R China</t>
  </si>
  <si>
    <t>Chai, Q (corresponding author), Gansu Prov Key Lab Aridland Crop Sci, Lanzhou 730070, Peoples R China.</t>
  </si>
  <si>
    <t>YU, Aizhong/OVY-3453-2025; Yang, Hongwei/AGX-5467-2022; Fan, Hong/KMA-7361-2024; Chai, Qiang/MVX-0075-2025</t>
  </si>
  <si>
    <t>10.1016/j.fcr.2021.108281</t>
  </si>
  <si>
    <t>WK8HF</t>
  </si>
  <si>
    <t>WOS:000709961600010</t>
  </si>
  <si>
    <t>Hou, JW; Yang, FJ; He, JZ; Hong, JH; Yang, YJ; Li, YZ; Ma, JQ; Zhong, TH; Chen, JM; Luo, YC; Yu, YY; Yu, FY; Xie, YM; Xiao, J; Cai, WZ</t>
  </si>
  <si>
    <t>Hou, Junwei; Yang, Fengjin; He, Junze; Hong, Jiahong; Yang, Yunjin; Li, Yuzhi; Ma, Jieqin; Zhong, Tianhao; Chen, Junming; Luo, Yuancheng; Yu, Yiyao; Yu, Fangyong; Xie, Yongmin; Xiao, Jie; Cai, Weizi</t>
  </si>
  <si>
    <t>Synergistic modification engineering for optimizing reaction kinetics of direct carbon solid oxide fuel cells with agricultural solid waste as fuel</t>
  </si>
  <si>
    <t>Direct carbon fuel cell; Solid oxide fuel cell; Biochar; Ca catalyst; Strontium doped lanthanum cobaltate</t>
  </si>
  <si>
    <t>PERFORMANCE DIRECT CARBON; CATALYTIC GASIFICATION; ANODE; ELECTRODES; OXIDATION</t>
  </si>
  <si>
    <t>Direct carbon solid oxide fuel cell (DC-SOFC) with agricultural solid waste as fuel is an advanced bioenergy technology with high energy conversion efficiency, low emission and no noise generation. However, inert carbon fuel and sluggish electrochemical reaction on anode have become bottlenecks of DC-SOFC technology for further practical applications. Regarding this issue, we report an effective strategy utilizing a highly active catalyst distributed on carbon to reduce the reaction energy barrier and improve reaction kinetics, together with an A-site deficient perovskite oxide, (La0.8Sr0.2)0.95CoO3-x, decorated on the anode as a multifunction catalyst, to ensure sufficient three-phase reaction sites and achieve favorable reaction activity. By incorporating this synergistic modification strategy, a biochar-powered DC-SOFC, achieves an improved maximum power output of 371.5 mW cm- 2 from 279.6 mW cm-2 at 850 degrees C. The as'-prepared biochar has rough and rugged surface, porous structure, high proportion of disordered carbon and easily gasified character. The dual catalysts modification strategy, meanwhile, enhances the discharging life and fuel utilization. The relationship between the physicochemical properties of biochar and their electrical properties, the synergistic catalytic effect on the Boudouard reaction and anode reaction are analyzed and demonstrated in detail.</t>
  </si>
  <si>
    <t>[Hou, Junwei; Yang, Fengjin; He, Junze; Hong, Jiahong; Yang, Yunjin; Li, Yuzhi; Ma, Jieqin; Zhong, Tianhao; Chen, Junming; Luo, Yuancheng; Yu, Yiyao; Cai, Weizi] South China Agr Univ, Coll Engn, Guangzhou 510642, Guangdong, Peoples R China; [Hou, Junwei; Yang, Fengjin; He, Junze; Hong, Jiahong; Yang, Yunjin; Li, Yuzhi; Ma, Jieqin; Zhong, Tianhao; Chen, Junming; Luo, Yuancheng; Yu, Yiyao; Cai, Weizi] South China Agr Univ, Coll Mat &amp; Energy, Guangzhou 510642, Guangdong, Peoples R China; [Hou, Junwei] Guangdong Commun Polytech, Coll Automobile &amp; Engn Machinery, Guangzhou 510650, Peoples R China; [Yu, Fangyong] Shandong Univ Technol, Sch Chem &amp; Chem Engn, Zibo 255000, Peoples R China; [Xie, Yongmin] Jiangxi Univ Sci &amp; Technol, Fac Mat Met &amp; Chem, Ganzhou 341000, Peoples R China; [Xiao, Jie] Kunming Univ Sci &amp; Technol, Fac Mat Sci &amp; Engn, Natl &amp; Local Joint Engn Res Ctr Lithiumion Batteri, Key Lab Adv Battery Mat Yunnan Prov, Kunming 650093, Peoples R China</t>
  </si>
  <si>
    <t>South China Agricultural University; South China Agricultural University; Shandong University of Technology; Jiangxi University of Science &amp; Technology; Kunming University of Science &amp; Technology</t>
  </si>
  <si>
    <t>Cai, WZ (corresponding author), South China Agr Univ, Coll Engn, Guangzhou 510642, Guangdong, Peoples R China.;Cai, WZ (corresponding author), South China Agr Univ, Coll Mat &amp; Energy, Guangzhou 510642, Guangdong, Peoples R China.;Xiao, J (corresponding author), Kunming Univ Sci &amp; Technol, Fac Mat Sci &amp; Engn, Natl &amp; Local Joint Engn Res Ctr Lithiumion Batteri, Key Lab Adv Battery Mat Yunnan Prov, Kunming 650093, Peoples R China.</t>
  </si>
  <si>
    <t>jiexiao@kust.edu.cn; wzcoi@scau.edu.cn</t>
  </si>
  <si>
    <t>Xiao, Jie/ACH-8901-2022; Luo, Yuancheng/LDF-4499-2024</t>
  </si>
  <si>
    <t>National Natural Science Foundation of China [22378149, 22309069, 52262034]; Guangdong Basic and Applied Basic Research Foundation [2022A1515110651]; Guangzhou Science and Technology Plan Project [2025A04J5104]; Jiangxi Provincial Natural Science Foundation [20224BAB213024]; Department of Education of Guangdong Province Project [2024KTSCX380]; Youth Innovation Team of Colleges and Universities in Shandong Province [2023KJ147]; Specific university discipline construction project</t>
  </si>
  <si>
    <t>National Natural Science Foundation of China(National Natural Science Foundation of China (NSFC)); Guangdong Basic and Applied Basic Research Foundation; Guangzhou Science and Technology Plan Project; Jiangxi Provincial Natural Science Foundation; Department of Education of Guangdong Province Project; Youth Innovation Team of Colleges and Universities in Shandong Province; Specific university discipline construction project</t>
  </si>
  <si>
    <t>This work was supported by National Natural Science Foundation of China (22378149, 22309069, 52262034) , Guangdong Basic and Applied Basic Research Foundation (2022A1515110651) , Guangzhou Science and Technology Plan Project (2025A04J5104) , Jiangxi Provincial Natural Science Foundation (20224BAB213024) , Department of Education of Guangdong Province Project (2024KTSCX380) , Youth Innovation Team of Colleges and Universities in Shandong Province (2023KJ147) , Specific university discipline construction project</t>
  </si>
  <si>
    <t>10.1016/j.fuel.2025.135579</t>
  </si>
  <si>
    <t>3WC0Y</t>
  </si>
  <si>
    <t>WOS:001510398200001</t>
  </si>
  <si>
    <t>Mogharbel, AT; Hameed, A; Sayqal, AA; Katouah, HA; Al-Qahtani, SD; Saad, FA; El-Metwaly, NM</t>
  </si>
  <si>
    <t>Mogharbel, Amal T.; Hameed, Ahmed; Sayqal, Ali A.; Katouah, Hanadi A.; Al-Qahtani, Salhah D.; Saad, Fawaz A.; El-Metwaly, Nashwa M.</t>
  </si>
  <si>
    <t>Preparation of carbon dots-embedded fluorescent carboxymethyl cellulose hydrogel for anticounterfeiting applications</t>
  </si>
  <si>
    <t>INTERNATIONAL JOURNAL OF BIOLOGICAL MACROMOLECULES</t>
  </si>
  <si>
    <t>Rice straw-based carbon dots; Carboxymethyl cellulose; Fluorescence; Self-healing security hydrogel; Paper sheet</t>
  </si>
  <si>
    <t>GRAPHENE QUANTUM DOTS; CERAMICS; PH</t>
  </si>
  <si>
    <t>Fluorescent inks have been emerged as a desirable encoding technique to enhance anticounterfeiting printing of commercial goods. However, significant drawbacks with fluorescent inks, such as poor durability, low efficiency, and high cost. Herein, we describe the preparation of a self-healing authentication ink based on carboxymethyl cellulose (CMC) hydrogel immobilized with nitrogen-doped carbon dots (NCD) nanoparticles (NPs) for cuttingedge anticounterfeiting applications. Security inks that self-heal are very durable. Under ambient conditions, the prepared NCD@CMC hydrogel could self-heal with a high healing efficiency. It might stick to diverse surfaces such as plastic, glass and paper sheets. The self-healing composite ink demonstrated outstanding photostability under UV light. Straightforward and environmentally friendly method was applied on the agricultural waste of rice straw toward the production of NCD using hydrothermal carbonization in an aqueous medium, and in the presence of NH4OH as an inexpensive passivating agent. The quantum yield (QY) for NCD reached 24.09 %. Various concentrations of NCD NPs were employed to produce self-healable nanocomposite inks with a variety of emission properties. Stamping homogeneous films onto paper surfaces produced a transparent layer. The CIE Lab and emission spectra of prints independently verified the capability of NCD nanocomposite inks to vary their color to blue under UV illumination. To measure the particle diameter of the prepared NCD, their morphological characteristics were examined by transmission electron microscopy (TEM) to indicate diameters of 10-25 nm. Utilizing various analytical techniques, the morphology and chemical composition of the fluorescent prints were examined. We examined the mechanical qualities of the stamped papers as well as the rheological characteristics of the ink hydrogel. Due to their colorless appearance, the excitation band of the printed films was peaked at 364 nm, while their emission was peaked at 465 nm. The current smart ink holds high potential for numerous applications like smart packaging and authentication, and shows great promise as a practical and mass production approach for easily creating anticounterfeiting stamps.</t>
  </si>
  <si>
    <t>[Mogharbel, Amal T.] Univ Tabuk, Coll Sci, Dept Chem, Tabuk 71474, Saudi Arabia; [Hameed, Ahmed; Sayqal, Ali A.; Katouah, Hanadi A.; Saad, Fawaz A.; El-Metwaly, Nashwa M.] Umm Al Qura Univ, Fac Appl Sci, Dept Chem, Mecca, Saudi Arabia; [Al-Qahtani, Salhah D.] Princess Nourah bint Abdulrahman Univ, Coll Sci, Dept Chem, POB 84428, Riyadh 11671, Saudi Arabia; [El-Metwaly, Nashwa M.] Mansoura Univ, Fac Sci, Dept Chem, Mansoura, Egypt</t>
  </si>
  <si>
    <t>University of Tabuk; Umm Al-Qura University; Princess Nourah bint Abdulrahman University; Egyptian Knowledge Bank (EKB); Mansoura University</t>
  </si>
  <si>
    <t>El-Metwaly, NM (corresponding author), Umm Al Qura Univ, Fac Appl Sci, Dept Chem, Mecca, Saudi Arabia.</t>
  </si>
  <si>
    <t>Mogharbel, Amal/JLF-9792-2023; Saad, Fawaz/HTM-8332-2023; Al-Qahtani, Salhah/HJP-8820-2023</t>
  </si>
  <si>
    <t>Princess Nourah bint Abdulrahman University, Riyadh, Saudi Arabia [PNURSP2023R122]</t>
  </si>
  <si>
    <t>Acknowledgements Princess Nourah bint Abdulrahman University Researchers Sup-porting Project number (PNURSP2023R122) , Princess Nourah bint Abdulrahman University, Riyadh, Saudi Arabia.</t>
  </si>
  <si>
    <t>0141-8130</t>
  </si>
  <si>
    <t>1879-0003</t>
  </si>
  <si>
    <t>INT J BIOL MACROMOL</t>
  </si>
  <si>
    <t>Int. J. Biol. Macromol.</t>
  </si>
  <si>
    <t>MAY 31</t>
  </si>
  <si>
    <t>10.1016/j.ijbiomac.2023.124028</t>
  </si>
  <si>
    <t>Biochemistry &amp; Molecular Biology; Chemistry, Applied; Polymer Science</t>
  </si>
  <si>
    <t>Biochemistry &amp; Molecular Biology; Chemistry; Polymer Science</t>
  </si>
  <si>
    <t>D1MR8</t>
  </si>
  <si>
    <t>WOS:000966437300001</t>
  </si>
  <si>
    <t>Karelin, DV; Sukhoveeva, OE; Glagolev, MV; Dobryanskiy, AS; Sabrekov, AF; Zamotaev, IV</t>
  </si>
  <si>
    <t>Karelin, D. V.; Sukhoveeva, O. E.; Glagolev, M. V.; Dobryanskiy, A. S.; Sabrekov, A. F.; Zamotaev, I. V.</t>
  </si>
  <si>
    <t>Annual Carbon Budget of Biogenic Greenhouse Gases under Mixed Land Use: Lgov District as a Model Object of the Central Chernozem Zone of Russia</t>
  </si>
  <si>
    <t>EURASIAN SOIL SCIENCE</t>
  </si>
  <si>
    <t>Haplic Chernozem; methane; carbon dioxide; balance of greenhouse gases</t>
  </si>
  <si>
    <t>METHANE EMISSION; EDDY COVARIANCE; SOILS; BALANCE; BOREAL; STOCKS</t>
  </si>
  <si>
    <t>A comprehensive study of the net annual balance of biogenic carbon-containing greenhouse gases has been performed for Lgov administrative district (Kursk oblast) in the chernozem zone of the European part of Russia. The data sources include field estimates of carbon dioxide and methane exchange between soil and atmosphere, above- and below-ground phytomass stocks, models parameterized on these data, official statistical and meteorological information, and published scientific sources. Sugar industry wastewater treatment infiltration fields are responsible for 26% of CH4 emissions from the territory of the district, although they occupy only 0.04% of its area. The maximum of CO2 emission from soils is observed at the soil water content of 30 vol %; above this value, methane emission begins to rise linearly reaching its maximum in waterlogged habitats, including those of infiltration fields. Another significant local source of methane is compost storages (22%). However, water reservoirs, oxbow lakes and ponds are the largest local source of CH4 (43%). Among the main net sources of CO2 emission, the combustion of fossil fuels by transport and agricultural machinery predominates (22.3%). In contrast to methane, whose emission is mainly determined by powerful point sources, the input of net fluxes of CO2 positively correlates with their area. Currently observed relatively small net CO2 flux in the district area (-6.4 g C m(-2) per year) is decisively overlapped by local methane sources (+95 g C-CO2 equiv m(-2) per year). The influence of the land use and methods of calculation on the C balance of the territory under study and a way of its transformation into a carbon-neutral state are discussed.</t>
  </si>
  <si>
    <t>[Karelin, D. V.; Sukhoveeva, O. E.; Dobryanskiy, A. S.; Zamotaev, I. V.] Russian Acad Sci, Inst Geog, Moscow 119017, Russia; [Glagolev, M. V.] Lomonosov Moscow State Univ, Moscow 119991, Russia; [Sabrekov, A. F.] Yugra State Univ, Khanty Mansiysk 628012, Russia</t>
  </si>
  <si>
    <t>Russian Academy of Sciences; Institute of Geography, Russian Academy of Sciences; Lomonosov Moscow State University; Yugra State University</t>
  </si>
  <si>
    <t>Karelin, DV (corresponding author), Russian Acad Sci, Inst Geog, Moscow 119017, Russia.</t>
  </si>
  <si>
    <t>dkarelin7@gmail.com</t>
  </si>
  <si>
    <t>Glagolev, Mikhail/J-4878-2012; Karelin, Dmitriy/AAE-5169-2019; Sukhoveeva, Olga/C-7633-2019; Sabrekov, Aleksandr/R-2275-2017</t>
  </si>
  <si>
    <t>Innovative Project of National Importance aimed at creating a unified national monitoring system for climate-active substances in accordance with the Decree of the Government of the Russian Federation [25-15r]</t>
  </si>
  <si>
    <t>Innovative Project of National Importance aimed at creating a unified national monitoring system for climate-active substances in accordance with the Decree of the Government of the Russian Federation</t>
  </si>
  <si>
    <t>This study was financially supported by the Innovative Project of National Importance aimed at creating a unified national monitoring system for climate-active substances in accordance with the Decree of the Government of the Russian Federation no. 25-15r from September 2, 2022. Chromatographic analysis was performed within the framework of state assignment FMGE-2019-000 6 of the Institute of Geography, Russian Academy of Sciences.</t>
  </si>
  <si>
    <t>1064-2293</t>
  </si>
  <si>
    <t>1556-195X</t>
  </si>
  <si>
    <t>EURASIAN SOIL SCI+</t>
  </si>
  <si>
    <t>Eurasian Soil Sci.</t>
  </si>
  <si>
    <t>10.1134/S1064229323600872</t>
  </si>
  <si>
    <t>P7ZS1</t>
  </si>
  <si>
    <t>WOS:001052822900005</t>
  </si>
  <si>
    <t>Jang, YW; Park, IS; Ha, SS; Jang, SH; Chung, KW; Lee, G; Kim, WH; Choi, YJ; Cho, CH</t>
  </si>
  <si>
    <t>Jang, Yu Woon; Park, Il-Soo; Ha, Sang-Sub; Jang, Su-Hwan; Chung, Kyung-Won; Lee, Gangwoong; Kim, Won-Ho; Choi, Yong-Joo; Cho, Cheon-Ho</t>
  </si>
  <si>
    <t>Preliminary analysis of the development of the Carbon Tracker system in Latin America and the Caribbean</t>
  </si>
  <si>
    <t>ATMOSFERA</t>
  </si>
  <si>
    <t>Carbon Tracker system; CO2 sinks and sources; Latin America and the Caribbean; biosphere; fossil fuel; forest fires</t>
  </si>
  <si>
    <t>The Carbon Tracker system will play a major role in understanding CO2 sinks and sources, gas exchange between the atmosphere and oceans, and gas emissions from forest fires and fossil fuels in Latin America and the Caribbean. This paper discusses the trends in carbon fluxes in the biosphere and ocean, as well as emissions from forest fires and fossil fuel use in the above-mentioned region, using the Carbon Tracker (CT) system. From 2000 to 2009, the mean carbon fluxes for the biosphere, fossil fuel use, wildfires and the ocean in Latin America and the Caribbean were -0.03, 0.41, 0.296, -0.061 Pg C/yr, respectively, and -0.02, 0.117, 0.013, -0.003 Pg C/yr, respectively, in Mexico. The mean net carbon flux for Latin America and the Caribbean was 0.645 Pg C/yr, and 0.126 Pg C/yr for Mexico. The terrestrial sinks in Latin America and the Caribbean are dominated by the forest, agricultural, grass and shrub regions, as well as the Andes mountain range and the net surface-atmosphere fluxes including fossil fuel are dominant in regions around large cities in Mexico, Brazil, Chile, and areas undergoing deforestation along the Amazon River. The results confirm that forest fires are an important source of CO2 in Latin America and the Caribbean. In addition, we can confirm that policies encouraging the use of ethanol in light vehicles in Brazil have helped to decrease carbon emissions from fossil fuel, and assume the effects of the Proarbol program on carbon sinks from the biosphere and from fire emissions sources in Mexico. Based on this analysis, we are confident that the CT system will play a major role in Latin America and the Caribbean as a scientific tool to understand the uptake and release of CO2 from terrestrial ecosystems, fossil fuel use and the oceans, and for long-term monitoring of atmospheric CO2 concentrations.</t>
  </si>
  <si>
    <t>[Jang, Yu Woon; Park, Il-Soo; Ha, Sang-Sub; Jang, Su-Hwan; Chung, Kyung-Won; Lee, Gangwoong; Kim, Won-Ho; Choi, Yong-Joo] Hankuk Univ Foreign Studies, Korea Latin Amer Green Convergence Ctr, Seoul, South Korea; [Cho, Cheon-Ho] Natl Inst Meteorol Res, Div Climate Res, Seoul, South Korea</t>
  </si>
  <si>
    <t>Hankuk University Foreign Studies</t>
  </si>
  <si>
    <t>Park, IS (corresponding author), Hankuk Univ Foreign Studies, Korea Latin Amer Green Convergence Ctr, Seoul, South Korea.</t>
  </si>
  <si>
    <t>hufspis@naver.com</t>
  </si>
  <si>
    <t>Chung, Kyung-won/C-1893-2011; Kim, Wooho/G-3703-2011</t>
  </si>
  <si>
    <t>National Research Foundation of Korea [NRF-2009-413-B00004]; Korean Ministry of Education, Science and Technology</t>
  </si>
  <si>
    <t>National Research Foundation of Korea(National Research Foundation of Korea); Korean Ministry of Education, Science and Technology(Ministry of Education, Science &amp; Technology (MEST), Republic of Korea)</t>
  </si>
  <si>
    <t>This work was supported by the National Research Foundation of Korea (NRF-2009-413-B00004) and funded by the Korean Ministry of Education, Science and Technology.</t>
  </si>
  <si>
    <t>CENTRO CIENCIAS ATMOSFERA UNAM</t>
  </si>
  <si>
    <t>MEXICO CITY</t>
  </si>
  <si>
    <t>CIRCUITO EXTERIOR, MEXICO CITY CU 04510, MEXICO</t>
  </si>
  <si>
    <t>0187-6236</t>
  </si>
  <si>
    <t>Atmosfera</t>
  </si>
  <si>
    <t>AQ4DX</t>
  </si>
  <si>
    <t>WOS:000342743800006</t>
  </si>
  <si>
    <t>Romero-Gámez, M; Vadillo, JM; Suárez-Rey, EM</t>
  </si>
  <si>
    <t>Romero-Gamez, Mercedes; Vadillo, Jose M.; Suarez-Rey, Elisa M.</t>
  </si>
  <si>
    <t>Nitrogen, carbon, and water scarcity footprints of Brassica oleracea production</t>
  </si>
  <si>
    <t>Life Cycle Assessment; Reactive nitrogen loss; Nitrogen management; Water scarcity; Cauliflower; Broccoli</t>
  </si>
  <si>
    <t>LIFE-CYCLE ASSESSMENT; GREENHOUSE-GAS EMISSIONS; UNCERTAINTY; CROP; CULTIVATION; FERTILIZERS; CONSUMPTION; STRATEGIES; BALANCE; SYSTEMS</t>
  </si>
  <si>
    <t>PurposeCarbon footprint (CF), nitrogen footprint (NF), and water scarcity footprint (WSF) are increasingly used to reduce the environmental impact due to agricultural practices, mainly fertilization and water use. The aim of the study was to assess and quantify the CF, NF, and WSF of cauliflower and broccoli production in three different edapho-climatic areas of Spain (Badajoz, Granada, and Valencia) with increasing nitrogen fertilizer rates (N0, N1, N2, and N3).MethodsThe environmental burdens and footprints associated to these crops were calculated and evaluated using the Life Cycle Assessment (LCA) methodology. The functional unit defined was the mass unit, 1 t of commercial fresh weight of each crop. GHG emissions were calculated following a LCA from the cradle (raw material extraction) to the farm gate (last harvest). Inputs and outputs associated to all phases (fertilizers, crop management, pesticides, and irrigation system) carried out during the production process of each crop in all scenarios were considered. Reactive nitrogen (Nr) emission and NF of the cauliflower and broccoli crops production were quantified following the perspective of LCA approach, considering the inputs and outputs associated to the fertilizers applied (different N rates, P2O5, and K2O). WSF was calculated as the product of water applied by irrigation during the crop cycles of each scenario per t of commercial fresh product and the water stress index based on location.Results and discussionThe results demonstrated environmental and agronomic benefits of adequate nitrogen management in broccoli and cauliflower production in different areas of Spain, maintaining or reducing CF, NF, and Nr emissions, without reducing crop yields. For example, a reduction of 18% of CF and of 17% of NF was observed under treatment N2 (212 kg ha-1) compared to N3 (313 kg ha-1) for broccoli in Badajoz. In addition, the selection of areas with climatic conditions that require less water for irrigation, such as Badajoz, contributed to the reduction of WSF, resulting in a mean difference between treatments of 42.3 m3t-1 for cauliflower and 81 m3 t-1 for broccoli compared to Valencia and Granada, respectively.Conclusions and recommendationsThe optimization of nitrogen fertilizers application combined with an efficient irrigation system (using recycled and/or longer service life materials and renewable energy sources) should be a priority for mitigating CF and NF and reduction of Nr emissions in broccoli and cauliflower production. Designing optimal fertilization treatments in areas with lower water consumption could be considered an alternative management tool for sustainable agriculture of Brassica oleracea crops, while maintaining or increasing crop productivity.</t>
  </si>
  <si>
    <t>[Romero-Gamez, Mercedes; Suarez-Rey, Elisa M.] Inst Agr &amp; Fisheries Res &amp; Training IFAPA, Ctr Camino Purchil, Dept Agrifood Engn &amp; Technol, Granada 18080, Spain; [Vadillo, Jose M.] Ctr Sci &amp; Technol Res Extremadura CICYTEX, Area Agron Woody &amp; Hort Crops, Finca la Orden,Autovia AV,km372, Badajoz 06187, Spain</t>
  </si>
  <si>
    <t>Romero-Gámez, M (corresponding author), Inst Agr &amp; Fisheries Res &amp; Training IFAPA, Ctr Camino Purchil, Dept Agrifood Engn &amp; Technol, Granada 18080, Spain.</t>
  </si>
  <si>
    <t>mercedesrom2307@gmail.com</t>
  </si>
  <si>
    <t>; Suarez-Rey, Elisa/J-9827-2013</t>
  </si>
  <si>
    <t>Vadillo Hurtado, Jose Maria/0000-0001-6468-4948; Suarez-Rey, Elisa/0000-0002-2495-5560</t>
  </si>
  <si>
    <t>Ministerio de Ciencia e Innovacin</t>
  </si>
  <si>
    <t>We thank the technical staff who assisted with the field and laboratory work.</t>
  </si>
  <si>
    <t>10.1007/s11367-025-02483-2</t>
  </si>
  <si>
    <t>5PS7N</t>
  </si>
  <si>
    <t>WOS:001494236900001</t>
  </si>
  <si>
    <t>Li, Q; Cui, KK; Lv, JH; Zhang, JB; Peng, CH; Li, YF; Gu, ZK; Song, XZ</t>
  </si>
  <si>
    <t>Li, Quan; Cui, Kunkai; Lv, Jianhua; Zhang, Junbo; Peng, Changhui; Li, Yongfu; Gu, Zhikang; Song, Xinzhang</t>
  </si>
  <si>
    <t>Biochar amendments increase soil organic carbon storage and decrease global warming potentials of soil CH4 and N2O under N addition in a subtropical Moso bamboo plantation</t>
  </si>
  <si>
    <t>FOREST ECOSYSTEMS</t>
  </si>
  <si>
    <t>Biochar application; Nitrogen addition; Greenhouse gas; Global warming potential; Plantation</t>
  </si>
  <si>
    <t>GREENHOUSE-GAS EMISSIONS; NITROGEN DEPOSITION; FOREST ECOSYSTEMS; MANAGEMENT-PRACTICES; METHANE OXIDATION; CO2; TEMPERATE; RESPIRATION; FLUXES; IMPACT</t>
  </si>
  <si>
    <t>Background: Nitrogen (N) deposition affects soil greenhouse gas (GHG) emissions, while biochar application reduces GHG emissions in agricultural soils. However, it remains unclear whether biochar amendment can alleviate the promoting effects of N input on GHG emissions in forest soils. Here, we quantify the separate and combined effects of biochar amendment (0, 20, and 40 t???ha???1) and N addition (0, 30, 60, and 90 kg N???ha???1???yr???1) on soil GHG fluxes in a long-term field experiment at a Moso bamboo (Phyllostachys edulis) plantation. Results: Low and moderate N inputs (&lt;60 kg N???ha???1???yr???1) significantly increase mean annual soil carbon dioxide (CO2) and nitrous oxide (N2O) emissions by 17.0%???25.4% and 29.8%???31.2%, respectively, while decreasing methane (CH4) uptake by 12.4%???15.9%, leading to increases in the global warming potential (GWP) of soil CH4 and N2O fluxes by 32.4%???44.0%. Moreover, N addition reduces soil organic carbon (C; SOC) storage by 0.2%??? 6.5%. Compared to the control treatment, biochar amendment increases mean annual soil CO2 emissions, CH4 uptake, and SOC storage by 18.4%???25.4%, 7.6%???15.8%, and 7.1%???13.4%, respectively, while decreasing N2O emissions by 17.6%???19.2%, leading to a GWP decrease of 18.4%???21.4%. Biochar amendments significantly enhance the promoting effects of N addition on soil CO2 emissions, while substantially offsetting the promotion of N2O emissions, inhibition of CH4 uptake, and decreased SOC storage, resulting in a GWP decrease of 9.1%???30.3%. Additionally, soil CO2 and CH4 fluxes are significantly and positively correlated with soil microbial biomass C (MBC) and pH. Meanwhile, N2O emissions have a significant and positive correlation with soil MBC and a negative correlation with pH. Conclusions: Biochar amendment can increase SOC storage and offset the enhanced GWP mediated by elevated N deposition and is, thus, a potential strategy for increasing soil C sinks and decreasing GWPs of soil CH4 and N2O under increasing atmospheric N deposition in Moso bamboo plantations.</t>
  </si>
  <si>
    <t>[Li, Quan; Cui, Kunkai; Lv, Jianhua; Zhang, Junbo; Li, Yongfu; Song, Xinzhang] Zhejiang A&amp;F Univ, State Key Lab Subtrop Silviculture, Hangzhou 311300, Peoples R China; [Peng, Changhui] Univ Quebec Montreal, Inst Environm Sci, Dept Biol Sci, Case Postale 8888,Succursale Ctr Ville, Montreal, PQ H3C 3P8, Canada; [Gu, Zhikang] Huzhou Res Ctr Ecol Forestry &amp; Protect, Huzhou 313000, Peoples R China</t>
  </si>
  <si>
    <t>Zhejiang A&amp;F University; University of Quebec; University of Quebec Montreal</t>
  </si>
  <si>
    <t>Song, XZ (corresponding author), Zhejiang A&amp;F Univ, State Key Lab Subtrop Silviculture, Hangzhou 311300, Peoples R China.</t>
  </si>
  <si>
    <t>songxinzhang@gmail.com</t>
  </si>
  <si>
    <t>Li, Yongfu/AAF-9268-2020; Peng, Changhui/JQJ-4339-2023; Zhang, Junbo/MXK-8769-2025</t>
  </si>
  <si>
    <t>Peng, Changhui/0000-0003-2037-8097; Li, Yongfu/0000-0002-8324-5606;</t>
  </si>
  <si>
    <t>2095-6355</t>
  </si>
  <si>
    <t>2197-5620</t>
  </si>
  <si>
    <t>FOR ECOSYST</t>
  </si>
  <si>
    <t>For. Ecosyst.</t>
  </si>
  <si>
    <t>10.1016/j.fecs.2022.100054</t>
  </si>
  <si>
    <t>2S5FS</t>
  </si>
  <si>
    <t>WOS:000821818400009</t>
  </si>
  <si>
    <t>Gross, CD; Bork, EW; Carlyle, CN; Chang, SX</t>
  </si>
  <si>
    <t>Gross, Cole D.; Bork, Edward W.; Carlyle, Cameron N.; Chang, Scott X.</t>
  </si>
  <si>
    <t>Agroforestry perennials reduce nitrous oxide emissions and their live and dead trees increase ecosystem carbon storage</t>
  </si>
  <si>
    <t>agroforestry systems; climate change mitigation; deadwood; ecosystem carbon sequestration; greenhouse gas emissions; soil organic carbon; sustainable agriculture</t>
  </si>
  <si>
    <t>SOIL ORGANIC-CARBON; GRASSLAND COVER TYPES; ACID FUMIGATION; FOREST; BIOMASS; MATTER; SEQUESTRATION; LITTER; DECOMPOSITION; RESPIRATION</t>
  </si>
  <si>
    <t>Agroforestry systems (AFS) contribute to carbon (C) sequestration and reduction in greenhouse gas emissions from agricultural lands. However, previously understudied differences among AFS may underestimate their climate change mitigation potential. In this 3-year field study, we assessed various C stocks and greenhouse gas emissions across two common AFS (hedgerows and shelterbelts) and their component land uses: perennial vegetated areas with and without trees (woodland and grassland, respectively), newly planted saplings in grassland, and adjacent annual cropland in central Alberta, Canada. Between 2018 and 2020 (similar to April-October), nitrous oxide emissions were 89% lower under perennial vegetation relative to the cropland (0.02 and 0.18 g Nm(-2) year(-1), respectively). In 2020, heterotrophic respiration in the woodland was 53% lower in shelterbelts relative to hedgerows (279 and 600 g C m(-2) year(-1), respectively). Within the woodland, deadwood C stock was particularly important in hedgerows (35 Mg C ha(-1) or 7% of ecosystem C) relative to shelterbelts (2 Mg C ha(-1) or &lt;1% of ecosystem C), and likely affected C cycling differences between the woodland types by enhancing soil labile C and microbial biomass in hedgerows. Deadwood C stock was positively correlated with annual heterotrophic respiration and total (to similar to 100 cm depth) soil organic C, water-soluble organic C, and microbial biomass C. Total ecosystem C was 1.90-2.55 times greater within the woodland than all other land uses, with 176, 234, 237, and 449 Mg C ha(-1) found in the cropland, grassland, planted saplings treatment, and woodland, respectively. Shelterbelt and hedgerow woodlands contained 2.09 and 3.03 times more C, respectively, than adjacent cropland. Our findings emphasize the importance of AFS for fostering C sequestration and reducing greenhouse gas emissions and, in particular, retaining hedgerows (legacy woodland) and their associated deadwood across temperate agroecosystems will help mitigate climate change.</t>
  </si>
  <si>
    <t>[Gross, Cole D.; Chang, Scott X.] Univ Alberta, Fac Agr Life &amp; Environm Sci, Dept Renewable Resources, 442 Earth Sci Bldg, Edmonton, AB T6G 2E3, Canada; [Bork, Edward W.; Carlyle, Cameron N.] Univ Alberta, Fac Agr Life &amp; Environm Sci, Dept Agr Food &amp; Nutr Sci, Edmonton, AB, Canada</t>
  </si>
  <si>
    <t>University of Alberta; University of Alberta</t>
  </si>
  <si>
    <t>Chang, SX (corresponding author), Univ Alberta, Fac Agr Life &amp; Environm Sci, Dept Renewable Resources, 442 Earth Sci Bldg, Edmonton, AB T6G 2E3, Canada.</t>
  </si>
  <si>
    <t>sxchang@ualberta.ca</t>
  </si>
  <si>
    <t>Chang, Scott/G-2029-2011; Gross, Cole/JXN-6127-2024</t>
  </si>
  <si>
    <t>Chang, Scott/0000-0002-7624-439X; Carlyle, Cameron/0000-0003-4753-5945; Gross, Cole D/0000-0001-9362-3490</t>
  </si>
  <si>
    <t>Agriculture and Agri-Food Canada [AGGP2-039]; Doctoral Vanier Scholarship; Killam Memorial Graduate Scholarship</t>
  </si>
  <si>
    <t>Agriculture and Agri-Food Canada(Agriculture &amp; Agri Food Canada); Doctoral Vanier Scholarship; Killam Memorial Graduate Scholarship</t>
  </si>
  <si>
    <t>Agriculture and Agri-Food Canada, Grant/Award Number: AGGP2-039; Doctoral Vanier Scholarship; Killam Memorial Graduate Scholarship</t>
  </si>
  <si>
    <t>10.1111/gcb.16322</t>
  </si>
  <si>
    <t>4M7RE</t>
  </si>
  <si>
    <t>WOS:000825871500001</t>
  </si>
  <si>
    <t>Iriarte, A; Yáñez, P; Villalobos, P; Huenchuleo, C; Rebolledo-Leiva, R</t>
  </si>
  <si>
    <t>Iriarte, Alfredo; Yanez, Pablo; Villalobos, Pablo; Huenchuleo, Carlos; Rebolledo-Leiva, Ricardo</t>
  </si>
  <si>
    <t>Carbon footprint of southern hemisphere fruit exported to Europe: The case of Chilean apple to the UK</t>
  </si>
  <si>
    <t>Carbon footprint; Chilean exported apple; Food miles; Life cycle assessment; Fruits</t>
  </si>
  <si>
    <t>LIFE-CYCLE ASSESSMENT; FOOD-MILES; SUPPLY CHAINS; SUSTAINABILITY; IMPACTS</t>
  </si>
  <si>
    <t>The product carbon footprint (CF) has been raised as an environmental indicator to estimate the sum and removals of GHG emissions, expressed as CO2 equivalents (CO(2)e), based on a life cycle assessment. Mainly, the measurement of the CF of fruits has been focused on different separate stages with reduced integration of the entire supply chain because data come from different sources at the global fruit market. The main objective of this study is to estimate the CF of the entire supply chain of exported Chilean apple from agricultural production to the UK consumer's door. The results indicate that the Chilean apple presents GHG emissions of 0.54 kg CO(2)e/kg apple. The ocean freight is a hot spot that determines the performance of the CF of exported apple with a contribution of 39.2%. Finally, the importance of carrying out these types of studies covering the entire supply chain is emphasized, to provide public and private agents with accurate information and help them make the right decisions. In this way, the misuse of concepts-such as food miles-by interest groups in society is prevented, thus avoiding distortion in the fresh fruit trade. (C) 2021 Elsevier Ltd. All rights reserved.</t>
  </si>
  <si>
    <t>[Iriarte, Alfredo] Univ Talca, Fac Engn, Dept Ind Engn, Camino Los Niches Km 1, Curico, Chile; [Yanez, Pablo] Univ Talca, Dept Community Engagement, Talca 3460000, Chile; [Villalobos, Pablo] Univ Talca, Dept Agr Econ, Talca 3460000, Chile; [Villalobos, Pablo] Univ Talca, Interdisciplinary Inst Innovat, Talca 3460000, Chile; [Huenchuleo, Carlos] Pontificia Univ Catolica Valparaiso, Agron Sch, Calle San Francisco SN, Quillota 2260000, Chile; [Rebolledo-Leiva, Ricardo] Univ Talca, Fac Engn, Operat Management, Camino Los Niches Km 1, Curico 3340000, Chile</t>
  </si>
  <si>
    <t>Universidad de Talca; Universidad de Talca; Universidad de Talca; Universidad de Talca; Pontificia Universidad Catolica de Valparaiso; Universidad de Talca</t>
  </si>
  <si>
    <t>Yáñez, P (corresponding author), Univ Talca, Dept Community Engagement, Talca 3460000, Chile.</t>
  </si>
  <si>
    <t>airiarte@utalca.cl; payanez@utalca.cl; pvillal@utalca.cl; carlos.huenchuleo@pucv.cl; rrebolledo10@alumnos.utalca.cl</t>
  </si>
  <si>
    <t>; Rebolledo-Leiva, Ricardo/S-2414-2019; Iriarte, Alfredo/C-1361-2008</t>
  </si>
  <si>
    <t>Iriarte, Alfredo/0000-0002-8281-829X; Rebolledo-Leiva, Ricardo/0000-0003-1082-169X;</t>
  </si>
  <si>
    <t>10.1016/j.jclepro.2021.126118</t>
  </si>
  <si>
    <t>RH5LI</t>
  </si>
  <si>
    <t>WOS:000636259500005</t>
  </si>
  <si>
    <t>Smith, MR; Golden, CD; Myers, SS</t>
  </si>
  <si>
    <t>Smith, M. R.; Golden, C. D.; Myers, S. S.</t>
  </si>
  <si>
    <t>Potential rise in iron deficiency due to future anthropogenic carbon dioxide emissions</t>
  </si>
  <si>
    <t>GEOHEALTH</t>
  </si>
  <si>
    <t>iron deficiency; climate change; global health; nutrition</t>
  </si>
  <si>
    <t>ANEMIA; ABSORPTION; DENSITY; ZINC</t>
  </si>
  <si>
    <t>Iron deficiency reduces capacity for physical activity, lowers IQ, and increases maternal and child mortality, impacting roughly a billion people worldwide. Recent studies have shown that certain highly consumed cropsC(3) grains (e.g., wheat, rice, and barley), legumes, and maizehave lower iron concentrations of 4-10% when grown under increased atmospheric CO2 concentrations (550 ppm). We examined diets in 152 countries globally (95.5% of the population) to estimate the percentage of lost dietary iron resulting from anthropogenic CO2 emissions between now and 2050, specifically among vulnerable age-sex groups: children (1-5 years) and women of childbearing age (15-49 years), holding diets constant. We also cross-referenced these with the current prevalence of anemia to identify most at-risk countries. We found that 1.4 billion children aged 1-5 and women of childbearing age (59% of global total for these groups) live in high-risk countries, where the prevalence of anemia exceeds 20% and modeled loss in dietary iron would be in the most severe tertile (&gt;3.8%). The countries with the highest anemia prevalence also derive their iron from the fewest number of foods, even after excluding countries consuming large amounts of unaccounted wild-harvest foods. The potential risk of increased iron deficiency adds greater incentive for mitigating anthropogenic CO2 emissions and highlights the need to address anticipated health impacts via improved health delivery systems, dietary behavioral changes, or agricultural innovation. Because these are effects on content rather than yield, it is unlikely that consumers will perceive this health threat and adapt to it without education.</t>
  </si>
  <si>
    <t>[Smith, M. R.; Golden, C. D.; Myers, S. S.] Harvard TH Chan Sch Publ Hlth, Dept Environm Hlth, Exposure Epidemiol &amp; Risk Program, Boston, MA 02115 USA; [Golden, C. D.; Myers, S. S.] Harvard Univ, Ctr Environm, Cambridge, MA 02138 USA</t>
  </si>
  <si>
    <t>Harvard University; Harvard T.H. Chan School of Public Health; Harvard University</t>
  </si>
  <si>
    <t>Smith, MR (corresponding author), Harvard TH Chan Sch Publ Hlth, Dept Environm Hlth, Exposure Epidemiol &amp; Risk Program, Boston, MA 02115 USA.</t>
  </si>
  <si>
    <t>msmith@hsph.harvard.edu</t>
  </si>
  <si>
    <t>; Golden, Christopher/JPA-5431-2023</t>
  </si>
  <si>
    <t>Golden, Christopher/0000-0002-2258-7493; Smith, Matthew/0000-0001-5207-2370</t>
  </si>
  <si>
    <t>Bill and Melinda Gates Foundation [23017]</t>
  </si>
  <si>
    <t>Bill and Melinda Gates Foundation(Bill &amp; Melinda Gates Foundation)</t>
  </si>
  <si>
    <t>We thank Sean Lynch for a helpful discussion on iron bioavailability. Supporting data for this study may be found in the supporting information, and additional GENuS data may be found at the Harvard Dataverse website: http://dataverse.harvard.edu/dataverse/GENuS.We also thank the Bill and Melinda Gates Foundation grant 23017 for support.</t>
  </si>
  <si>
    <t>2471-1403</t>
  </si>
  <si>
    <t>GeoHealth</t>
  </si>
  <si>
    <t>10.1002/2016GH000018</t>
  </si>
  <si>
    <t>VI0FU</t>
  </si>
  <si>
    <t>WOS:000458209100001</t>
  </si>
  <si>
    <t>Wang, FL; Li, Z; Zheng, D; Liao, SQ; Zhang, X; Yu, ZH; Liu, J; Zong, HY; Wang, XX; Song, NN</t>
  </si>
  <si>
    <t>Wang, Fangli; Li, Zhi; Zheng, Dan; Liao, Shangqiang; Zhang, Xi; Yu, Zihan; Liu, Jun; Zong, Haiying; Wang, Xuexia; Song, Ningning</t>
  </si>
  <si>
    <t>Five-year controlled-release/stable nitrogen fertilization reduces field nitrogen loss without increasing carbon dioxide emissions in a vegetable rotation system</t>
  </si>
  <si>
    <t>controlled-release N fertilizer; greenhouse gas emissions; nitrification inhibitor; stable N fertilizer; vegetable yield</t>
  </si>
  <si>
    <t>NITRIFICATION INHIBITOR; OXIDE EMISSIONS; 3,4-DIMETHYLPYRAZOLE PHOSPHATE; DICYANDIAMIDE DCD; SOIL RESPIRATION; N2O EMISSIONS; EFFICIENCY; AMMONIA; PRODUCTIVITY; METAANALYSIS</t>
  </si>
  <si>
    <t>Controlled-release/stable nitrogen (N) fertilizers can improve vegetable yields and achieve lower greenhouse gas emissions, resulting in cost-effective and environmentally friendly vegetable production. However, there has been limited research on the controlled-release/stable N fertilization in long-term fixed-position vegetable rotation fields. In this study, a five-year field experiment was conducted to examine the effects of long-term controlled-release/stable N fertilization in reducing greenhouse gas emissions and increasing lettuce yield. Six distinct treatments were employed for N fertilization: the control without N fertilizer (CK), normal local farming practices with application of urea fertilizer at 400 kg N ha-1 (T1), optimized application of urea at 320 kg N ha-1 (T2), optimized application of urea at 320 kg N ha-1 with supplementation of 1.0 kg ha-1 3,4-dimethylpyrazole phosphate (DMPP) as N inhibitor (T3), application of polyurethane-coated urea at 320 kg N ha-1 (T4), and application of polyurethane-coated urea at 320 kg N ha-1 with supplementation of 1.0 kg ha-1 DMPP (T5). The results showed that the T3, T4, and T5 treatments using controlled-release/stable N fertilization emitted about 12.2%-56.7% less average annual cumulative nitrous oxide (N2O) and 1.31%-10.0% less carbon dioxide (CO2) than the T2 treatment. Nitrous oxide and CO2 emissions from the T4 and T5 treatments were considerably lower than those from the T3 treatment. No significant seasonal or interannual variability was observed in N2O and CO2 emissions. The observed phenomena were attributed to the fluctuations in soil ammonium-and nitrate-N contents. The findings in this study revealed that long-term controlled-release/stable N fertilization resulted in reduced field N loss, benefitting vegetable yields without increasing CO2 emissions and highlighting the application potential of this technique for sustainable agricultural production.</t>
  </si>
  <si>
    <t>[Wang, Fangli; Li, Zhi; Yu, Zihan; Liu, Jun; Zong, Haiying; Song, Ningning] Qingdao Agr Univ, Qingdao Engn Res Ctr Rural Environm, Sch Resources &amp; Environm, Qingdao 266109, Peoples R China; [Zheng, Dan] Chalmers Univ Technol, Dept Architecture &amp; Civil Engn, Div Water Environm Technol, S-41296 Gothenburg, Sweden; [Liao, Shangqiang; Wang, Xuexia] Beijing Acad Agr &amp; Forestry Sci, Inst Plant Nutr &amp; Resources, Beijing 100097, Peoples R China; [Zhang, Xi] Chinese Acad Agr Sci, Inst Agr Resources &amp; Reg Planning, Beijing 100081, Peoples R China</t>
  </si>
  <si>
    <t>Qingdao Agricultural University; Chalmers University of Technology; Beijing Academy of Agriculture &amp; Forestry Sciences (BAAFS); Chinese Academy of Agricultural Sciences; Institute of Agricultural Resources &amp; Regional Planning, CAAS</t>
  </si>
  <si>
    <t>Song, NN (corresponding author), Qingdao Agr Univ, Qingdao Engn Res Ctr Rural Environm, Sch Resources &amp; Environm, Qingdao 266109, Peoples R China.;Wang, XX (corresponding author), Beijing Acad Agr &amp; Forestry Sci, Inst Plant Nutr &amp; Resources, Beijing 100097, Peoples R China.</t>
  </si>
  <si>
    <t>wxx0427@163.com; snn05@163.com</t>
  </si>
  <si>
    <t>Yu, Zihan/KVC-0494-2024; Zheng, Dan/HJA-8362-2022; Wang, Fangli/I-4893-2015</t>
  </si>
  <si>
    <t>Zheng, Dan/0000-0002-8680-432X;</t>
  </si>
  <si>
    <t>Natural Science Foundation of Shandong Province, China [ZR2022MD118, ZR2022MD050]; Beijing Academy of Agricultural and Forestry Sciences Science and Technology Innovation Capacity Construction Project, China [20230207]; Humanities and Social Science Foundation Project of Ministry of Education, China [22YJCZH166]; Technical System of Ecological Agriculture of Modern Agricultural Technology System in Shandong Province, China [SDAIT-30-02]; National Key Research and Development Program of China [2023YFD1701901]; Fundamental Research Funds for Central Non-profit Scientific Institution of China [1610132023006]</t>
  </si>
  <si>
    <t>Natural Science Foundation of Shandong Province, China(Natural Science Foundation of Shandong Province); Beijing Academy of Agricultural and Forestry Sciences Science and Technology Innovation Capacity Construction Project, China; Humanities and Social Science Foundation Project of Ministry of Education, China; Technical System of Ecological Agriculture of Modern Agricultural Technology System in Shandong Province, China; National Key Research and Development Program of China(National Key Research &amp; Development Program of China); Fundamental Research Funds for Central Non-profit Scientific Institution of China</t>
  </si>
  <si>
    <t>This work was supported by the Natural Science Foundation of Shandong Province, China (Nos. ZR2022MD118 and ZR2022MD050) , the Beijing Academy of Agricultural and Forestry Sciences Science and Technology Innovation Capacity Construction Project, China (No. 20230207) , the Humanities and Social Science Foundation Project of Ministry of Education, China (No. 22YJCZH166) , the Technical System of Ecological Agriculture of Modern Agricultural Technology System in Shandong Province, China (No. SDAIT-30-02) , the National Key Research and Development Program of China (No. 2023YFD1701901) , and the Fundamental Research Funds for Central Non-profit Scientific Institution of China (No. 1610132023006) .</t>
  </si>
  <si>
    <t>10.1016/j.pedsph.2024.06.003</t>
  </si>
  <si>
    <t>4IV4Q</t>
  </si>
  <si>
    <t>WOS:001519050000008</t>
  </si>
  <si>
    <t>Qiu, QY; Wu, LF; Ouyang, Z; Li, BB; Xu, YY; Wu, SS; Gregorich, EG</t>
  </si>
  <si>
    <t>Qiu, Qingyan; Wu, Lanfang; Ouyang, Zhu; Li, Binbin; Xu, Yanyan; Wu, Shanshan; Gregorich, E. G.</t>
  </si>
  <si>
    <t>Effects of plant-derived dissolved organic matter (DOM) on soil CO2 and N2O emissions and soil carbon and nitrogen sequestrations</t>
  </si>
  <si>
    <t>Dissolved organic matter; CO2 emission; N2O emission; Microbial biomass carbon; Soil carbon sequestration; Soil nitrogen sequestration</t>
  </si>
  <si>
    <t>MICROBIAL BIOMASS-C; NORTH CHINA PLAIN; OXIDE EMISSIONS; TERRESTRIAL ECOSYSTEMS; RESIDUE DECOMPOSITION; GRASSLAND SOILS; N AVAILABILITY; POULTRY MANURE; LABILE CARBON; CROP RESIDUES</t>
  </si>
  <si>
    <t>Dissolved organic matter (DOM) in soils play an essential role in soil physical, chemical and biological processes, but little information is available on the biodegradability of plant-derived DOM and its effect on soil carbon and nitrogen sequestration in field soils. The objectives of this study were to investigate the impacts of crop residue-derived DOM on soil CO2 and N2O emissions, as well as soil carbon and nitrogen sequestration by adding water extracts of maize stalk (i.e., plant-derived DOM) to soils. In this study, wheat was grown in pots under field conditions with treated soils, the soils treatments were: plant-derived DOM (PDOM), urea nitrogen (N), PDOM + urea nitrogen (PDOM + N), as well as a control with no additions to soil (CK). Adding plant-derived DOM to soil increased soil CO2 and N2O emissions (P &lt; 0.05). During the wheat growing season, the cumulative CO2-C emission from CK, PDOM, N and PDOM + N was 107 +/- 1, 157 +/- 7, 136 +/- 2 and 149 +/- 6 g Cm-2, respectively. Meanwhile, the cumulative N2O-N emission from CK, PDOM, N and PDOM + N was 188 +/- 8, 256 +/- 5, 239 +/- 10 and 258 +/- 7 mg N m(-2), respectively. Compared with N treatment, DOM addition had little effect on soil N sequestration, but it accelerated the decomposition of native soil organic carbon (SOC) and caused a net loss of SOC. The soil C sequestration decreased about 151 +/- 67 and 51 +/- 45 g C m(-2) in PDOM and PDOM + N treatments, respectively. The increased microbial biomass and root biomass were responsible for the greater CO2 emission in DOM-amended soils. Negative correlation between dissolved organic carbon (DOC) content and N2O flux suggested that the release of N2O was dependent on the supply of DOC. These results indicated that the supply of plant-derived DOM exacerbated soil CO2 and N2O emissions and reduced soil C sequestration. Therefore, agricultural management practices that increase the stability of highly soluble C inputs and/or retard the decomposition of crop residues should be adopted to decrease soil greenhouse gas emission and increase soil C sequestration. (C) 2015 Elsevier B.V. All rights reserved.</t>
  </si>
  <si>
    <t>[Qiu, Qingyan; Wu, Lanfang; Ouyang, Zhu; Li, Binbin; Xu, Yanyan] Chinese Acad Sci, Key Lab Ecosyst Network Observat &amp; Modeling, Yucheng Comprehens Expt Stn, Inst Geog Sci &amp; Nat Resources Res, Beijing 100101, Peoples R China; [Qiu, Qingyan; Xu, Yanyan] Univ Chinese Acad Sci, Beijing 100049, Peoples R China; [Wu, Shanshan; Gregorich, E. G.] Agr &amp; Agri Food Canada, Eastern Cereal &amp; Oilseed Res Ctr, Cent Expt Farm, Ottawa, ON K1A 0C6, Canada</t>
  </si>
  <si>
    <t>Chinese Academy of Sciences; Institute of Geographic Sciences &amp; Natural Resources Research, CAS; Chinese Academy of Sciences; University of Chinese Academy of Sciences, CAS; Agriculture &amp; Agri Food Canada</t>
  </si>
  <si>
    <t>Wu, LF (corresponding author), 11A Datun Rd, Beijing 100101, Peoples R China.</t>
  </si>
  <si>
    <t>wulf@igsnrr.ac.cn</t>
  </si>
  <si>
    <t>Gregorich, Edward/J-9785-2012; 刘, 芳华/H-7907-2014</t>
  </si>
  <si>
    <t>Gregorich, Edward/0000-0003-3652-2946</t>
  </si>
  <si>
    <t>National Natural Sciences Foundation of China [31271675]; National Key Technologies R&amp;D Program of China [2013BAD05B03]; Regional Innovation Cluster Program of China Academy of Sciences [CXJQ120109]</t>
  </si>
  <si>
    <t>National Natural Sciences Foundation of China(National Natural Science Foundation of China (NSFC)); National Key Technologies R&amp;D Program of China(National Key Technology R&amp;D Program); Regional Innovation Cluster Program of China Academy of Sciences</t>
  </si>
  <si>
    <t>We are grateful to the three anonymous reviewers for their valuable comments. This study was supported by the National Natural Sciences Foundation of China (No. 31271675), the National Key Technologies R&amp;D Program of China (No. 2013BAD05B03) and the Regional Innovation Cluster Program of China Academy of Sciences (No. CXJQ120109).</t>
  </si>
  <si>
    <t>10.1016/j.apsoil.2015.07.016</t>
  </si>
  <si>
    <t>CS2EK</t>
  </si>
  <si>
    <t>WOS:000361880400015</t>
  </si>
  <si>
    <t>Xu, X; Wu, ZJ; Yao, YQ; Li, Y; Zhu, LH; Wang, D</t>
  </si>
  <si>
    <t>Xu, Xiang; Wu, Zijing; Yao, Yiqing; Li, Yao; Zhu, Lihua; Wang, Di</t>
  </si>
  <si>
    <t>In-Motion Polar Alignment Method With Unified Navigation Mechanization and Transverse Virtual Polar Region Technology</t>
  </si>
  <si>
    <t>IEEE TRANSACTIONS ON INSTRUMENTATION AND MEASUREMENT</t>
  </si>
  <si>
    <t>Vectors; Navigation; Global Positioning System; Velocity measurement; Position measurement; Measurement uncertainty; Measurement errors; Inertial sensors; Convergence; Gyroscopes; Global positioning system (GPS); in-motion alignment; strapdown inertial navigation system (SINS); unified navigation mechanization; vector subtraction improvements; virtual polar region method</t>
  </si>
  <si>
    <t>SHIP; SINS</t>
  </si>
  <si>
    <t>In this article, the in-motion polar alignment method for strapdown inertial navigation system (SINS)/global positioning system (GPS) integration is proposed. First, to address the defects of the fast convergence of the longitude with the navigational mechanization, the unified navigation mechanization is used to construct the vector observations for the in-motion alignment method. Second, the initial velocity errors, which are generated by the GPS outputs, are considered. To suppress the initial velocity errors, the improved vector observation with the vector subtraction improvements is investigated. With the vector subtraction improvements, the initial velocity errors are eliminated efficiently. Third, to enhance the correction of the observation vectors for the attitude determination, the continuous attitude determination method with the expansion samples of the GPS outputs is designed. Lastly, to verify the performance of the proposed method, the virtual polar region technology in the transverse mechanization is devised. The simulation and field tests are designed for verification, the test results are shown that the proposed method can finish the in-motion polar alignment process, and the initial velocity errors are suppressed. Moreover, the subtraction operation for observation vectors does not degrade the performance of the alignment process.</t>
  </si>
  <si>
    <t>[Xu, Xiang; Wu, Zijing] Nanjing Univ Sci &amp; Technol, Sch Automat, Nanjing 210094, Peoples R China; [Yao, Yiqing; Li, Yao] Southeast Univ, Key Lab Microinertial Instrument &amp; Adv Nav Technol, Minist Educ, Nanjing 210096, Peoples R China; [Zhu, Lihua] Nanjing Univ Sci &amp; Technol, Sch Mech Engn, Nanjing 210094, Peoples R China; [Wang, Di] Hohai Univ, Coll Artificial Intelligence &amp; Automat, Changzhou 213200, Peoples R China</t>
  </si>
  <si>
    <t>Nanjing University of Science &amp; Technology; Southeast University - China; Nanjing University of Science &amp; Technology; Hohai University</t>
  </si>
  <si>
    <t>Xu, X (corresponding author), Nanjing Univ Sci &amp; Technol, Sch Automat, Nanjing 210094, Peoples R China.</t>
  </si>
  <si>
    <t>hsianghsu@163.com; WuTzuching@njust.edu.cn; yucia@sina.com; liyao@seu.edu.cn; zhulihua@njust.edu.cn; wangdigood2011@163.com</t>
  </si>
  <si>
    <t>徐, 祥/G-2266-2017; Xu, Xiang/G-2266-2017</t>
  </si>
  <si>
    <t>li, yao/0000-0001-8904-1957; Wang, Di/0000-0002-7732-1035; Xu, Xiang/0000-0002-8312-3350; Wu, Zijing/0009-0006-3762-5524; Zhu, Lihua/0000-0003-4461-3450</t>
  </si>
  <si>
    <t>National Natural Science Foundation of China [52271346, 61803278]; Aeronautical Science Foundation of China [20220019059001]; National Equipment Pre-Research Foundation of China [61405170207]; Fundamental Research Funds for the Central Universities [30923011025]</t>
  </si>
  <si>
    <t>National Natural Science Foundation of China(National Natural Science Foundation of China (NSFC)); Aeronautical Science Foundation of China; National Equipment Pre-Research Foundation of China; Fundamental Research Funds for the Central Universities(Fundamental Research Funds for the Central Universities)</t>
  </si>
  <si>
    <t>This work was supported in part by the National Natural Science Foundation of China under Grant 52271346 and Grant 61803278,in part by the Aeronautical Science Foundation of China under Grant 20220019059001, in part by the National Equipment Pre-Research Foundation of China under Grant 61405170207, and in part by the Fundamental Research Funds for the Central Universities under Grant 30923011025.</t>
  </si>
  <si>
    <t>0018-9456</t>
  </si>
  <si>
    <t>1557-9662</t>
  </si>
  <si>
    <t>IEEE T INSTRUM MEAS</t>
  </si>
  <si>
    <t>IEEE Trans. Instrum. Meas.</t>
  </si>
  <si>
    <t>10.1109/TIM.2024.3522341</t>
  </si>
  <si>
    <t>Engineering, Electrical &amp; Electronic; Instruments &amp; Instrumentation</t>
  </si>
  <si>
    <t>Engineering; Instruments &amp; Instrumentation</t>
  </si>
  <si>
    <t>S1A9H</t>
  </si>
  <si>
    <t>WOS:001395650800002</t>
  </si>
  <si>
    <t>Efendi, N; Lestari, EP; Gunsi, VS</t>
  </si>
  <si>
    <t>Efendi, Niko; Lestari, Ericka Pudji; Gunsi, Via Susana</t>
  </si>
  <si>
    <t>Agricultural soil sustainability and carbon management</t>
  </si>
  <si>
    <t>INTEGRATED ENVIRONMENTAL ASSESSMENT AND MANAGEMENT</t>
  </si>
  <si>
    <t>Book Review</t>
  </si>
  <si>
    <t>[Efendi, Niko; Lestari, Ericka Pudji; Gunsi, Via Susana] Bandung Inst Technol, Sch Life Sci &amp; Technol, Bandung, Indonesia</t>
  </si>
  <si>
    <t>Institute Technology of Bandung</t>
  </si>
  <si>
    <t>Efendi, N (corresponding author), Bandung Inst Technol, Sch Life Sci &amp; Technol, Bandung, Indonesia.</t>
  </si>
  <si>
    <t>20623306@mahasiswa.itb.ac.id; 20623304@mahasiswa.itb.ac.id; 21123301@mahasiswa.itb.ac.id</t>
  </si>
  <si>
    <t>1551-3777</t>
  </si>
  <si>
    <t>1551-3793</t>
  </si>
  <si>
    <t>INTEGR ENVIRON ASSES</t>
  </si>
  <si>
    <t>Integr. Environ. Assess. Manag.</t>
  </si>
  <si>
    <t>2JS0H</t>
  </si>
  <si>
    <t>WOS:001484277000003</t>
  </si>
  <si>
    <t>Talberth, J; Carlson, E</t>
  </si>
  <si>
    <t>Talberth, John; Carlson, Ella</t>
  </si>
  <si>
    <t>Forest carbon tax and reward: regulating greenhouse gas emissions from industrial logging and deforestation in the US</t>
  </si>
  <si>
    <t>Carbon tax; Deforestation; Greenhouse gas emissions; Climate smart forestry; Carbon accounting</t>
  </si>
  <si>
    <t>IMPACTS; STORAGE; INVESTMENTS; OPERATIONS; HARVEST</t>
  </si>
  <si>
    <t>Industrial logging activities associated with land development, agricultural expansion, and tree plantations generate significant greenhouse gas emissions and may undermine climate resilience by making the land more vulnerable to heat waves, water shortages, wildfires, flooding, and other stressors. This paper investigates whether a market-based mechanism-a forest carbon tax and reward program-could play a role in mitigating these climate impacts while advancing the Glasgow Leaders Declaration on Forests and Land Use, which seeks to end deforestation and forest degradation by 2030. We do this by describing key differences between the natural and industrial forest carbon cycle, identifying design features of a program that mimics existing carbon tax mechanisms, demonstrating how that program could be implemented using four US states as an example and completing a cash flow analysis to gauge potential effects on forestland investors. Across the states, we estimate the range of taxable GHG emissions to be 22-57 Mt CO2-e yr(-1), emissions factors of 0.91-2.31 Mg C m(-3), and potential tax revenues of $56 to $357 million USD yr(-1). A model of net present value and internal rate of return for a representative forestland investor suggests that while the tax may reduce profitability somewhat (similar to 30%) for a 100,000-acre (40,486 ha) acquisition, it would still generate an attractive rate of return (&gt; 7%), especially for patient capital investors. We conclude that a forest carbon tax program is feasible with existing data available to US state agencies and could be a significant source of funding to promote climate smart forest practices without major disruptions of timber supply or forestland investments.</t>
  </si>
  <si>
    <t>[Talberth, John] Ctr Sustainable Econ, POB 705, Port Townsend, WA 98368 USA; [Carlson, Ella] Ctr Sustainable Econ, 49 Orchard St, Northhampton, MA 01060 USA</t>
  </si>
  <si>
    <t>Talberth, J (corresponding author), Ctr Sustainable Econ, POB 705, Port Townsend, WA 98368 USA.</t>
  </si>
  <si>
    <t>jtalberth@sustainable-economy.org; Ellavi.hc@gmail.com</t>
  </si>
  <si>
    <t>Alex C. Walker Educational and Charitable Foundation; Mosaic Foundation</t>
  </si>
  <si>
    <t>Funding for this research was provided by the Alex. C. Walker Foundation and Mosaic Foundation.</t>
  </si>
  <si>
    <t>10.1007/s10668-024-04523-7</t>
  </si>
  <si>
    <t>3SC5I</t>
  </si>
  <si>
    <t>WOS:001163268500002</t>
  </si>
  <si>
    <t>Begum, K; Kuhnert, M; Yeluripati, J; Ogle, S; Parton, W; Kader, MA; Smith, P</t>
  </si>
  <si>
    <t>Begum, K.; Kuhnert, M.; Yeluripati, J.; Ogle, S.; Parton, W.; Kader, M. A.; Smith, P.</t>
  </si>
  <si>
    <t>Soil organic carbon sequestration and mitigation potential in a rice cropland in Bangladesh - a modelling approach</t>
  </si>
  <si>
    <t>Carbon sequestration; Rice; Agricultural management; Mitigation potential; Bangladesh</t>
  </si>
  <si>
    <t>LONG-TERM APPLICATION; GREENHOUSE-GAS MITIGATION; INDO-GANGETIC PLAINS; NITROGEN MINERALIZATION; AGRICULTURAL SOILS; TERRACE SOIL; PADDY SOIL; MANAGEMENT; MATTER; FERTILIZER</t>
  </si>
  <si>
    <t>An increase in the storage of carbon (C) in soil by changing management practices can help to mitigate climate change and increase soil quality. The objective of this study was to evaluate the best management options for reducing greenhouse gas (GHG) emissions. An ecosystem model DayCent was tested for two rice (Oryza sativa L.) experimental sites in Bangladesh. The sites are under different management practices and we first tested the models ability to simulate SOC turnover, and then estimated the potential for SOC sequestration by comparing change in SOC for each management scenario with baseline management (current farmers' practices) including conventional tillage, 5% residue incorporation and nitrogen (N) fertilizer. Predicted yield was also compared at both sites to ensure that yield was not compromised by mitigation measures. A control treatment was tested at both sites. At site 1, two other treatments of mineral N fertilizer, and combination of farmyard manure (FYM) and N were tested in a double rice based crop rotation. At site 2, a treatment receiving cowdung (CD) application, and a combination of CD and N were tested in a wheat (Triticum aestivum L.)-rice based crop rotation. The DayCent model was able to simulate SOC increase from the double rice test sites under unfertilized conditions, considering additional N and C sources in the simulations. Assuming N fertilizer (180 kg N ha(-1) yr(-1)) application for site 1, and CD application (25 t ha(-1) yr(-1)) for site 2, respectively, as the baseline, four single, and one integrated, scenarios were implemented in the model to predict SOC and yield at both sites. Two additional scenarios with alternate wet and drying (AWD) as a single treatment, and as part of an integrated approach, were also tested for their mitigation potential at site 1. The highest simulated positive impact on SOC development (60% higher than that of the baseline) was observed at site 1 when FYM was used in place of mineral N fertilizer. As there is a yield penalty associated with the use of only FYM, integrated approaches might show more promise, such as inclusion of 15% residue return, reduced tillage, less mineral N fertilizer, FYM addition, with or without AWD. This approach increases SOC by up to 23% while keeping the yield stable (nearly 3.5 t ha(-1)). The application of CD only as determined for baseline of site 2, gives a yield of about 1.8 t ha(-1) yr(-1). In contrast nearly two times more yield was obtained under the scenario associated with integrated management which also increases SOC by 30% relative to the baseline at the second site. Net GHG emissions, including nitrous oxide and methane emissions were estimated using the Intergovernmental Panel on Climate Change (IPCC) tier 1 methods, and country specific emission factors (where available), suggests that the integrated management scenario can reduce the net GHG emissions from 0.58-0.82 t carbon dioxide (CO2)eq. ha(-1) yr(-1) (equivalent to 0.16-0.24 t Ceq. ha(-1) yr(-1)) at site 2, while a net reduction in GHGs of nearly 1.00 t CO2-eq. ha(-1) yr(-1) (equivalent to 0.27 t Ceq. ha(-1) yr(-1)) at site 1 was only achieved if AWD was also implemented with the integrated management scenario. Future studies could attempt to model non-CO2 GHGs with a dynamic model.</t>
  </si>
  <si>
    <t>[Begum, K.; Kuhnert, M.; Smith, P.] Univ Aberdeen, Inst Biol &amp; Environm Sci, 23 St Machar Dr, Aberdeen AB24 3UU, Scotland; [Yeluripati, J.] James Hutton Inst, Aberdeen AB15 8QH, Scotland; [Ogle, S.; Parton, W.] Colorado State Univ, Nat Resource Ecol Lab, Ft Collins, CO 80523 USA; [Kader, M. A.] Bangladesh Agr Univ, Dept Soil Sci, Mymensingh 2202, Bangladesh; [Kader, M. A.] Univ South Pacific, Sch Agr &amp; Food Technol, Suva, Fiji</t>
  </si>
  <si>
    <t>University of Aberdeen; James Hutton Institute; Colorado State University System; Colorado State University Fort Collins; Bangladesh Agricultural University (BAU); University of the South Pacific</t>
  </si>
  <si>
    <t>Begum, K (corresponding author), Univ Aberdeen, Inst Biol &amp; Environm Sci, 23 St Machar Dr, Aberdeen AB24 3UU, Scotland.</t>
  </si>
  <si>
    <t>b.khadiza24@gmail.com; matthias.kuhnert@abdn.ac.uk; Jagadeesh.Yeluripati@hutton.ac.uk; stephen.ogle@colostate.edu; billp@nrel.colostate.edu; mdabdul.kader@samoa.usp.ac.fj; pete.smith@abdn.ac.uk</t>
  </si>
  <si>
    <t>; Begum, Khadiza/JAO-4824-2023; Smith, Pete/G-1041-2010; Ogle, Stephen/KAM-2416-2024; Kader, Abdul/F-5667-2011; Smith, Pete/G-1041-2010; Yeluripati, Jagadeesh/AAF-3283-2020; Kader, Md. Abdul/F-5667-2011</t>
  </si>
  <si>
    <t>Kuhnert, Matthias/0000-0003-3284-2133; Yeluripati, Jagadeesh/0000-0003-3107-2595; Smith, Pete/0000-0002-3784-1124; Kader, Abdul/0000-0003-4786-4140; Begum, Khadiza/0000-0001-7330-1662; Smith, Pete/0000-0002-3784-1124;</t>
  </si>
  <si>
    <t>Bangabandhu Fellowship on Science and ICT project, Ministry of Science and Technology, People's Republic of Bangladesh</t>
  </si>
  <si>
    <t>We are grateful to the model developers at the Natural Resource Ecology Laboratory, Colorado State University, Fort Collins, Colorado, United States of America, for sending us the new version of DayCent model. The work was supported by Bangabandhu Fellowship on Science and ICT project, Ministry of Science and Technology, People's Republic of Bangladesh.</t>
  </si>
  <si>
    <t>10.1016/j.fcr.2018.07.001</t>
  </si>
  <si>
    <t>GU5EF</t>
  </si>
  <si>
    <t>WOS:000445308100002</t>
  </si>
  <si>
    <t>Salani, GM; Bianchini, G; Brombin, V; Natali, C</t>
  </si>
  <si>
    <t>Salani, Gian Marco; Bianchini, Gianluca; Brombin, Valentina; Natali, Claudio</t>
  </si>
  <si>
    <t>Soil organic carbon data comparison after 85 years and new 13C/12C compositions: The case study of the Ferrara province (Northeastern Italy)</t>
  </si>
  <si>
    <t>HOLOCENE SEDIMENTARY SEQUENCE; ISOTOPE RATIOS; PO DELTA; EMISSIONS; EVOLUTION; MATTER; DECOMPOSITION; AGRICULTURE; SUBSIDENCE; INSIGHTS</t>
  </si>
  <si>
    <t>The main causes of soil organic matter (SOM) loss are land use (e.g., conventional agriculture) and land-use change (e.g., conversion of wetlands into croplands). Before World War II and until 1960s, the Ferrara province in the Emilia-Romagna region (Northeast Italy) enlarged its agricultural production area through drainage of wetlands. After that, the newly drained area was put into intensive agricultural production with practices that proved to be unsustainable, and whose negative effects (depletion of soil organic carbon [SOC] and emissions of greenhouse gases [GHGs], e.g., CO2) have never been quantified. In this work, we estimated the changes in SOC 85 years after the drainage of the palustrine environment, by comparing 1937 SOC measurements with those made in 2022. Comparison of SOC maps from 1937 and 2022 indicates that most of the area suffered a significant SOC loss (Delta OC85 years from 0.05 to 18.57 wt%), except for northern areas in which the peat nature of the soil has been preserved. We also measured the C-13/C-12 on the 2022 soil samples and generated a present-day map of the SOC isotopic ratios, which could be used in future as a benchmark to evaluate changes in soil carbon stocks and fluxes.</t>
  </si>
  <si>
    <t>[Salani, Gian Marco; Bianchini, Gianluca; Brombin, Valentina] Univ Ferrara, Dept Phys &amp; Earth Sci, Via Giuseppe Saragat 1, I-44122 Ferrara, Italy; [Salani, Gian Marco] Univ Ferrara, Dept Chem Pharmaceut &amp; Agr Sci, Ferrara, Italy; [Natali, Claudio] Univ Florence, Dept Earth Sci, Florence, Italy; [Natali, Claudio] CNR IGAG, Area Ric Roma 1, I-00010 Montelibretti, RM, Italy; Univ Ferrara, Dept Phys &amp; Earth Sci, Via Giuseppe Saragat 1, I-44122 Ferrara, Italy</t>
  </si>
  <si>
    <t>University of Ferrara; University of Ferrara; University of Florence; Consiglio Nazionale delle Ricerche (CNR); Istituto di Geologia Ambientale e Geoingegneria (IGAG-CNR); University of Ferrara</t>
  </si>
  <si>
    <t>Brombin, V (corresponding author), Univ Ferrara, Dept Phys &amp; Earth Sci, Via Giuseppe Saragat 1, I-44122 Ferrara, Italy.</t>
  </si>
  <si>
    <t>brmvnt@unife.it</t>
  </si>
  <si>
    <t>Brombin, Valentina/AAD-7762-2021; Bianchini, Gianluca/JNS-6156-2023; Natali, Claudio/K-6995-2019</t>
  </si>
  <si>
    <t>10.1002/jeq2.20542</t>
  </si>
  <si>
    <t>KC8C3</t>
  </si>
  <si>
    <t>WOS:001147425800001</t>
  </si>
  <si>
    <t>Zeng, J; Han, GL; Zhang, ST; Xiao, XH; Li, YK; Gao, X; Wang, D; Qu, R</t>
  </si>
  <si>
    <t>Zeng, Jie; Han, Guilin; Zhang, Shitong; Xiao, Xuhuan; Li, Yikai; Gao, Xi; Wang, Di; Qu, Rui</t>
  </si>
  <si>
    <t>Response of dissolved organic carbon in rainwater during extreme rainfall period in megacity: Status, potential source, and deposition flux</t>
  </si>
  <si>
    <t>SUSTAINABLE CITIES AND SOCIETY</t>
  </si>
  <si>
    <t>Dissolved organic carbon; Extreme rainfall; Wet deposition; Source identification; Beijing</t>
  </si>
  <si>
    <t>STRONTIUM ISOTOPE CHARACTERIZATION; CHEMICAL-COMPOSITION; ATMOSPHERIC DEPOSITION; PRECIPITATION; CHINA; MATTER; AREA; ABSORPTION; EMISSIONS; AEROSOLS</t>
  </si>
  <si>
    <t>Air pollution and related wet deposition process (rainfall) caused environmental hazards under the climate change, particularly in urban regions, attracting global concern and challenges. Atmospheric dissolved organic carbon (DOC) deposition is not only the major removal pathway of OC from atmosphere, but also a significant influence factor of urban haze pollution and local climate. Although the significance of DOC deposition to carbon budgets is confirmed, the extreme rainfall influenced OC transfers from the atmosphere to land is poorly un-derstood. This study systematically investigated the rainwater DOC in Beijing during the extreme rainfall period of 2021 to explore its status, source, and flux. The results showed that the rainwater DOC concentration level is close to the Asian and global mean level, while the DOC deposition flux was relatively high due to high rainfall amount and rainfall scouring, and the overall declined trend of DOC concentrations was identified. Source identification revealed that human OC emissions (municipal wastes, agricultural and traffic emission) are the primary sources of DOC, whereas ocean and crust source contributed negligibly. This research clarified the extreme rainfall-driven rainwater DOC dynamics in a megacity and supported the evaluation of global carbon budgets.</t>
  </si>
  <si>
    <t>[Zeng, Jie; Han, Guilin; Zhang, Shitong; Xiao, Xuhuan; Li, Yikai; Gao, Xi; Wang, Di; Qu, Rui] China Univ Geosci Beijing, Inst Earth Sci, Beijing 100083, Peoples R China</t>
  </si>
  <si>
    <t>China University of Geosciences</t>
  </si>
  <si>
    <t>Han, GL (corresponding author), China Univ Geosci Beijing, Inst Earth Sci, Beijing 100083, Peoples R China.</t>
  </si>
  <si>
    <t>hanguilin@cugb.edu.cn</t>
  </si>
  <si>
    <t>; WANG, DI/JJC-6720-2023; Han, Guilin/C-2402-2013; Zeng, Jie/LSL-5624-2024</t>
  </si>
  <si>
    <t>Qu, Rui/0000-0001-6299-1645; Zeng, Jie/0000-0002-9969-8749;</t>
  </si>
  <si>
    <t>National Natural Science Foundation of China; [41661144029]; [41325010]</t>
  </si>
  <si>
    <t>National Natural Science Foundation of China(National Natural Science Foundation of China (NSFC)); ;</t>
  </si>
  <si>
    <t>Acknowledgments This work was supported by the National Natural Science Foundation of China (Nos. 41661144029 and 41325010) .</t>
  </si>
  <si>
    <t>2210-6707</t>
  </si>
  <si>
    <t>2210-6715</t>
  </si>
  <si>
    <t>SUSTAIN CITIES SOC</t>
  </si>
  <si>
    <t>Sust. Cities Soc.</t>
  </si>
  <si>
    <t>10.1016/j.scs.2022.104299</t>
  </si>
  <si>
    <t>Construction &amp; Building Technology; Green &amp; Sustainable Science &amp; Technology; Energy &amp; Fuels</t>
  </si>
  <si>
    <t>Construction &amp; Building Technology; Science &amp; Technology - Other Topics; Energy &amp; Fuels</t>
  </si>
  <si>
    <t>7V9QF</t>
  </si>
  <si>
    <t>WOS:000913146900001</t>
  </si>
  <si>
    <t>Gao, GZ; Qiu, CP; Liu, M; Li, X; Zhang, CZ; Wu, M; Li, ZP</t>
  </si>
  <si>
    <t>Gao, Guozhen; Qiu, Cunpu; Liu, Ming; Li, Xin; Zhang, Chongzhe; Wu, Meng; Li, Zhongpei</t>
  </si>
  <si>
    <t>Natural fallow alleviates carbon and nitrogen limitation of microorganisms and plants in paddy fields</t>
  </si>
  <si>
    <t>FUNCTIONAL ECOLOGY</t>
  </si>
  <si>
    <t>agricultural land-use status; microbial community; nutrient limitation; paddy fields; plant community</t>
  </si>
  <si>
    <t>Carbon (C), nitrogen (N) and phosphorus (P) serve as critical limiting factors for plant-microbe colonization and growth in agroecosystems, while simultaneously functioning as key regulatory controls for soil C emissions. Here, we investigated plant-microbial nutrient limitation under two states of paddy fields (cultivation state and fallow state), assessing synchronization patterns through combined analysis of plant resorption efficiency and microbial ecoenzyme stoichiometry. We found that there was a consistent pattern of N (25.00%) and P (44.44%) limitation between plant-microbial communities. Plant-microbial communities were mainly N-limited in the rice cultivation stage and P-limited in the fallow stage. Nutrient limitation of plant-microbial communities was regulated by soil C:N:P stoichiometry: the increase in available soil N:P led to P limitation in plant communities, which enhanced the secretion of organoheterocyclic compounds and organometallic compounds. This change increased the relative abundance of Chloroflexi and Ascomycota, thereby exacerbating microbial P limitation. Notably, the direct effect of available soil N:P on microbial N:P limitation was as important as the indirect effect through plant communities. The increased available soil C:N exacerbated microbial C limitation primarily through changing microbial composition. Overall, variations in stoichiometry of available soil nutrients drove a transition from N to P limitation in plant-microbial communities during fallow periods. We highlight that fallowing is an important compensatory process to alleviate the C and N limitations of plant-microbial communities resulting from long-term agricultural monoculture patterns.Read the free Plain Language Summary for this article on the Journal blog.</t>
  </si>
  <si>
    <t>[Gao, Guozhen; Liu, Ming; Wu, Meng; Li, Zhongpei] Chinese Acad Sci, Inst Soil Sci, State Key Lab Soil &amp; Sustainable Agr, Nanjing, Peoples R China; [Gao, Guozhen; Liu, Ming; Wu, Meng; Li, Zhongpei] Univ Chinese Acad Sci, Beijing, Peoples R China; [Qiu, Cunpu] Zhenjiang Coll, Zhenjiang, Peoples R China; [Li, Xin] Nanjing Forestry Univ, Coll Chem Engn, Jiangsu Coinnovat Ctr Efficient Proc &amp; Utilizat Fo, Nanjing, Peoples R China; [Zhang, Chongzhe] Nanjing Agr Univ, Coll Resources &amp; Environm Sci, Soil Ecol Lab, Nanjing, Peoples R China</t>
  </si>
  <si>
    <t>Chinese Academy of Sciences; Nanjing Institute of Soil Science, CAS; Chinese Academy of Sciences; University of Chinese Academy of Sciences, CAS; Nanjing Forestry University; Nanjing Agricultural University</t>
  </si>
  <si>
    <t>Wu, M; Li, ZP (corresponding author), Chinese Acad Sci, Inst Soil Sci, State Key Lab Soil &amp; Sustainable Agr, Nanjing, Peoples R China.;Wu, M; Li, ZP (corresponding author), Univ Chinese Acad Sci, Beijing, Peoples R China.</t>
  </si>
  <si>
    <t>mwu@issas.ac.cn; zhpli@issas.ac.cn</t>
  </si>
  <si>
    <t>; Gao, Guozhen/MBG-9837-2025; Zhang, Chongzhe/OZD-7087-2025</t>
  </si>
  <si>
    <t>Gao, Guozhen/0000-0003-0625-9702;</t>
  </si>
  <si>
    <t>Independent Deployment Project of Institute of Soil Science, Chinese Academy of Sciences, Grant/Award Number: ISSAS2403; Strategic Priority Research Program of the Chinese Academy of Sciences, Grant/Award Number: XDA0440202; National Natural Science Foundation of China, Grant/Award Number: 42077021</t>
  </si>
  <si>
    <t>0269-8463</t>
  </si>
  <si>
    <t>1365-2435</t>
  </si>
  <si>
    <t>FUNCT ECOL</t>
  </si>
  <si>
    <t>Funct. Ecol.</t>
  </si>
  <si>
    <t>10.1111/1365-2435.70097</t>
  </si>
  <si>
    <t>6DJ6I</t>
  </si>
  <si>
    <t>WOS:001526477000001</t>
  </si>
  <si>
    <t>Huang, BB; Lu, F; Sun, BF; Wang, XK; Li, XM; Ouyang, ZY; Yuan, YF</t>
  </si>
  <si>
    <t>Huang, Binbin; Lu, Fei; Sun, Binfeng; Wang, Xiaoke; Li, Xiaoma; Ouyang, Zhiyun; Yuan, Yafei</t>
  </si>
  <si>
    <t>Climate Change and Rising CO2 Amplify the Impact of Land Use/Cover Change on Carbon Budget Differentially Across China</t>
  </si>
  <si>
    <t>carbon sink; land use; cover change; Biome-BGCMuSo; net ecosystem productivity; climate change; rising CO2</t>
  </si>
  <si>
    <t>MODEL INTERCOMPARISON PROJECT; FOREST BIOMASS CARBON; WATER-USE EFFICIENCY; COVER CHANGE; ELEVATED CO2; TERRESTRIAL ECOSYSTEMS; BGC MODEL; EMISSIONS; DYNAMICS; SYSTEM</t>
  </si>
  <si>
    <t>Given the increasing attention to climate change and rising CO2 (CCRC) in the global carbon cycle, we remain unclear about how China's unprecedented land use/cover change (LUCC) in the carbon budget has been affected by CCRC in recent decades. Here, we combined remotely sensed land use/cover (LUC) datasets and the Biome-BGCMuSo model to address this issue by setting different scenarios. We found that LUCC led the carbon sink to increase by approximately 104.24 +/- 46.52 Tg C without considering CCRC during 1990-2020. Carbon sinks contributed by afforestation (374.97 +/- 36.50 Tg C) and grassland planting (15.75 +/- 9.11 Tg C) offset other LUC trajectories caused carbon loss (286.47 +/- 32.18 Tg C, 87.33% owing to agricultural reclamation). LUCC contributed carbon sinks were amplified by similar to 20% under CCRC at the national scale. This rate increased to 106.03% in northeast China but decreased to -26.68% in southern China. CCRC led carbon sink contributed by afforestation amplified by 85.11% in northeastern China but was only 26.35% in southern China. CCRC amplified carbon emissions due to agricultural reclamation by 103.20% in northeastern China and by 25.09% in southern China. Our results demonstrated that ecological restoration projects are efficient in enhancing carbon sinks and mitigating emissions. Divergent amplifying/reducing effect of CCRC across different geographic regions implied the sensitivity of different LUC trajectories to CCRC varied with different climate backgrounds. Land management strategies should be implemented with spatial heterogeneity to amplify afforestation and grassland planting contributed carbon sinks and decrease other LUC trajectories caused carbon loss under the global change environment.It is undoubted that climate change and rising CO2 (CCRC) would alter the effect of land use/cover change (LUCC) on the carbon budget. However, to what extent CCRC will influence the effect of LUCC on the carbon budget remains unclear. In this work, we evaluated the impact of CCRC on the carbon budget change caused by LUCC. We found that CCRC would amplify or dampen the impact of LUCC on the carbon budget. Meanwhile, this amplifying or dampening rate was divergent in different geographic regions. Our work provides new insights for making climate change mitigation targeted land decisions to increase carbon sinks with ecological restoration and construction and reduce emissions through protection.</t>
  </si>
  <si>
    <t>[Huang, Binbin; Lu, Fei; Wang, Xiaoke; Ouyang, Zhiyun] Chinese Acad Sci, Res Ctr Ecoenvironm Sci, State Key Lab Urban &amp; Reg Ecol, Beijing, Peoples R China; [Huang, Binbin; Lu, Fei; Wang, Xiaoke; Ouyang, Zhiyun] Univ Chinese Acad Sci, Beijing, Peoples R China; [Lu, Fei] Beijing Tianjin Hebei Urban Megareg Natl Observat, Beijing, Peoples R China; [Sun, Binfeng] Jiangxi Acad Agr Sci, Inst Agr Engn, Nanchang, Peoples R China; [Li, Xiaoma] Hunan Agr Univ, Coll Landscape Architecture &amp; Art Design, Changsha, Peoples R China; [Yuan, Yafei] North China Power Engn Co Ltd, China Power Engn Consulting Grp, Beijing, Peoples R China</t>
  </si>
  <si>
    <t>Chinese Academy of Sciences; Research Center for Eco-Environmental Sciences (RCEES), CAS; Chinese Academy of Sciences; University of Chinese Academy of Sciences, CAS; Jiangxi Academy of Agricultural Sciences; Hunan Agricultural University</t>
  </si>
  <si>
    <t>Lu, F (corresponding author), Chinese Acad Sci, Res Ctr Ecoenvironm Sci, State Key Lab Urban &amp; Reg Ecol, Beijing, Peoples R China.;Lu, F (corresponding author), Univ Chinese Acad Sci, Beijing, Peoples R China.;Lu, F (corresponding author), Beijing Tianjin Hebei Urban Megareg Natl Observat, Beijing, Peoples R China.</t>
  </si>
  <si>
    <t>feilu@rcees.ac.cn</t>
  </si>
  <si>
    <t>Huang, Binbin/AAM-6824-2021</t>
  </si>
  <si>
    <t>王, 效科/0000-0002-2421-3970; Huang, Binbin/0000-0003-1623-3063</t>
  </si>
  <si>
    <t>National Natural Science Foundation of China [71874182, 72174192]; National Major Research Program of China [2017YFA0604702]; Strategic Priority Program of the Chinese Academy of Sciences [XDA26010103]; Youth Innovation Promotion Association, Chinese Academy of Sciences</t>
  </si>
  <si>
    <t>National Natural Science Foundation of China(National Natural Science Foundation of China (NSFC)); National Major Research Program of China; Strategic Priority Program of the Chinese Academy of Sciences; Youth Innovation Promotion Association, Chinese Academy of Sciences</t>
  </si>
  <si>
    <t>This work is supported by National Natural Science Foundation of China Grants 71874182, 72174192, National Major Research Program of China Grants 2017YFA0604702, Strategic Priority Program of the Chinese Academy of Sciences Grants XDA26010103, and the Youth Innovation Promotion Association, Chinese Academy of Sciences.</t>
  </si>
  <si>
    <t>e2022EF003057</t>
  </si>
  <si>
    <t>10.1029/2022EF003057</t>
  </si>
  <si>
    <t>9W4ZJ</t>
  </si>
  <si>
    <t>WOS:000949086600001</t>
  </si>
  <si>
    <t>Bai, JZ; Song, JJ; Chen, DY; Zhang, ZH; Yu, Q; Ren, GX; Han, XH; Wang, XJ; Ren, CJ; Yang, GH; Wang, X; Feng, YZ</t>
  </si>
  <si>
    <t>Bai, Jinze; Song, Jiajie; Chen, Danyang; Zhang, Zhihao; Yu, Qi; Ren, Guangxin; Han, Xinhui; Wang, Xiaojiao; Ren, Chengjie; Yang, Gaihe; Wang, Xing; Feng, Yongzhong</t>
  </si>
  <si>
    <t>Biochar combined with N fertilization and straw return in wheat-maize agroecosystem: Key practices to enhance crop yields and minimize carbon and nitrogen footprints</t>
  </si>
  <si>
    <t>Agricultural inputs; Greenhouse gas emissions; Greenhouse gas intensity; Carbon footprint; Nitrogen footprint</t>
  </si>
  <si>
    <t>GREENHOUSE-GAS EMISSIONS; ORGANIC-CARBON; CLIMATE-CHANGE; LOESS PLATEAU; SOIL CO2; CHINA; PRODUCTIVITY; TILLAGE</t>
  </si>
  <si>
    <t>Straw incorporation is widely applied to improve crop productivity, and biochar amendment may be an effective countermeasure for mitigating greenhouse gas (GHG) emissions; however, the comprehensive evaluation of straw return and biochar amendment coupled with different N application rates on soil organic carbon (SOC) sequestration rate, GHG emissions, and reactive N losses have been inadequately recorded. Consequently, the field experiment had six treatments and three replications including two mineral N fertilization rates (conven-tional N fertilizer application (N1) and 30% reduced N fertilizer application (N0.7)) and three types of straw and biochar management variations (no straw incorporation (S0), straw incorporation (S), and straw incorporation with biochar amendment (SB)) and the results were based on three years of soil SOC and GHGs emission data in wheat-maize agroecosystem. Our finding revealed that N0.7 reduced the GHG emissions (CO2: 13.9%; N2O: 34.2%; CH4: 32.5%), greenhouse gas intensity (GHGI; 32.7%), carbon footprint (CF; 35.1%) and nitrogen footprint (NF; 24.5%), but had no significantly different crop yields compared with N1 (p &gt; 0.05). Straw incorporation had no significant impact on CF and yield-scaled CF but increased NF (29.7%) because the stimulated GHG emissions would be offset by SOC sequestration. Under S, the wheat and maize yields increased by 9.7% and 5.4%, respectively, whereas the GHGI increased by 59.6% compared with S0. Biochar amendment reduced GHG emissions (CO2: 19.9%; N2O: 29.9%), GHGI (32.7%), CF (26.7%) and yield-scaled CF (29.2%), while improving crop yields (wheat: 5.8% (p &lt; 0.05); maize: 1.5% (p &gt; 0.05)) and SOC sequestration rate (74.5%) compared with that under S. Overall, N0.7SB exhibited enormous potential for enhancing wheat-maize agroecosystem productivity and drastically mitigating their CF and NF in the semi-arid conditions of the Guanzhong Plain.</t>
  </si>
  <si>
    <t>[Bai, Jinze; Song, Jiajie; Chen, Danyang; Zhang, Zhihao; Yu, Qi; Ren, Guangxin; Han, Xinhui; Wang, Xiaojiao; Ren, Chengjie; Yang, Gaihe; Wang, Xing; Feng, Yongzhong] Northwest A&amp;F Univ, Coll Agron, Yangling 712100, Shaanxi, Peoples R China; [Bai, Jinze; Song, Jiajie; Chen, Danyang; Zhang, Zhihao; Yu, Qi; Ren, Guangxin; Han, Xinhui; Wang, Xiaojiao; Ren, Chengjie; Yang, Gaihe; Wang, Xing; Feng, Yongzhong] Res Ctr Recycle Agr Engn &amp; Technol Shaanxi Prov, Yangling 712100, Shaanxi, Peoples R China</t>
  </si>
  <si>
    <t>Wang, X; Feng, YZ (corresponding author), Northwest A&amp;F Univ, Coll Agron, Yangling 712100, Shaanxi, Peoples R China.;Wang, X; Feng, YZ (corresponding author), Res Ctr Recycle Agr Engn &amp; Technol Shaanxi Prov, Yangling 712100, Shaanxi, Peoples R China.</t>
  </si>
  <si>
    <t>wangxing0103@nwafu.edu.cn; fengyz@nwsuaf.edu.cn</t>
  </si>
  <si>
    <t>; Wang, Xing/JNT-4284-2023; Feng, Yongzhong/F-5090-2012; Ren, Chengjie/CAH-8119-2022; ren, guangxin/Q-1234-2015</t>
  </si>
  <si>
    <t>Wang, Xing/0000-0001-5800-9372; Wang, Xing/0000-0002-9760-5959; Bai, Jinze/0009-0003-0687-6206;</t>
  </si>
  <si>
    <t>National Natural Science Foundation of China [31971859]; Doctoral Research Start-up Fund of the Northwest Aamp;F University [Z1090121109]</t>
  </si>
  <si>
    <t>National Natural Science Foundation of China(National Natural Science Foundation of China (NSFC)); Doctoral Research Start-up Fund of the Northwest Aamp;F University</t>
  </si>
  <si>
    <t>Acknowledgements This work was funded by the National Natural Science Foundation of China (No. 31971859) and the Doctoral Research Start-up Fund of the Northwest A &amp; F University (Z1090121109) .</t>
  </si>
  <si>
    <t>10.1016/j.agee.2023.108366</t>
  </si>
  <si>
    <t>L8YF4</t>
  </si>
  <si>
    <t>WOS:001026058300001</t>
  </si>
  <si>
    <t>Adetona, AB; Layzell, DB</t>
  </si>
  <si>
    <t>Adetona, Adekunbi B.; Layzell, David B.</t>
  </si>
  <si>
    <t>Anthropogenic energy and carbon flows through Canada's agri-food system: Refraining climate change solutions</t>
  </si>
  <si>
    <t>Agri-food system; Energy; Carbon; Fossil fuel; Biogenic carbon; Climate change</t>
  </si>
  <si>
    <t>LIFE-CYCLE ASSESSMENT; GREENHOUSE-GAS MITIGATION; ENVIRONMENTAL IMPACTS; BEEF-PRODUCTION; WESTERN CANADA; BIOMASS; AGRICULTURE; EMISSIONS; PERSPECTIVE; CONSUMPTION</t>
  </si>
  <si>
    <t>Greenhouse gas accounting for agricultural systems consider methane and nitrous oxide emissions, carbon emissions from liming and urea use, as well as carbon stock changes, but it ignores gross flows of bio-based energy and carbon. This study compiled data for Canada's agri-food system over the 2010-13 period, from food supply and disposition to crop processing, animal production, and crop/pasture production. The data were converted to units of energy and carbon, tracked through the agri-food system and compared in scale and conversion efficiency with Canadian crude oil recovery to the production of refined petroleum products. Results showed domestic photosynthesis-derived energy and carbon flow equivalent to 75% and 98%, respectively, of the fossil fuel-derived energy and carbon in the crude oil recovered in Canada. This magnitude is substantial since Canada is a nation with high per capita oil demand that exports over 50% of its own production. Only 14% of the agri-food energy and carbon, respectively, emerged in agri-food products, compared to 91% of the energy and carbon in crude oil that resulted in refined petroleum products. The low conversion efficiency of the agri-food system derived, in part, from 40% of bio-based energy and carbon being diverted to crop and animal residues or waste. Per unit of energy in end products, the other energy inputs (e.g. electricity, fuels) needed to support the agri-food system were 5.3-folds higher in the agri-food system than in the crude oil to products system. This study highlights the need to develop strategies to better utilize the energy and carbon flows of the agrifood system, thereby reducing fossil energy use and greenhouse gas emissions associated with human activities. (C) 2019 The Authors. Published by Elsevier Ltd.</t>
  </si>
  <si>
    <t>[Adetona, Adekunbi B.; Layzell, David B.] Univ Calgary, Dept Biol Sci, CESAR, Calgary, AB T2N 1N4, Canada</t>
  </si>
  <si>
    <t>University of Calgary</t>
  </si>
  <si>
    <t>Adetona, AB (corresponding author), Univ Calgary, Dept Biol Sci, CESAR, Calgary, AB T2N 1N4, Canada.</t>
  </si>
  <si>
    <t>adekunbi.adetona@ucalgary.ca</t>
  </si>
  <si>
    <t>; Layzell, David/A-9417-2010</t>
  </si>
  <si>
    <t>Adetona, Adekunbi/0000-0002-6884-1071;</t>
  </si>
  <si>
    <t>University of Calgary Faculty of Graduate Studies; Edmonton Community Foundation</t>
  </si>
  <si>
    <t>This publication was supported by funding provided through scholarships to AA from the University of Calgary Faculty of Graduate Studies and generous funding from the Edmonton Community Foundation to DBL. We thank Dr. Bas Straatman (Energy Systems Modeller, CESAR) for his assistance in finding and understanding government data, and Mr. Kyle McElheran (Energy Systems Analyst, CESAR) for assisting with the calculations of energy flows associated with crude oil recovery to conversion to refined petroleum products.</t>
  </si>
  <si>
    <t>10.1016/j.ancene.2019.100213</t>
  </si>
  <si>
    <t>JB0JG</t>
  </si>
  <si>
    <t>WOS:000488238700002</t>
  </si>
  <si>
    <t>Heimersson, S; Svanström, M; Laera, G; Peters, G</t>
  </si>
  <si>
    <t>Heimersson, Sara; Svanstrom, Magdalena; Laera, Giuseppe; Peters, Gregory</t>
  </si>
  <si>
    <t>Life cycle inventory practices for major nitrogen, phosphorus and carbon flows in wastewater and sludge management systems</t>
  </si>
  <si>
    <t>Biosolids; Data quality; LCA; Life cycle assessment; Nutrient flows; Sewage</t>
  </si>
  <si>
    <t>GREENHOUSE-GAS EMISSIONS; SEWAGE-SLUDGE; TREATMENT PLANTS; OXIDE EMISSIONS; ANAEROBIC-DIGESTION; TREATMENT TECHNOLOGIES; ECONOMIC-ASSESSMENT; ENERGY; BIOSOLIDS; SCALE</t>
  </si>
  <si>
    <t>Nitrogen, phosphorus and carbon originating from wastewater and sludge can, depending on their partitioning during wastewater treatment, either become available as potential resources or leave as emissions. Several reviews have highlighted the dependence of life cycle assessment (LCA) results on the inventory data. To provide a foundation for future assessments of systems in which resources are utilised from wastewater or sludge, this paper identifies common practice and highlights deficiencies in the selection and quantification of nitrogen, phosphorus and carbon containing flows. Inventories of major direct flows containing nitrogen, phosphorus and carbon in 62 studies on wastewater and sludge management operations have been reviewed. A special focus was put on flows of nitrogen, phosphorus and carbon originating from the wastewater and sludge and on how these are either leaving the system as emissions and hereby contributing to environmental impacts, or how potential resource flows of these elements are accounted for, in particular when sludge is used in agriculture. The current study shows a large variation between studies regarding what resource and emission flows were included in inventories on wastewater and sludge treatment, the type of data used (primary or secondary data) and, when flows have been modelled rather than measured, how the modelling has been done. Except for nitrogen and phosphorus emissions via the effluent, which were generally quantified using measured data or data modelled to represent the specific situation, direct emissions to air from the water and sludge lines at the wastewater treatment plant were mostly estimated using secondary data, sometimes of poor data quality. In systems where resources were recovered through agricultural application of sludge, studies often credited the system for avoided use of mineral fertiliser, but the considered replacement ratio differed. The current review identified increased completeness and specificity in the modelling of the evaluated flows as particularly relevant for future studies and highlighted a need for improved transparency of data inventories. The review can be used as a support for LCA analysts in future studies, providing an inventory of common practices and pinpointing deficiencies, and can thereby support more conscious and well-motivated choices as regard which flows to include in assessments and on the quantification of these flows.</t>
  </si>
  <si>
    <t>[Heimersson, Sara; Svanstrom, Magdalena; Peters, Gregory] Chalmers Univ Technol, Dept Chem &amp; Chem Engn, S-41296 Gothenburg, Sweden; [Laera, Giuseppe] IRSA CNR, Water Res Inst, Viale De Blasio 5, I-70132 Bari, Italy</t>
  </si>
  <si>
    <t>Chalmers University of Technology; Consiglio Nazionale delle Ricerche (CNR); Istituto di Ricerca sulle Acque (IRSA-CNR)</t>
  </si>
  <si>
    <t>Heimersson, S (corresponding author), Chalmers Univ Technol, Dept Chem &amp; Chem Engn, S-41296 Gothenburg, Sweden.</t>
  </si>
  <si>
    <t>sara.heimersson@chalmers.se</t>
  </si>
  <si>
    <t>Peters, Gregory/J-5872-2015; Laera, Giuseppe/F-8118-2010; Svanström, Magdalena/D-4113-2016</t>
  </si>
  <si>
    <t>Peters, Gregory/0000-0001-8319-168X;</t>
  </si>
  <si>
    <t>Swedish Research Council for Environment, Agricultural Sciences and Spatial Planning (FORMAS) [2012-1122]; Goteborgs Stad Kretslopp och Vatten; Swedish Water &amp; Wastewater Association; Gryaab AB; Kappala Association; Stockholm Vatten AB; Sydvastra Stockholmsregionens va-verksaktiebolag (Syvab); Uppsala Vatten och Avfall AB; VASYD</t>
  </si>
  <si>
    <t>Swedish Research Council for Environment, Agricultural Sciences and Spatial Planning (FORMAS)(Swedish Research Council Formas); Goteborgs Stad Kretslopp och Vatten; Swedish Water &amp; Wastewater Association; Gryaab AB(HOGANAS ABStatisticon AB); Kappala Association; Stockholm Vatten AB; Sydvastra Stockholmsregionens va-verksaktiebolag (Syvab); Uppsala Vatten och Avfall AB; VASYD</t>
  </si>
  <si>
    <t>This project has received funding from the Swedish Research Council for Environment, Agricultural Sciences and Spatial Planning (FORMAS) under grant agreement no. 2012-1122. Goteborgs Stad Kretslopp och Vatten, the Swedish Water &amp; Wastewater Association, Gryaab AB, The Kappala Association, Stockholm Vatten AB, Sydvastra Stockholmsregionens va-verksaktiebolag (Syvab), Uppsala Vatten och Avfall AB and VASYD are also greatly acknowledged for financial support.</t>
  </si>
  <si>
    <t>10.1007/s11367-016-1095-8</t>
  </si>
  <si>
    <t>DR0QV</t>
  </si>
  <si>
    <t>WOS:000379612900011</t>
  </si>
  <si>
    <t>Naseem, S; Ji, TG; Kashif, U</t>
  </si>
  <si>
    <t>Naseem, Snovia; Ji, Tong Guang; Kashif, Umair</t>
  </si>
  <si>
    <t>Asymmetrical ARDL correlation between fossil fuel energy, food security, and carbon emission: providing fresh information from Pakistan</t>
  </si>
  <si>
    <t>Agriculture; CO2 mitigation; Fossil fuel; Structural break; NARDL; Pakistan</t>
  </si>
  <si>
    <t>ENVIRONMENTAL KUZNETS CURVE; GREENHOUSE-GAS EMISSIONS; SUB-SAHARAN AFRICA; CO2 EMISSIONS; ECONOMIC-GROWTH; FINANCIAL DEVELOPMENT; RENEWABLE ENERGY; NONRENEWABLE ENERGY; CONSUMPTION; IMPACT</t>
  </si>
  <si>
    <t>The core objective of our study seeks to examine the asymmetrical impact of agriculture, fossil fuel consumption, and food security on carbon emission (CO2) in Pakistan from 1969 to 2018. The current study applied multiple unit root tests (ADF, PP, and KPSS, Z&amp;A) to check data stationarity and structural breaks. We used the population data as a food security proxy indicator. The outcomes disclosed that there is a long-term asymmetric relationship between the variables. The results also verified the atypical response of CO2 to adverse shocks in agricultural value-added. Furthermore, the results showed that population and fossil fuel consumption would further worsen environmental standards. Based on the results of the study, the government needs to take practical steps for active policy-making and assessing ecological challenges in Pakistan.</t>
  </si>
  <si>
    <t>[Naseem, Snovia; Ji, Tong Guang; Kashif, Umair] Northeast Forestry Univ, Coll Econ &amp; Management, Harbin 150040, Peoples R China</t>
  </si>
  <si>
    <t>Ji, TG (corresponding author), Northeast Forestry Univ, Coll Econ &amp; Management, Harbin 150040, Peoples R China.</t>
  </si>
  <si>
    <t>tong.g36@yahoo.com</t>
  </si>
  <si>
    <t>Naseem, Dr/AAR-6422-2020; KASHIF, DR. UMAIR/AAR-6177-2020</t>
  </si>
  <si>
    <t>Naseem, Snovia/0000-0002-2463-1048; KASHIF, UMAIR/0000-0001-6034-0371</t>
  </si>
  <si>
    <t>Heilongjiang Province Philosophy and Social Science Planning Office Project, Belt and Road initiative, China and countries along with the agricultural capacity cooperation implementation mechanism research [18JLD310]</t>
  </si>
  <si>
    <t>Heilongjiang Province Philosophy and Social Science Planning Office Project, Belt and Road initiative, China and countries along with the agricultural capacity cooperation implementation mechanism research</t>
  </si>
  <si>
    <t>This research was carried out within the Heilongjiang Province Philosophy and Social Science Planning Office Project, Belt and Road initiative, China and countries along with the agricultural capacity cooperation implementation mechanism research (project number: 18JLD310).</t>
  </si>
  <si>
    <t>10.1007/s11356-020-09346-3</t>
  </si>
  <si>
    <t>MT2KO</t>
  </si>
  <si>
    <t>WOS:000537417400008</t>
  </si>
  <si>
    <t>Mandal, S; Das, P</t>
  </si>
  <si>
    <t>Mandal, Saptarshi; Das, Prolay</t>
  </si>
  <si>
    <t>Ultrasensitive visual detection of mycotoxin citrinin with yellow-light emitting carbon dot and Congo red</t>
  </si>
  <si>
    <t>FOOD CHEMISTRY</t>
  </si>
  <si>
    <t>Carbon dot; Citrinin; Mycotoxin; Congo red</t>
  </si>
  <si>
    <t>GRAPHENE QUANTUM DOTS; OCHRATOXIN; RICE; IMMUNOASSAY; BARLEY</t>
  </si>
  <si>
    <t>Ultrasensitive visual detection of mycotoxin citrinin is reported here using a novel yellow-light emitting Carbon dot (CD) and Congo red dye. Detection strategy is based on higher binding affinity of citrinin with diammonium citrate, and urea derived CD over Congo red in presence of Mg2+. Congo red statically quenched the yellow fluorescence of CD, resulting in emission in red region, which was restored in presence of citrinin. Visual limit of detection (LOD) of 10 pmol and spectroscopic LOD of 6.6 pmol/mL was achieved within 5 min of incubation with citrinin. The assembly was found to respond well for citrinin detection in the presence of Aflatoxin bl (AFL bl) and Ochratoxin A (OTA), that frequently co-exist with citrinin in real food samples. The method exhibits immense potential to sense citrinin in sub-nanogram range by visual inspection in an inexpensive yet robust onsite detection platform in relevant food packaging and agricultural industry.</t>
  </si>
  <si>
    <t>[Mandal, Saptarshi; Das, Prolay] Indian Inst Technol Patna, Dept Chem, Patna 801103, Bihar, India</t>
  </si>
  <si>
    <t>Indian Institute of Technology System (IIT System); Indian Institute of Technology (IIT) - Patna</t>
  </si>
  <si>
    <t>Das, P (corresponding author), Indian Inst Technol Patna, Dept Chem, Patna 801103, Bihar, India.</t>
  </si>
  <si>
    <t>prolay@iitp.ac.in</t>
  </si>
  <si>
    <t>; Das, Prolay/AAB-5741-2020; Mandal, Saptarshi/AAE-1969-2020</t>
  </si>
  <si>
    <t>Das, Prolay/0000-0002-2774-8479; Mandal, Saptarshi/0000-0002-3174-4972</t>
  </si>
  <si>
    <t>IIT Patna; Indian Institute of Technology (IIT) Patna</t>
  </si>
  <si>
    <t>P.D. thanks the Indian Institute of Technology (IIT) Patna for infrastructural and financial assistance. SM thanks IIT Patna for an Institute Research Fellowship. The authors acknowledge Central Surface Analytical Facility and SAIF IIT Bombay for instrumental facilities (XPS and TEM).</t>
  </si>
  <si>
    <t>0308-8146</t>
  </si>
  <si>
    <t>1873-7072</t>
  </si>
  <si>
    <t>FOOD CHEM</t>
  </si>
  <si>
    <t>Food Chem.</t>
  </si>
  <si>
    <t>10.1016/j.foodchem.2019.126076</t>
  </si>
  <si>
    <t>Chemistry, Applied; Food Science &amp; Technology; Nutrition &amp; Dietetics</t>
  </si>
  <si>
    <t>Chemistry; Food Science &amp; Technology; Nutrition &amp; Dietetics</t>
  </si>
  <si>
    <t>KC8ZK</t>
  </si>
  <si>
    <t>WOS:000507460200033</t>
  </si>
  <si>
    <t>Song, JR; Bao, SS; Bai, J; Dang, Y; Zeng, X; Zhou, J; Shen, YF; Yue, SC; Li, SQ</t>
  </si>
  <si>
    <t>Song, Jingrong; Bao, Shushang; Bai, Ju; Dang, Yaai; Zeng, Xiang; Zhou, Jie; Shen, Yufang; Yue, Shanchao; Li, Shiqing</t>
  </si>
  <si>
    <t>Modelling future climate effects on N2O emission and soil carbon storage in maize fields under controlled-release urea and straw incorporation</t>
  </si>
  <si>
    <t>Straw incorporation; Controlled-release urea application; DNDC model; Greenhouse gas emission; Organic carbon storage; Long-term change</t>
  </si>
  <si>
    <t>NITROUS-OXIDE; FERTILIZER MANAGEMENT; MICROBIAL COMMUNITY; CROP PRODUCTION; RICE YIELD; DNDC; TEMPERATURE; SIMULATION; IMPACT; RESPIRATION</t>
  </si>
  <si>
    <t>Controlled-release urea application and straw incorporation have been conducted in recent years as environmental-friendly and sustainable farming strategies, but the long-term effects of controlled-release urea application and combination with straw on the dryland maize yield, soil fertility and the environment under future climate scenarios remain unclear. Hence, based on a six-year field experiment, four treatments were used to calibrate and validate the DeNitrification-DeComposition (DNDC) model, including non-nitrogen (CK), split applications of conventional urea (UR), single basal application of conventional urea and controlled-release urea at a ratio of 2:1 (CU), and CU combined with straw (CUS). Subsequently, coupled the well-validated model with future climate to evaluate suitable agricultural production practices under two shared socioeconomic pathways (SSP)-SSP245 and SSP585. The validation results indicated a good fit between the simulated and observed data of greenhouse gas emissions, soil organic carbon (SOC) contents and maize yields. With the anticipation of warmer temperatures and increased precipitation in the future, the yields of UR, CU, and CUS treatment significantly rose. Under SSP585 scenario, the positive impacts of CU treatment on maize yields reduced after the 2050s, exhibiting an average decline of 12.03%. Compared with the UR treatment, the CU treatment markedly reduced cumulative N2O emissions, and both treatments maintained the original state of SOC storages in the 2030s, furthermore, the CUS treatment reduced N2O emissions by 47.10%, 35.07%, 23.80% and 10.04% in the 2030s, 2050s, 2070s and 2090s, respectively. SOC storages for the CUS treatment gradually increased with an average of 464.58, 350.22, 250.87 and 177.75 kg C ha- 1 y-1 for two SSP scenarios in the 2030s, 2050s, 2070s and 2090s, which excellently offset the CO2 equivalent of emissions caused by N2O emissions. Therefore, in dryland maize production, combined controlled-release urea with straw incorporation could achieve the best comprehensive effect among increase of yield, improvement of SOC storages and alleviation of greenhouse gas emissions under future climate scenario.</t>
  </si>
  <si>
    <t>[Song, Jingrong; Bao, Shushang; Zeng, Xiang; Shen, Yufang; Yue, Shanchao; Li, Shiqing] Northwest A&amp;F Univ, Coll Nat Resource &amp; Environm, Yangling 712100, Shaanxi, Peoples R China; [Song, Jingrong; Bao, Shushang; Zeng, Xiang; Shen, Yufang; Yue, Shanchao; Li, Shiqing] Northwest A&amp;F Univ, Key Lab Soil Eros &amp; Dryland Farming Loess Plateau, Yangling 12100, Peoples R China; [Bai, Ju] Shanxi Agr Univ, Taiyuan 030031, Peoples R China; [Dang, Yaai] Northwest A&amp;F Univ, Coll Sci, Yangling 712100, Shaanxi, Peoples R China; [Zhou, Jie] Univ Chinese Acad Sci, State Key Lab Soil Eros &amp; Dryland Farming Loess Pl, Shaanxi 100049, Peoples R China</t>
  </si>
  <si>
    <t>Northwest A&amp;F University - China; Northwest A&amp;F University - China; Shanxi Agricultural University; Northwest A&amp;F University - China; Chinese Academy of Sciences; University of Chinese Academy of Sciences, CAS</t>
  </si>
  <si>
    <t>Shen, YF (corresponding author), Northwest A&amp;F Univ, Coll Nat Resource &amp; Environm, Yangling 712100, Shaanxi, Peoples R China.</t>
  </si>
  <si>
    <t>shenyufang@nwafu.edu.cn</t>
  </si>
  <si>
    <t>Yue, Shanchao/D-1846-2009; Li, Shiqing/AAG-8907-2019</t>
  </si>
  <si>
    <t>National Key R &amp; D Program of China [2021YFD1900700]; National Natural Science Foundation of China [41671307, 51279197]; Natural Science Basic Research Plan in Shaanxi Province of China [2022JM-103]; Fundamental Research Funds for the Central Universities [2452022377]</t>
  </si>
  <si>
    <t>National Key R &amp; D Program of China; National Natural Science Foundation of China(National Natural Science Foundation of China (NSFC)); Natural Science Basic Research Plan in Shaanxi Province of China; Fundamental Research Funds for the Central Universities(Fundamental Research Funds for the Central Universities)</t>
  </si>
  <si>
    <t>This research was supported by the National Key R &amp; D Program of China (2021YFD1900700) , the National Natural Science Foundation of China (41671307, 51279197) , the Natural Science Basic Research Plan in Shaanxi Province of China (2022JM-103) , and the Fundamental Research Funds for the Central Universities (2452022377) .</t>
  </si>
  <si>
    <t>10.1016/j.jenvman.2023.119854</t>
  </si>
  <si>
    <t>FA3A6</t>
  </si>
  <si>
    <t>WOS:001142971600001</t>
  </si>
  <si>
    <t>Sayed, HAA; Ding, QS; Abdelhamid, MA; Alele, JO; Alkhaled, AY; Refai, M</t>
  </si>
  <si>
    <t>Sayed, Hassan A. A.; Ding, Qishuo; Abdelhamid, Mahmoud A. A.; Alele, Joseph O. O.; Alkhaled, Alfadhl Y. Y.; Refai, Mohamed</t>
  </si>
  <si>
    <t>Application of Machine Learning to Study the Agricultural Mechanization of Wheat Farms in Egypt</t>
  </si>
  <si>
    <t>agricultural mechanization; machine learning; K-means; smallholding farms; agricultural sustainability; winter wheat; wheat cultivation; agricultural system</t>
  </si>
  <si>
    <t>Agricultural production can achieve sustainability by appropriately applying agricultural mechanization, especially in developing countries where smallholding farmers lack sufficient agricultural machinery for their farming operations. This paper aimed to study the extent to which small-, medium-, and large-scale farms in the Delta of Egypt use agricultural mechanization in their wheat crop farming operations. K-means clustering was used to aggregate and analyze the scenarios implemented by farmers for wheat cultivation so as to suggest guidelines for each cluster of farmers on how to mechanize their indoor wheat agricultural operations to maximize production. The study is divided into two parts: Firstly, data were collected regarding the percentage of small, medium, and large farms; the cultivated area of wheat crops in small-, medium-, and large-scale farms; and the size of tractors, as an indicator of the mechanization available in the governorates of Egypt's Delta. Secondly, data were collected through a questionnaire survey of 2652 smallholding farmers, 328 medium-holding farmers, and 354 large-holding farmers from Egypt's Delta governorates. Based on the surveyed data, 14, 14, and 12 scenarios (indexes) were established for small-, medium-, and large-scale farms, respectively, related to various agricultural operations involved in wheat crop production. These scenarios were analyzed based on the centroids using K-means clustering. The identified scenarios were divided into three clusters for the three levels of farms. The data obtained showed the need for smallholding farmers to implement mechanization, which could be achieved through renting services. These findings, if implemented, would have huge social and economic effects on farmers' lives, in addition to increasing production, saving time and effort, and reducing dependence on labor.</t>
  </si>
  <si>
    <t>[Sayed, Hassan A. A.; Ding, Qishuo; Alele, Joseph O. O.] Nanjing Agr Univ, Coll Engn, Dept Agr Mechanizat, Nanjing 210031, Peoples R China; [Sayed, Hassan A. A.] Al Azhar Univ, Fac of Agr Engn, Dept Agr Power &amp; Machinery Engn, Cairo 11751, Egypt; [Abdelhamid, Mahmoud A. A.] Ain Shams Univ, Fac Agr, Dept Agr Engn, Cairo 11566, Egypt; [Alele, Joseph O. O.] Egerton Univ, Fac Engn &amp; Technol, Dept Agr Engn, Nakuru 20115, Kenya; [Alkhaled, Alfadhl Y. Y.] Univ Wisconsin, Coll Agr &amp; Life Sci, Dept Hort, Madison, WI 53705 USA; [Refai, Mohamed] Cairo Univ, Fac Agr, Dept Agr Engn, Giza 12613, Egypt</t>
  </si>
  <si>
    <t>Nanjing Agricultural University; Egyptian Knowledge Bank (EKB); Al Azhar University; Egyptian Knowledge Bank (EKB); Ain Shams University; Egerton University; University of Wisconsin System; University of Wisconsin Madison; Egyptian Knowledge Bank (EKB); Cairo University</t>
  </si>
  <si>
    <t>Ding, QS (corresponding author), Nanjing Agr Univ, Coll Engn, Dept Agr Mechanizat, Nanjing 210031, Peoples R China.</t>
  </si>
  <si>
    <t>qsding@njau.edu.cn</t>
  </si>
  <si>
    <t>Sayed, Hassan/HPF-7845-2023; Abdelhamid, Mahmoud/AFD-9103-2022; refai, mohamed/GQH-1551-2022; Al-KHALED, AL-FADHL/Y-8984-2018</t>
  </si>
  <si>
    <t>Abdelhamid, Mahmoud/0000-0002-0709-1836; A A Sayed, Hassan/0000-0002-3174-5801; Qishuo, Ding/0000-0002-9871-9587; Alkahed, Alfadhl/0000-0001-5038-5971</t>
  </si>
  <si>
    <t>College of Engineering, Nanjing Agricultural University/the Key Laboratory of Intelligent Agricultural Equipment of Jiangsu Province</t>
  </si>
  <si>
    <t>This research was funded by the College of Engineering, Nanjing Agricultural University/the Key Laboratory of Intelligent Agricultural Equipment of Jiangsu Province, Nanjing, 210031, China.</t>
  </si>
  <si>
    <t>10.3390/agriculture13010070</t>
  </si>
  <si>
    <t>8A7WZ</t>
  </si>
  <si>
    <t>WOS:000916446800001</t>
  </si>
  <si>
    <t>Antal, R; Marasová, D; Hájicek, R; Klapko, P; Mitrik, V</t>
  </si>
  <si>
    <t>Antal, Richard; Marasova, Daniela; Hajicek, Roman; Klapko, Peter; Mitrik, Vladimir</t>
  </si>
  <si>
    <t>Implementation of business intelligence system to analyze the data for mining mechanization-case study</t>
  </si>
  <si>
    <t>ACTA MONTANISTICA SLOVACA</t>
  </si>
  <si>
    <t>Business Intelligence; Power BI; Mining mechanization</t>
  </si>
  <si>
    <t>CONVEYOR BELTS; SIMULATION; EQUIPMENT</t>
  </si>
  <si>
    <t>In this article, we focused on the experimental implementation of the Power BI application in the field of mining mechanization. This application was created to demonstrate how an interactive data visualization tool can streamline data exploration and provide new insights that can be used to optimize selected processes. The monitored company uses a large number of reports in connection with the organization of the company. They collect many data from the attendance system and the electronic resource planning system, but also a lot of operational data related to the performance of mining mechanization. These data are evaluated in the company only at onemonth intervals. Our intention was to transform the data for the year 2021 and create various visual reports through the power BI program, which, thanks to detailed analysis and evaluation, will help to improve the management of mining mechanization. The source of information in our case were tables that contained very poorly arranged data that could not be imported into the Power BI program in the given state. After collecting the data, we had to transform them, which was a very time-consuming process. Due to limited resources, we had to adjust our original plan. From the entire portfolio of mining mechanization, which consists mainly of mining drills, loaders and trucks, we decided to only process data from mining trucks. The result will be a demonstration of the usability of the power BI system in a mining company to manage information related to mining trucks, but the same approach can be used for all types of mining mechanisms. Implementation of the power BI system was performed on data from</t>
  </si>
  <si>
    <t>[Antal, Richard; Hajicek, Roman; Klapko, Peter; Mitrik, Vladimir] Tech Univ Kosice, Inst Logist &amp; Transport, Fac BERG, Pk Komenskeho 14, Kosice, Slovakia; [Marasova, Daniela] Tech Univ Kosice, Inst Logist &amp; Transport, Fac BERG, Pk Komenskeho 19, Kosice, Slovakia</t>
  </si>
  <si>
    <t>Technical University Kosice; Technical University Kosice</t>
  </si>
  <si>
    <t>Antal, R (corresponding author), Tech Univ Kosice, Inst Logist &amp; Transport, Fac BERG, Pk Komenskeho 14, Kosice, Slovakia.</t>
  </si>
  <si>
    <t>richard.antal@tuke.sk; daniela.marasova@tuke.sk; oman.hajicek@tuke.sk; peter.klapko@tuke.sk; vladimir.mitrik@tuke.sk</t>
  </si>
  <si>
    <t>Marasova, Daniela/T-5299-2017</t>
  </si>
  <si>
    <t>BERG FAC TECHNICAL UNIV KOSICE</t>
  </si>
  <si>
    <t>KOSICE</t>
  </si>
  <si>
    <t>PARK KOMENSKEHO 19, KOSICE, 043 84, SLOVAKIA</t>
  </si>
  <si>
    <t>1335-1788</t>
  </si>
  <si>
    <t>ACTA MONTAN SLOVACA</t>
  </si>
  <si>
    <t>Acta. Montan. Slovaca.</t>
  </si>
  <si>
    <t>10.46544/AMS.v27i3.14</t>
  </si>
  <si>
    <t>Geosciences, Multidisciplinary; Mining &amp; Mineral Processing</t>
  </si>
  <si>
    <t>Geology; Mining &amp; Mineral Processing</t>
  </si>
  <si>
    <t>VL8BB</t>
  </si>
  <si>
    <t>WOS:000913204700014</t>
  </si>
  <si>
    <t>Usaborisut, P</t>
  </si>
  <si>
    <t>Usaborisut, Prathuang</t>
  </si>
  <si>
    <t>Progress in Mechanization of Sugarcane Farms in Thailand</t>
  </si>
  <si>
    <t>SUGAR TECH</t>
  </si>
  <si>
    <t>Machinery; Sugarcane cultivation; Labour; Farming practice</t>
  </si>
  <si>
    <t>Sugarcane is an important cash crop of Thailand. With a contribution of 5.5% to the total world production, Thailand is the fourth largest producer of sugarcane next to Brazil, India, and China. During the crop year 2014/15, about 103.7 million tonnes of cane was produced with a national average of about 76.6 tonnes/ha, higher than the world average of 69.5 tonnes/ha and also of those countries ranking higher in terms of total production. The major sugar-producing regions of Thailand are northeastern, central, and northern parts, for which the share of production was 44.59, 28.98, and 26.43%, respectively, in crop year 2016/17. Sugarcane is labor intensive for almost all operations, from land preparation to harvesting. Machinery can help in labor saving and timeliness of operations, improving quality of work, reducing drudgery and operation cost, and more importantly, increasing effective utilization of resources. Sugarcane growers are facing serious problems such as labor shortage and high minimum wage for manual labor. Sometimes, mishandling of a problem may result in other serious consequences. For instance, burning sugarcane to reduce labor requirement in harvesting may lead to other problems. Mechanization can play a vital role in solving problems and in improving efficiency of the present sugarcane production system. This paper presents the progress of farm mechanization in sugarcane cultivation in Thailand through on overview of the machinery used in different farm operations based on farming practices as well as their impact and also factors influencing the extent of mechanization in this crop. Future prospects of mechanization are also discussed.</t>
  </si>
  <si>
    <t>[Usaborisut, Prathuang] Kasetsart Univ, Fac Engn Kamphaengsaen, Dept Agr Engn, Kamphaengsaen Campus, Nakhon Pathom 73140, Thailand</t>
  </si>
  <si>
    <t>Kasetsart University</t>
  </si>
  <si>
    <t>Usaborisut, P (corresponding author), Kasetsart Univ, Fac Engn Kamphaengsaen, Dept Agr Engn, Kamphaengsaen Campus, Nakhon Pathom 73140, Thailand.</t>
  </si>
  <si>
    <t>fengptu@ku.ac.th</t>
  </si>
  <si>
    <t>, Prathuang/0000-0001-7701-1865</t>
  </si>
  <si>
    <t>Thailand Research Fund</t>
  </si>
  <si>
    <t>Thailand Research Fund(Thailand Research Fund (TRF))</t>
  </si>
  <si>
    <t>Funding was provided by Thailand Research Fund.</t>
  </si>
  <si>
    <t>SPRINGER INDIA</t>
  </si>
  <si>
    <t>7TH FLOOR, VIJAYA BUILDING, 17, BARAKHAMBA ROAD, NEW DELHI, 110 001, INDIA</t>
  </si>
  <si>
    <t>0972-1525</t>
  </si>
  <si>
    <t>Sugar Tech.</t>
  </si>
  <si>
    <t>10.1007/s12355-018-0600-8</t>
  </si>
  <si>
    <t>FW0XS</t>
  </si>
  <si>
    <t>WOS:000425020400002</t>
  </si>
  <si>
    <t>Felber, R; Bretscher, D; Münger, A; Neftel, A; Ammann, C</t>
  </si>
  <si>
    <t>Felber, Raphael; Bretscher, Daniel; Munger, Andreas; Neftel, Albrecht; Ammann, Christof</t>
  </si>
  <si>
    <t>Determination of the carbon budget of a pasture: effect of system boundaries and flux uncertainties</t>
  </si>
  <si>
    <t>GRAZED PASTURE; BALANCE; N2O; CH4; CO2; SEQUESTRATION; MANAGEMENT; COWS</t>
  </si>
  <si>
    <t>Carbon (C) sequestration in the soil is considered as a potential important mechanism to mitigate greenhouse gas (GHG) emissions of the agricultural sector. It can be quantified by the net ecosystem carbon budget (NECB) describing the change of soil C as the sum of all relevant import and export fluxes. NECB was investigated here in detail for an intensively grazed dairy pasture in Switzerland. Two budget approaches with different system boundaries were applied: NECBtot for system boundaries including the grazing cows and NECBpast for system boundaries excluding the cows. CO2 and CH4 exchange induced by soil/vegetation processes as well as direct emissions by the animals were derived from eddy covariance measurements. Other C fluxes were either measured (milk yield, concentrate feeding) or derived based on animal performance data (intake, excreta). For the investigated year, both approaches resulted in a small near-neutral C budget: NECBtot -27aEuro-+/- aEuro-62 and NECBpast 23aEuro-+/- aEuro-76aEuro-gaEuro-CaEuro-m(-2)aEuro-yr(-1). The considerable uncertainties, depending on the approach, were mainly due to errors in the CO2 exchange or in the animal-related fluxes. The comparison of the NECB results with the annual exchange of other GHG revealed CH4 emissions from the cows to be the major contributor in terms of CO2 equivalents, but with much lower uncertainty compared to NECB. Although only 1aEuro-year of data limit the representativeness of the carbon budget results, they demonstrate the important contribution of the non-CO2 fluxes depending on the chosen system boundaries and the effect of their propagated uncertainty in an exemplary way. The simultaneous application and comparison of both NECB approaches provides a useful consistency check for the carbon budget determination and can help to identify and eliminate systematic errors.</t>
  </si>
  <si>
    <t>[Felber, Raphael; Bretscher, Daniel; Neftel, Albrecht; Ammann, Christof] Agroscope Res Stn, Climate &amp; Air Pollut, Zurich, Switzerland; [Felber, Raphael] ETH, Inst Agr Sci, Zurich, Switzerland; [Munger, Andreas] Agroscope Res Stn, Milk &amp; Meat Prod, Posieux, Switzerland</t>
  </si>
  <si>
    <t>Swiss Federal Research Station Agroscope; Swiss Federal Institutes of Technology Domain; ETH Zurich; Swiss Federal Research Station Agroscope</t>
  </si>
  <si>
    <t>Felber, R (corresponding author), Agroscope Res Stn, Climate &amp; Air Pollut, Zurich, Switzerland.;Felber, R (corresponding author), ETH, Inst Agr Sci, Zurich, Switzerland.</t>
  </si>
  <si>
    <t>raphael.felber@agroscope.admin.ch</t>
  </si>
  <si>
    <t>; Münger, Andreas/I-1637-2019</t>
  </si>
  <si>
    <t>Muenger, Aneas/0000-0003-0360-366X; Felber, Raphael/0000-0002-0285-2894; Ammann, Christof/0000-0002-0783-5444</t>
  </si>
  <si>
    <t>Swiss National Science Foundation [205321_138300]; EU-FP7 Project ECLAIRE; Swiss National Science Foundation (SNF) [205321_138300] Funding Source: Swiss National Science Foundation (SNF)</t>
  </si>
  <si>
    <t>Swiss National Science Foundation(Swiss National Science Foundation (SNSF)); EU-FP7 Project ECLAIRE; Swiss National Science Foundation (SNF)(Swiss National Science Foundation (SNSF))</t>
  </si>
  <si>
    <t>We gratefully acknowledge the funding from the Swiss National Science Foundation (Grant no. 205321_138300) and the EU-FP7 Project ECLAIRE. We wish to thank Hubert Bollhalder, Roman Gubler, Veronika Wolff, Andreas Rohner, Manuel Schuler, Markus Jocher, Manuela Falk, Lukas Eggerschwiler and Bernard Papaux for support with the sensors and in the field.</t>
  </si>
  <si>
    <t>10.5194/bg-13-2959-2016</t>
  </si>
  <si>
    <t>DP2WT</t>
  </si>
  <si>
    <t>WOS:000378354900007</t>
  </si>
  <si>
    <t>Yang, X; Zhu, J; Ren, T; Zhao, J; Fang, YT; Cong, RH; Lu, ZF; Li, XK; Lu, JW</t>
  </si>
  <si>
    <t>Yang, Xin; Zhu, Jun; Ren, Tao; Zhao, Jian; Fang, Yating; Cong, Rihuan; Lu, Zhifeng; Li, Xiaokun; Lu, Jianwei</t>
  </si>
  <si>
    <t>Regulation of crop rotation patterns on soil labile organic carbon, carbon-degrading microorganisms and their roles in organic carbon mineralization</t>
  </si>
  <si>
    <t>Oilseed rape-rice rotation; Paddy-upland rotation; Microbial CAZyme families; Dissolved organic carbon; beta-glucosidase activity</t>
  </si>
  <si>
    <t>MICROBIAL COMMUNITY; BETA-GLUCOSIDASE; LEAF-LITTER; MATTER; NITROGEN; POOLS; FERTILIZATION; RECALCITRANT; RESPIRATION; FRACTIONS</t>
  </si>
  <si>
    <t>AimsCrop rotation is a vital practice in sustainable agricultural management. This study aimed to investigate soil labile organic carbon, carbon-degrading microorganisms, and soil organic carbon (SOC) mineralization in oilseed rape-rice (OR), wheat-rice (WR), oilseed rape-maize (OM), and wheat-maize (WM) rotations without (CK) and with the application of chemical fertilizers (NPK).MethodsA 7-year field experiment involving different crop rotations was conducted in Shayang County, China. Fluorescence excitation-emission matrix (EEM) was used in analyzing dissolved organic carbon (DOC) structure, metagenomics was employed to investigate the specific glycoside hydrolase (GH) and auxiliary activity (AA) families. The mineralization of SOC was investigated through an incubation experiment.ResultsThe paddy-upland (OR, WR) rotations showed higher soil labile organic carbon content and simpler DOC structure than their corresponding continuous upland (OM, WM) rotations. Oilseed rape contained (OR, OM) rotations showed higher soil labile carbon content than the corresponding wheat contained (WR, WM) rotations. The abundance of soil GH family genes was higher in paddy-upland rotations than those in continuous upland rotations. Furthermore, both the abundance of soil GH family genes and beta-glucosidase activity were higher in OM rotation than in WM rotation after fertilization. The SOC mineralization was higher in oilseed rape contained rotations than in wheat contained rotations and higher in paddy-upland rotations than in continuous rotations without fertilization. Fertilization increased SOC mineralization, but reduced the difference among crop rotation patterns.ConclusionOilseed rape contained rotations had higher SOC mineralization than wheat contained rotations, rotations affected SOC mineralization mainly by regulating DOC content, abundance of GH gene families and beta-glucosidase activity.</t>
  </si>
  <si>
    <t>[Yang, Xin; Zhu, Jun; Ren, Tao; Zhao, Jian; Fang, Yating; Cong, Rihuan; Lu, Zhifeng; Li, Xiaokun; Lu, Jianwei] Huazhong Agr Univ, Coll Resources &amp; Environm, Key Lab Arable Land Conservat Middle &amp; Lower Reach, Minist Agr &amp; Rural Affairs, Wuhan 430070, Peoples R China</t>
  </si>
  <si>
    <t>Huazhong Agricultural University</t>
  </si>
  <si>
    <t>Zhu, J (corresponding author), Huazhong Agr Univ, Coll Resources &amp; Environm, Key Lab Arable Land Conservat Middle &amp; Lower Reach, Minist Agr &amp; Rural Affairs, Wuhan 430070, Peoples R China.</t>
  </si>
  <si>
    <t>jzhu@mail.hzau.edu.cn</t>
  </si>
  <si>
    <t>Lu, Zhifeng/O-3544-2019; Ren, Tao/P-1434-2014</t>
  </si>
  <si>
    <t>Zhu, Jun/0000-0003-2064-0083;</t>
  </si>
  <si>
    <t>Natural Science Foundation of China [42277300]</t>
  </si>
  <si>
    <t>Natural Science Foundation of China(National Natural Science Foundation of China (NSFC))</t>
  </si>
  <si>
    <t>The research was supported by Natural Science Foundation of China (Grant number: 42277300).</t>
  </si>
  <si>
    <t>10.1007/s11104-024-07082-y</t>
  </si>
  <si>
    <t>6MI1L</t>
  </si>
  <si>
    <t>WOS:001369379000001</t>
  </si>
  <si>
    <t>Mwambo, FM; Fürst, C; Martius, C; Jimenez-Martinez, M; Nyarko, BK; Borgemeister, C</t>
  </si>
  <si>
    <t>Mwambo, Francis Molua; Fuerst, Christine; Martius, Christopher; Jimenez-Martinez, Marcos; Nyarko, Benjamin Kofi; Borgemeister, Christian</t>
  </si>
  <si>
    <t>Combined application of the EM-DEA and EX-ACT approaches for integrated assessment of resource use efficiency, sustainability and carbon footprint of smallholder maize production practices in sub-Saharan Africa</t>
  </si>
  <si>
    <t>Agricultural sustainability; efficiency; Greenhouse gas emissions; Carbon footprint; Maize; Sub-Saharan Africa; Emergy-data envelopment analysis</t>
  </si>
  <si>
    <t>GREENHOUSE-GAS EMISSIONS; ENERGY-USE EFFICIENCY; UPPER EAST REGION; CLIMATE-CHANGE; TECHNICAL EFFICIENCY; ENVIRONMENTAL IMPACTS; PRODUCTION SYSTEMS; EMERGY ASSESSMENT; CROPPING SYSTEMS; RAINY SEASONS</t>
  </si>
  <si>
    <t>The goal to improve food security in sub-Saharan Africa (SSA) through domestic, resource efficient and low carbon agriculture is importance. Interventions to produce more food could impact the resourcebase and lead to increase in greenhouse gas (GHG) emissions from agroecosystems. Unfortunately, existing methods are limited in analyzing small-scale agricultural systems, and this situation is an obstacle to decision making which aims at sustainable agriculture. In this paper, we showcase the recently developed Emergy-Data Envelopment Analysis (EM-DEA) approach to assess the resource use efficiency (RUE) and sustainability in maize production systems in Ghana, SSA. Using the Agricultural Production Systems sIMulator (APSIM), five land use and resource management scenarios were modeled to represent practices as decision making units (DMUs) in small-scale maize systems. The carbon footprint of the systems was assessed using an approach, which we adapted from the FAO Ex-Ante Carbon balance Tool (EX-ACT). The overall trend of the results showed that the yield, total emergy, GHG emissions and carbon footprint all increased with increase in urea application intensity. However, the relationship between the yield and urea intensity was not always linear. A system that used more renewable or fewer resources to produce a yield equal to that of its peer was considered more efficient and sustainable in relative terms. In particular, the business-as-usual scenario (12 kg/ha/yr NPK input to rainfed maize system, i.e. Extensive12) was inefficient when compared to the four contrasting scenarios. The ecological intensive scenario (20 kg/ha/yr urea input to rainfed maize-legume intercropping system, i.e. Intercrop20) achieved the greatest marginal yield, better RUE and sustainability. The high input scenario (100 kg/ha/yr urea input plus supplemental irrigation to maize monoculture, i.e. Intensive100) produced the greatest yield, but the demand for purchased inputs as well as GHG emissions and carbon footprint were greatest. The no external input scenario (0 kg/ha/yr urea input to rainfed maize system, i.e. Extensive0), and the moderate input scenario (50 kg/ha/yr urea input plus supplemental irrigation to maize monoculture, i.e. Intensive50) showed the greatest and least yield gaps relative to Intensive100, respectively. Based on these results and trade-off analysis, it was evident that Intercrop20 and Intensive50 were the two best case scenarios. As such, land use policy that aims at sustainable agriculture could recommend Intercrop20 and Intensive50 for implementation in low and high input maize production systems, respectively. Comparison between our results and other existing empirical studies revealed similarities that confirm our results. We conclude that the information derived using the EM-DEA and EX-ACT approaches could be useful when making informed decisions that aim at sustainable agriculture. Despite the limitation caused by scarcity of data, the use of the EM-DEA approach led to inclusive in-formation on RUE and sustainability of the DMUs. Hence, the EM-DEA approach represents a way for-ward to better assess energy footprint in agricultural land use as a whole. (c) 2021 The Authors. Published by Elsevier Ltd. This is an open access article under the CC BY license (http://creativecommons.org/licenses/by/4.0/).</t>
  </si>
  <si>
    <t>[Mwambo, Francis Molua; Jimenez-Martinez, Marcos; Borgemeister, Christian] Univ Bonn, Dept Ecol &amp; Nat Resources Management, Ctr Dev Res ZEF, Genscherallee 3, D-53113 Bonn, Germany; [Mwambo, Francis Molua; Fuerst, Christine] Martin Luther Univ Halle Wittenberg, Inst Geosci &amp; Geog, Dept Sustainable Landscape Dev, Von Seckendorff Pl 4, D-06120 Halle, Germany; [Martius, Christopher] Ctr Int Forestry Res CIFOR Germany gGmbH, Charles de Gaulle Str 5, D-53113 Bonn, Germany; [Nyarko, Benjamin Kofi] Univ Cape Coast, Dept Geog &amp; Reg Planning, Cape Coast, Ghana</t>
  </si>
  <si>
    <t>University of Bonn; Martin Luther University Halle Wittenberg; University of Cape Coast</t>
  </si>
  <si>
    <t>Mwambo, FM (corresponding author), Univ Bonn, Dept Ecol &amp; Nat Resources Management, Ctr Dev Res ZEF, Genscherallee 3, D-53113 Bonn, Germany.</t>
  </si>
  <si>
    <t>mwambof@gmail.com; christine.fuerst@geo.uni-halle.de; c.martius@cgiar.org; marcosjm23@gmail.com; bnyarko@ucc.edu.gh; cb@uni-bonn.de</t>
  </si>
  <si>
    <t>Jiménez-Martínez, Marcos/NPJ-2728-2025; Nyarko, Benjamin/I-2155-2019; Fürst, Christine/H-8682-2012</t>
  </si>
  <si>
    <t>Jiménez-Martínez, Marcos/0000-0002-7775-6434; Borgemeister, Christian/0000-0001-8067-0335; Nyarko, Benjamin Kofi/0000-0002-6560-9613;</t>
  </si>
  <si>
    <t>German Federal Ministry of Education and Research (BMBF) [FZK: 031A258A]; German Federal Ministry for Economic Cooperation and Development (BMZ)</t>
  </si>
  <si>
    <t>German Federal Ministry of Education and Research (BMBF)(Federal Ministry of Education &amp; Research (BMBF)); German Federal Ministry for Economic Cooperation and Development (BMZ)</t>
  </si>
  <si>
    <t>This paper is a contribution of Work Package 4.5 within the context of the BiomassWeb Project (http://biomassweb.org/) which was funded by the German Federal Ministry of Education and Research (BMBF, FZK: 031A258A), with support fund from the German Federal Ministry for Economic Cooperation and Development (BMZ). In the BiomassWeb Project, concepts for a better efficiency in use of locally produced bio-resources by means of value clusters are being developed.</t>
  </si>
  <si>
    <t>10.1016/j.jclepro.2021.126132</t>
  </si>
  <si>
    <t>SB0QF</t>
  </si>
  <si>
    <t>WOS:000649707300001</t>
  </si>
  <si>
    <t>Sun, JX; Sun, SK; Yin, YL; Wang, YB; Zhao, JF; Tang, YH; Wu, PT</t>
  </si>
  <si>
    <t>Sun, Jingxin; Sun, Shikun; Yin, Yali; Wang, Yubao; Zhao, Jinfeng; Tang, Yihe; Wu, Pute</t>
  </si>
  <si>
    <t>Decoupling trend and drivers between grain water-carbon footprint and economy-ecology development in China</t>
  </si>
  <si>
    <t>Grain water; carbon footprint; Economy -ecology; Decoupling assessment; Tapio decoupling model; Decoupling drivers; LMDI model</t>
  </si>
  <si>
    <t>CO2 EMISSIONS; DECOMPOSITION ANALYSIS; GROWTH</t>
  </si>
  <si>
    <t>CONTEXT: Agriculture is not only the basic guarantee for human survival, but also the basis for the economy development and ecology construction. Water use and carbon emissions in grain production will largely determine China's transition to green. OBJECTIVE: On the basis of finding out how much water is consumed and how much carbon is emitted by grain cultivation, and then finding out whether and what extent water use and carbon emissions affect economicecological development in China. METHODS: This study uses the Tapio decoupling model to calculate the decoupling status of the grain water-carbon footprint and economic-ecological development in mainland China from 1998 to 2020. Then the Logarithmic Mean Division Index (LMDI) model is used to analyze the drivers of the change of water-economy decoupling status. RESULTS AND CONCLUSIONS: The results show that the grain water-carbon footprint is well decoupled from economic development, most decoupling states are absolute decoupling ( - 3 &lt; e &lt; 0) and relative decoupling (0 &lt; e &lt; 1). The grain water-carbon footprint decoupled from ecological development is weak, and the decoupling coefficient has significant spatio-temporal differences. The agricultural production technology is the main positive driver for the decoupling between grain water footprint and economic development in mainland China ( - 1 &lt; eB &lt; 0). And the economic development scale is the main restraining factor for the decoupling between grain water footprint and economic development (0 &lt; e C &lt; 1). All provinces in mainland China need to correctly handle the relationship between economy -ecology development and grain security, and take water conservation and carbon emission reduction as an important starting point for adjusting the industrial structure, so as to achieve green development. SIGNIFICANCE: The grain water -carbon footprint was calculated in an integrated manner, and then based on the calculation of the decoupling situation, the drivers of the decoupling situation were further assessed.</t>
  </si>
  <si>
    <t>[Sun, Jingxin; Sun, Shikun; Yin, Yali; Wang, Yubao; Zhao, Jinfeng; Tang, Yihe; Wu, Pute] Northwest A&amp;F Univ, Key Lab Agr Soil &amp; Water Engn Arid Area, Minist Educ, Yangling 712100, Shaanxi, Peoples R China; [Sun, Jingxin; Sun, Shikun; Yin, Yali; Wang, Yubao; Zhao, Jinfeng; Tang, Yihe; Wu, Pute] Northwest A&amp;F Univ, Inst Water Saving Agr Arid Reg China, Yangling 712100, Shaanxi, Peoples R China; [Yin, Yali] Northwest A&amp;F Univ, Coll Water Resources &amp; Architectural Engn, Yangling 712100, Peoples R China</t>
  </si>
  <si>
    <t>Northwest A&amp;F University - China; Northwest A&amp;F University - China; Northwest A&amp;F University - China</t>
  </si>
  <si>
    <t>Yin, YL (corresponding author), Northwest A&amp;F Univ, Coll Water Resources &amp; Architectural Engn, Yangling 712100, Peoples R China.</t>
  </si>
  <si>
    <t>yaliyin@nwafu.edu.cn</t>
  </si>
  <si>
    <t>Wang, Yubao/GSN-8691-2022; Sun, Jingxin/OLS-0713-2025; Sun, SK/AAI-9111-2021; Tang, Yihe/KZS-8237-2024</t>
  </si>
  <si>
    <t>National Natural Science Foundation of China [52122903, 52342906]; Science Fund for Distinguised Young Scholars of Shaanxi Province [2021JC20]; Fok Ying-Tong Education Foundation [171113]; China National Postdoctoral Program for Innovative Talents [BX20220255]</t>
  </si>
  <si>
    <t>National Natural Science Foundation of China(National Natural Science Foundation of China (NSFC)); Science Fund for Distinguised Young Scholars of Shaanxi Province; Fok Ying-Tong Education Foundation(Fok Ying Tung Education Foundation); China National Postdoctoral Program for Innovative Talents</t>
  </si>
  <si>
    <t>Acknowledgments This work was supported by the National Natural Science Foundation of China (52122903, 52342906) , Science Fund for Distinguised Young Scholars of Shaanxi Province (2021JC20) , Fok Ying-Tong Education Foundation (171113) and China National Postdoctoral Program for Innovative Talents (BX20220255) .</t>
  </si>
  <si>
    <t>10.1016/j.agsy.2024.103904</t>
  </si>
  <si>
    <t>PU9Y3</t>
  </si>
  <si>
    <t>WOS:001216725700001</t>
  </si>
  <si>
    <t>Pereyra-Goday, F; Jebari, A; Takahashi, T; Rovira, P; Ayala, W; Lee, MRF; Rivero, MJ; McAuliffe, GA</t>
  </si>
  <si>
    <t>Pereyra-Goday, Fabiana; Jebari, Asma; Takahashi, Taro; Rovira, Pablo; Ayala, Walter; Lee, Michael R. F.; Rivero, M. Jordana; McAuliffe, Graham A.</t>
  </si>
  <si>
    <t>Carbon footprint of mixed farming crop-livestock rotational-based grazing beef systems using long term experimental data</t>
  </si>
  <si>
    <t>Carbon footprint; Sustainability; Food security; Grazing</t>
  </si>
  <si>
    <t>LIFE-CYCLE ASSESSMENT; GREENHOUSE-GAS EMISSIONS; ENVIRONMENTAL IMPACTS; CATTLE; SUSTAINABILITY; SEQUESTRATION; MITIGATION; ALLOCATION; BALANCE; STEPS</t>
  </si>
  <si>
    <t>In the context of ever-growing demand for food and associated concerns regarding the environmental impacts of high-input agricultural systems, there is growing interest in mixed farm enterprises to deliver greater sustainability compared with mono-enterprise production systems. However, assessments of such systems are complex and require high-resolution data to determine the true value and interconnectivity across enterprises. Given the scarcity of information on mixed crop-livestock systems and the difficulties of its analysis, we perform life cycle assessment using temporally high-resolution data (2019-2022) from a long-term experiment in South America to evaluate the 'cradle-to-farmgate exit' greenhouse gas emissions intensities of four rotational crop-livestock systems. Systems evaluated were continuous cropping: 2 years of continuous cropping; short rotation: 2-year continuous cropping plus 2-year pasture; long rotation: 2-year continuous cropping followed by 4-year pasture; and forage rotation: continuous pasture. Emissions intensities for beef throughput were reported as kilograms of carbon dioxide equivalents (CO2-eq) per kilogram of liveweight gain (LWG) using the Intergovernmental Panel for Climate Change's Sixth Assessment Report (AR6 2021) CO2 characterisation factors. Point estimate results were found to be 11.3, 11.8, 11.8 and 16.4 kg CO2-eq/kg/LWG for continuous cropping, short rotation, long rotation and forage rotation, respectively. Emission averages arising from crops, which were separated from animal-based emissions using economic allocation, were 1.23, 0.53 and 0.52 kg CO2-eq/kg for soybean, wheat and oat, respectively. The inclusion of soil organic carbon stock changes had notable effects on reducing each system's emissions: by 22.4%, 19.2%, 25.3% and 42.1% under continuous cropping, short rotation, long rotation and forage rotation, respectively, when soil organic carbon was included. Given there are few life cycle assessment studies available on such mixed-enterprise 'semi-circular' systems, particularly with novel primary data, this study adds critical knowledge to agri-food-related sustainability literature by addressing environmental issues in complex production systems compared to extant and broad coverage of mono-enterprise systems.</t>
  </si>
  <si>
    <t>[Pereyra-Goday, Fabiana; Rovira, Pablo; Ayala, Walter] Inst Nacl Invest Agr INIA, Treinta Y Tres 33000, Uruguay; [Pereyra-Goday, Fabiana; Jebari, Asma; Rivero, M. Jordana; McAuliffe, Graham A.] Rothamsted Res, Net Zero &amp; Resilient Farming, Okehampton EX20 2SB, England; [Takahashi, Taro] Agrifood &amp; Biosci Inst, Hillsborough BT26 6DR, North Ireland; [Takahashi, Taro] Univ Bristol, Langford BS40 5DU, England; [Lee, Michael R. F.; McAuliffe, Graham A.] Harper Adams Univ, Edgmond TF10 8NB, Shrops, England</t>
  </si>
  <si>
    <t>Instituto Nacional de Investigacion Agropecuaria Uruguay (INIA); UK Research &amp; Innovation (UKRI); Biotechnology and Biological Sciences Research Council (BBSRC); Rothamsted Research; Agri-Food &amp; Biosciences Institute; University of Bristol; Harper Adams University</t>
  </si>
  <si>
    <t>Pereyra-Goday, F (corresponding author), Inst Nacl Invest Agr INIA, Treinta Y Tres 33000, Uruguay.;Pereyra-Goday, F (corresponding author), Rothamsted Res, Net Zero &amp; Resilient Farming, Okehampton EX20 2SB, England.</t>
  </si>
  <si>
    <t>fpereyragoday@gmail.com</t>
  </si>
  <si>
    <t>; Rivero, M./M-6086-2014; McAuliffe, Graham/T-6494-2019; Rivero, M Jordana/M-6086-2014</t>
  </si>
  <si>
    <t>Pereyra-Goday, Fabiana/0000-0002-8286-3752; Rovira, Pablo/0000-0003-2447-1213; Rivero, M Jordana/0000-0002-9045-289X; Jebari, Asma/0000-0001-6216-7242; McAuliffe, Graham/0000-0001-6031-1394</t>
  </si>
  <si>
    <t>ANII; INIA; Rothamsted Research, University of Bristol; Biotechnology and Biological Sciences Research Council [BBS/E/C/000I0320, BBS/E/C/000I0330] Funding Source: researchfish</t>
  </si>
  <si>
    <t>ANII; INIA(Instituto de Investigacion Agropecuaria (INIA)Spanish Government); Rothamsted Research, University of Bristol; Biotechnology and Biological Sciences Research Council(UK Research &amp; Innovation (UKRI)Biotechnology and Biological Sciences Research Council (BBSRC))</t>
  </si>
  <si>
    <t>We thank INIA's field and laboratory staff and students who participated in the collection and processing of data. INIA, Rothamsted Research, University of Bristol and Harper Adams University are all members of the Global Farm Platform initiative (http://www.globalfarmplatform.org) collaboratively working towards sustainable ruminant livestock production systems.</t>
  </si>
  <si>
    <t>10.1007/s13593-024-00977-1</t>
  </si>
  <si>
    <t>YV2X6</t>
  </si>
  <si>
    <t>WOS:001271206100001</t>
  </si>
  <si>
    <t>Aladaghlo, Z; Sahragard, A; Fakhari, A; Salarinejad, N; Movahed, SK; Dabiri, M</t>
  </si>
  <si>
    <t>Aladaghlo, Zolfaghar; Sahragard, Ali; Fakhari, Alireza; Salarinejad, Neda; Movahed, Siyavash Kazemi; Dabiri, Minoo</t>
  </si>
  <si>
    <t>Fe3O4@nitrogen-doped carbon@Pd core-double shell nanotubes as a novel nanosorbent for ultrasonic assisted dispersive magnetic solid phase extraction of organophosphorus pesticides</t>
  </si>
  <si>
    <t>TALANTA</t>
  </si>
  <si>
    <t>Nanosorbent; Organophosphorus pesticides; Food samples; Agricultural samples; Solid phase extraction</t>
  </si>
  <si>
    <t>MICROEXTRACTION; SOLVENT; OXIDE</t>
  </si>
  <si>
    <t>In this study, an ultrasonic assisted dispersive magnetic solid phase extraction leveraging Fe3O4@nitrogen-doped carbon@Pd core-double shell nanotubes was developed for the extraction of organophosphorus pesticides (OPPs) in trace levels from real samples. Incorporation of Pd species into the structure of the nanosorbent could enhance its interactions with sulfur groups in the structure of OPPs. X-ray photoelectron spectroscopy and X-ray diffraction, brunauer-emmett-teller, field emission scanning electron microscopy, and high-resolution transmission electron microscopy were used to characterize the nanosorbent after its synthesis. Then, effective variables on the extraction efficiency of OPPs using the nanosorbent were optimized. These parameters included 2-propanol as the adsorption solvent; the sample pH of 7.0; the sorbent quantity of 10 mg; and the extraction and desorption times of 3 min. Under optimized conditions, linear ranges with determination coefficients (R-2) higher than 0.99, low detection limits of 0.30 ng mL(-1), high preconcentration factors (423-470) and relatively high extraction recoveries (84-94 %) were obtained. The proposed extraction system was then successfully applied to the analysis of OPPs in fruits, vegetables, water, and agricultural soil samples, yielding relative recoveries from 90.4 to 107 %.</t>
  </si>
  <si>
    <t>[Aladaghlo, Zolfaghar] Univ Tehran, Coll Agr &amp; Nat Resources, Dept Soil Sci, Karaj 3158777871, Iran; [Sahragard, Ali] Univ Balear Isl, Fac Sci, Dept Chem, FI TRACE Grp, Carretera Valldemossa Km 7-5, E-07122 Palma De Mallorca, Illes Balears, Spain; [Fakhari, Alireza; Salarinejad, Neda; Dabiri, Minoo] Shahid Beheshti Univ G C, Fac Chem, POB, Tehran 1983963113, Iran; [Movahed, Siyavash Kazemi] Isfahan Univ Technol, Dept Chem Engn, Esfahan 8415683111, Iran</t>
  </si>
  <si>
    <t>University of Tehran; Universitat de les Illes Balears; Shahid Beheshti University; Isfahan University of Technology</t>
  </si>
  <si>
    <t>Aladaghlo, Z (corresponding author), Univ Tehran, Coll Agr &amp; Nat Resources, Dept Soil Sci, Karaj 3158777871, Iran.;Fakhari, A (corresponding author), Shahid Beheshti Univ G C, Fac Chem, POB, Tehran 1983963113, Iran.</t>
  </si>
  <si>
    <t>Movahed, Siyavash/M-5731-2018; Aladaghlo, Zolfaghar/JAO-2439-2023</t>
  </si>
  <si>
    <t>Shahid Beheshti University</t>
  </si>
  <si>
    <t>Shahid Beheshti University(Shahid Beheshti University)</t>
  </si>
  <si>
    <t>Financial supports from the research affairs of University of Tehran and Shahid Beheshti University are gratefully appreciated.</t>
  </si>
  <si>
    <t>0039-9140</t>
  </si>
  <si>
    <t>1873-3573</t>
  </si>
  <si>
    <t>Talanta</t>
  </si>
  <si>
    <t>10.1016/j.talanta.2024.126911</t>
  </si>
  <si>
    <t>H3R2Z</t>
  </si>
  <si>
    <t>WOS:001322639400001</t>
  </si>
  <si>
    <t>Shen, QS; Liu, XB; Zhang, XY</t>
  </si>
  <si>
    <t>Shen, Qingsong; Liu, Xiaobing; Zhang, Xingyi</t>
  </si>
  <si>
    <t>Evaluating soil organic carbon changes after 16 years of soil relocation in Chinese Mollisols by optimizing the input data of the RothC model</t>
  </si>
  <si>
    <t>Soil organic carbon; Mollisols; RothC model; Soil relocation; Carbon input</t>
  </si>
  <si>
    <t>LONG-TERM EXPERIMENTS; TEMPERATURE SENSITIVITY; MANAGEMENT-PRACTICES; NORTHEAST CHINA; CLIMATE-CHANGE; LOESS PLATEAU; BLACK SOILS; PADDY SOILS; CROP YIELDS; C-DYNAMICS</t>
  </si>
  <si>
    <t>Long-term intensive cultivation leads to the loss of soil organic carbon (SOC) in agricultural lands, which inevitably threatens food security and exacerbates greenhouse gas (GHG) emissions. The RothC model (Ver. 26.3win) is generally used to evaluate the changes in SOC and its responses to agricultural practices and climate change. However, previous calibrations of the RothC model emphasize the parameterization of C decomposition and neglect the effect of input data on the model accuracy. In this study, a long-term soil relocation experiment (1 m depth) in Chinese Mollisols was used to determine the effect of input parameters on the performance of the RothC model, and the optimal combination was filtered to evaluate the changes in SOC after 16 years of soil relocation. The results showed that the estimated C input from crop residues ranged from 1.22 to 2.53 t C ha- 1 yr- 1 relationship between the initial SOC and C input, i.e., the largest C input amount was obtained under 3.24 % SOC rather than 6.31 % SOC. The difference in C input derived from estimation algorithms was the main source of model uncertainty. The simulation results indicated that from 2005 to 2020, the loss of SOC in Mollisols ranged from 2.54 to 13.90 t ha- 1 when the initial SOC stocks were greater than 60 t ha -1, while the rate of SOC sequestration was 0.15 t ha- 1 yr- 1 when the SOC stocks was 33.03 t ha -1. Meanwhile, warming accelerated the loss and delayed the recovery of SOC in Mollisols. We suggested the equilibrium point of SOC in Mollisols under current agricultural practices was approximately 45 t ha -1. These results highlighted that Mollisols were an important C source of GHG and that a substantial capacity exists in SOC sequestration under conventional agricultural practices. , and these inputs were insufficient to maintain the equilibrium state of the SOC. We also found a non-linear</t>
  </si>
  <si>
    <t>[Shen, Qingsong; Liu, Xiaobing; Zhang, Xingyi] Chinese Acad Sci, Northeast Inst Geog &amp; Agroecol, Harbin 150081, Peoples R China; [Shen, Qingsong] Univ Chinese Acad Sci, Beijing 100049, Peoples R China</t>
  </si>
  <si>
    <t>Chinese Academy of Sciences; Northeast Institute of Geography &amp; Agroecology, CAS; Chinese Academy of Sciences; University of Chinese Academy of Sciences, CAS</t>
  </si>
  <si>
    <t>Zhang, XY (corresponding author), Chinese Acad Sci, Northeast Inst Geog &amp; Agroecol, Harbin 150081, Peoples R China.</t>
  </si>
  <si>
    <t>zhangxy@iga.ac.cn</t>
  </si>
  <si>
    <t>Liu, Xiaobing/AAQ-3881-2020</t>
  </si>
  <si>
    <t>National Natural Science Founda-tion of China; [42177312]</t>
  </si>
  <si>
    <t>National Natural Science Founda-tion of China(National Natural Science Foundation of China (NSFC));</t>
  </si>
  <si>
    <t>Acknowledgement This work was sponsored by the National Natural Science Founda-tion of China (42177312) .</t>
  </si>
  <si>
    <t>10.1016/j.still.2022.105561</t>
  </si>
  <si>
    <t>5Z6JQ</t>
  </si>
  <si>
    <t>WOS:000880077800005</t>
  </si>
  <si>
    <t>Yadav, A; Jha, A; Misra, AK</t>
  </si>
  <si>
    <t>Yadav, Akash; Jha, Anjali; Misra, A. K.</t>
  </si>
  <si>
    <t>Impact of elevated carbon dioxide and temperature on crop yield: A study of autonomous and nonautonomous systems</t>
  </si>
  <si>
    <t>CHAOS</t>
  </si>
  <si>
    <t>CLIMATE-CHANGE; MAIZE; PERSISTENCE; EMISSION</t>
  </si>
  <si>
    <t>Agricultural crops are vital for human survival, forming the backbone of global food supply. However, the rising atmospheric carbon dioxide (CO2) level and the increasing temperature relative to the pre-industrial level are poised to impact the yields of essential staple food crops significantly. In this research, we propose and analyze a nonlinear mathematical model to investigate the effects of elevated CO2 and temperature on crop yield. Our model assumes that rising CO2 levels elevate the global average temperature, and the surface temperature initially boosts the growth rate of crops until a threshold is reached, after which the growth rate declines. We also incorporate seasonal variations into the model and perform a comprehensive analytical and numerical analysis of both the autonomous and associated nonautonomous systems. Our findings reveal a critical threshold for anthropogenic CO2 emissions, beyond which the crop yield starts to decrease. Notably, crops with high-temperature tolerance demonstrate higher yields even under elevated CO2 conditions, suggesting a viable strategy for mitigating climate change impacts: developing or utilizing crop varieties with enhanced temperature tolerance. Moreover, our analysis of the nonautonomous system uncovers periodic solutions when the corresponding autonomous system is stable. The nonautonomous system also exhibits complex dynamics, including higher-period oscillations and chaos, when the autonomous system undergoes limit-cycle oscillations. This study provides valuable insights into the interplay between CO2 level, global average surface temperature, and crop yield, offering potential strategies for safeguarding agricultural productivity in the face of climate change.</t>
  </si>
  <si>
    <t>[Yadav, Akash; Jha, Anjali; Misra, A. K.] Banaras Hindu Univ, Inst Sci, Dept Math, Varanasi 221005, Uttar Pradesh, India</t>
  </si>
  <si>
    <t>Banaras Hindu University (BHU)</t>
  </si>
  <si>
    <t>Misra, AK (corresponding author), Banaras Hindu Univ, Inst Sci, Dept Math, Varanasi 221005, Uttar Pradesh, India.</t>
  </si>
  <si>
    <t>akmisra_knp@yahoo.com</t>
  </si>
  <si>
    <t>; Yadav, Dr. Akash/LNQ-4765-2024</t>
  </si>
  <si>
    <t>Yadav, Akash/0000-0002-6180-5553; Jha, Anjali/0000-0002-1206-8358;</t>
  </si>
  <si>
    <t>1054-1500</t>
  </si>
  <si>
    <t>1089-7682</t>
  </si>
  <si>
    <t>Chaos</t>
  </si>
  <si>
    <t>10.1063/5.0225698</t>
  </si>
  <si>
    <t>Mathematics, Applied; Physics, Mathematical</t>
  </si>
  <si>
    <t>Mathematics; Physics</t>
  </si>
  <si>
    <t>N8P8O</t>
  </si>
  <si>
    <t>WOS:001366896200001</t>
  </si>
  <si>
    <t>Rosinger, C; Bonkowski, M</t>
  </si>
  <si>
    <t>Rosinger, Christoph; Bonkowski, Michael</t>
  </si>
  <si>
    <t>Soil age and soil organic carbon content shape biochemical responses to multiple freeze-thaw events in soils along a postmining agricultural chronosequence</t>
  </si>
  <si>
    <t>Agricultural post-mining chronosequence; Basal respiration; Biogeochemistry; Metabolic quotient; Microbial biomass; Multiple freeze-thaw</t>
  </si>
  <si>
    <t>NITROUS-OXIDE EMISSIONS; MICROBIAL BIOMASS; ENZYME-ACTIVITIES; MATTER TURNOVER; CYCLES; COMMUNITIES; DISTURBANCE; RESILIENCE; RESISTANCE; GRADIENTS</t>
  </si>
  <si>
    <t>Freeze-thaw (FT) events exert a great physiological stress on the soil microbial community and thus significantly impact soil biogeochemical processes. Studies often show ambiguous and contradicting results, because a multitude of environmental factors affect biogeochemical responses to FT. Thus, a better understanding of the factors driving and regulating microbial responses to FT events is required. Soil chronosequences allow more focused comparisons among soils with initially similar start conditions. We therefore exposed four soils with contrasting organic carbon contents and opposing soil age (i.e., years after restoration) from a postmining agricultural chronosequence to three consecutive FT events and evaluated soil biochgeoemical responses after thawing. The major microbial biomass carbon losses occurred after the first FT event, while microbial biomass N decreased more steadily with subsequent FT cycles. This led to an immediate and lasting decoupling of microbial biomass carbon:nitrogen stoichiometry. After the first FT event, basal respiration and the metabolic quotient (i.e., respiration per microbial biomass unit) were above pre-freezing values and thereafter decreased with subsequent FT cycles, demonstrating initially high dissimilatory carbon losses and less and less microbial metabolic activity with each iterative FT cycle. As a consequence, dissolved organic carbon and total dissolved nitrogen increased in soil solution after the first FT event, while a substantial part of the liberated nitrogen was likely lost through gaseous emissions. Overall, high-carbon soils were more vulnerable to microbial biomass losses than low-carbon soils. Surprisingly, soil age explained more variation in soil chemical and microbial responses than soil organic carbon content. Further studies are needed to dissect the factors associated with soil age and its influence on soil biochemical responses to FT events.</t>
  </si>
  <si>
    <t>[Rosinger, Christoph; Bonkowski, Michael] Univ Cologne, Inst Zool, Terrestial Ecol Grp, Zulpicher Str 47b, D-50476 Cologne, Germany; [Rosinger, Christoph] Univ Nat Resources &amp; Life Sci BOKU, Inst Soil Res, Dept Forest &amp; Soil Sci, Peter Jordan Str 82, A-1190 Vienna, Austria</t>
  </si>
  <si>
    <t>University of Cologne; BOKU University</t>
  </si>
  <si>
    <t>Rosinger, C (corresponding author), Univ Cologne, Inst Zool, Terrestial Ecol Grp, Zulpicher Str 47b, D-50476 Cologne, Germany.;Rosinger, C (corresponding author), Univ Nat Resources &amp; Life Sci BOKU, Inst Soil Res, Dept Forest &amp; Soil Sci, Peter Jordan Str 82, A-1190 Vienna, Austria.</t>
  </si>
  <si>
    <t>Bonkowski, Michael/C-3700-2013</t>
  </si>
  <si>
    <t>Bonkowski, Michael/0000-0003-2656-1183; Rosinger, Christoph/0000-0002-4973-3921</t>
  </si>
  <si>
    <t>German Federal Ministry of Education and Research (BMBF) [BMBF-FKZ 031B0508F]; Projekt DEAL</t>
  </si>
  <si>
    <t>German Federal Ministry of Education and Research (BMBF)(Federal Ministry of Education &amp; Research (BMBF)); Projekt DEAL</t>
  </si>
  <si>
    <t>Open Access funding enabled and organized by Projekt DEAL. The project was funded by the German Federal Ministry of Education and Research (BMBF) as part of the BonaRes initiative, in the project INPLAMINT: `Increasing agricultural nutrient-use efficiency by optimizing plant-soilmicroorganism interactions' (BMBF-FKZ 031B0508F).</t>
  </si>
  <si>
    <t>10.1007/s10533-021-00816-5</t>
  </si>
  <si>
    <t>TL1TD</t>
  </si>
  <si>
    <t>WOS:000658590400001</t>
  </si>
  <si>
    <t>Gowen, R; Bray, SG</t>
  </si>
  <si>
    <t>Gowen, Rebecca; Bray, Steven G.</t>
  </si>
  <si>
    <t>Bioeconomic modelling of woody regrowth carbon offset options in productive grazing systems</t>
  </si>
  <si>
    <t>brigalow; beef production; climate change mitigation; greenhouse gas emissions; options modelling; sequestration</t>
  </si>
  <si>
    <t>NORTHERN AUSTRALIA; HERBACEOUS UNDERSTOREY; METHANE EMISSIONS; BEEF BUSINESS; QUEENSLAND; SEQUESTRATION; MANAGEMENT; WOODLANDS; OVERSTORY; LANDS</t>
  </si>
  <si>
    <t>Agricultural land has been identified as a potential source of greenhouse gas emissions offsets through biosequestration in vegetation and soil. In the extensive grazing land of Australia, landholders may participate in the Australian Government's Emissions Reduction Fund and create offsets by reducing woody vegetation clearing and allowing native woody plant regrowth to grow. This study used bioeconomic modelling to evaluate the trade-offs between an existing central Queensland grazing operation, which has been using repeated tree clearing to maintain pasture growth, and an alternative carbon and grazing enterprise in which tree clearing is reduced and the additional carbon sequestered in trees is sold. The results showed that ceasing clearing in favour of producing offsets produces a higher net present value over 20 years than the existing cattle enterprise at carbon prices, which are close to current (2015) market levels (similar to$13t(-1) CO2-e). However, by modifying key variables, relative profitability did change. Sensitivity analysis evaluated key variables, which determine the relative profitability of carbon and cattle. In order of importance these were: the carbon price, the gross margin of cattle production, the severity of the tree-grass relationship, the area of regrowth retained, the age of regrowth at the start of the project, and to a lesser extent the cost of carbon project administration, compliance and monitoring. Based on the analysis, retaining regrowth to generate carbon income may be worthwhile for cattle producers in Australia, but careful consideration needs to be given to the opportunity cost of reduced cattle income.</t>
  </si>
  <si>
    <t>[Gowen, Rebecca] Argyll Consulting, POB 259, Katherine, NT 0850, Australia; [Bray, Steven G.] Dept Agr &amp; Fisheries, POB 6014, Rockhampton, Qld 4702, Australia</t>
  </si>
  <si>
    <t>Gowen, R (corresponding author), Argyll Consulting, POB 259, Katherine, NT 0850, Australia.</t>
  </si>
  <si>
    <t>rebecca@argyllconsulting.com.au</t>
  </si>
  <si>
    <t>Mohr-Bell, Rebecca/AAG-4738-2020</t>
  </si>
  <si>
    <t>Queensland Department of Agriculture and Fisheries; Australian Government's Carbon Farming Futures - Action on the Ground program</t>
  </si>
  <si>
    <t>Queensland Department of Agriculture and Fisheries; Australian Government's Carbon Farming Futures - Action on the Ground program(Australian Government)</t>
  </si>
  <si>
    <t>The authors would like to thank the Gibson family for their collaboration with the project team and sharing of property data. We would like to acknowledge the Queensland Department of Agriculture and Fisheries and the Australian Government's Carbon Farming Futures - Action on the Ground program for funding the research. The collaboration of Dr Diane Allen and the National Soil Carbon Program is gratefully acknowledged.</t>
  </si>
  <si>
    <t>10.1071/RJ15084</t>
  </si>
  <si>
    <t>DQ8XX</t>
  </si>
  <si>
    <t>WOS:000379496100009</t>
  </si>
  <si>
    <t>Bheel, N; Nadeem, G; Almaliki, AH; Al-Sakkaf, YK; Dodo, YA; Benjeddou, O</t>
  </si>
  <si>
    <t>Bheel, Naraindas; Nadeem, Gohar; Almaliki, Abdulrazak H.; Al-Sakkaf, Yaser Khaled; Dodo, Yakubu Aminu; Benjeddou, Omrane</t>
  </si>
  <si>
    <t>Effect of low carbon marble dust powder, silica fume, and rice husk ash as tertiary cementitious material on the mechanical properties and embodied carbon of concrete</t>
  </si>
  <si>
    <t>SUSTAINABLE CHEMISTRY AND PHARMACY</t>
  </si>
  <si>
    <t>Concrete; Silica fume; Rice husk Ash; Marble dust powder; Tertiary cementitious materials; Workability; Mechanical properties; Durability; Embodied carbon; Sustainability of concrete</t>
  </si>
  <si>
    <t>SUGARCANE BAGASSE ASH; PORE STRUCTURE; COMPRESSIVE STRENGTH; FLY-ASH; STRUCTURAL CONCRETE; NATURAL POZZOLAN; PORTLAND-CEMENT; PERFORMANCE; PERMEABILITY; DURABILITY</t>
  </si>
  <si>
    <t>The recent decade has seen a surge in study towards cost-effective, ecologically benign, as well as socially advantageous cement replacements. Alternatives include industrial and agricultural waste, which can be recycled, repurposed, as well as renewed. However, using these wastes as supplementary cementitious materials (SCM) saves energy as well as reduces cement use, which helps reduce CO2 emission. Therefore, this research investigation is to use the silica fume (SF), rice husk ash (RHA), as well as marble dust powder (MDP) individually as SCM and combine as tertiary cementitious materials (TCM) for determining the fresh (workability), hardened (dry density, splitting tensile and compressive strength) and durability (carbonation depth, and water absorption) properties of concrete. In this regard, 345 concrete samples were made with 1:1.5:3 mix ratio and cured for 28 days. The outcome has been demonstrated that the workability, dry density, water absorption and carbonation depth of concrete is getting reduced with growing the SF, RHA and MDP as SCM and TCM in concrete. Besides, the compressive and split tensile strength are increased by 10.44% and 9.544% respectively at 9% of SF, RHA and MDP as TCM for 28 days. Besides, the embodied carbon of concrete is decreasing while amount of SF, RHA and MDP as SCM and TCM is increasing. It has been observed that the use of 9% TCM is offering good results for construction sector and reduce the consumption of cement in concrete which helps to decrease the carbon emission in the environment.</t>
  </si>
  <si>
    <t>[Bheel, Naraindas] Univ Teknol PETRONAS, Dept Civil &amp; Environm Engn, Tronoh 32610, Perak, Malaysia; [Nadeem, Gohar] Baluchistan Univ Engn &amp; Technol, Dept Civil Engn, Khuzdar 89100, Baluchistan, Pakistan; [Almaliki, Abdulrazak H.] Taif Univ, Coll Engn, Dept Civil Engn, Taif 21944, Saudi Arabia; [Al-Sakkaf, Yaser Khaled; Dodo, Yakubu Aminu] Najran Univ, Coll Engn, Architectural Engn Dept, Najran 66426, Saudi Arabia; [Benjeddou, Omrane] Prince Sattam Bin Abdulaziz Univ, Coll Engn, Dept Civil Engn, Alkharj 16273, Saudi Arabia</t>
  </si>
  <si>
    <t>Universiti Teknologi Petronas; Taif University; Najran University; Prince Sattam Bin Abdulaziz University</t>
  </si>
  <si>
    <t>Bheel, N (corresponding author), Univ Teknol PETRONAS, Dept Civil &amp; Environm Engn, Tronoh 32610, Perak, Malaysia.</t>
  </si>
  <si>
    <t>naraindas04@gmail.com</t>
  </si>
  <si>
    <t>; Dodo, Yakubu/KBD-4114-2024; Bheel, Naraindas/AAQ-2754-2021; Benjeddou, Omrane/AHI-3882-2022; Almaliki, Abdulrazak/GRO-2171-2022; almaliki, Abdulrazak/GRO-2171-2022; AlSakkaf, Yaser/LBI-6219-2024</t>
  </si>
  <si>
    <t>Al-Sakkaf, Yaser Khaled/0009-0006-3344-4988; Bheel, Naraindas/0000-0003-1691-9735; almaliki, Abdulrazak/0000-0002-3163-6680;</t>
  </si>
  <si>
    <t>Taif University, Saudi Arabia [Tu-Dspp-2024-173]</t>
  </si>
  <si>
    <t>Taif University, Saudi Arabia(Taif University)</t>
  </si>
  <si>
    <t>Funding This Research was funded by Taif University, Saudi Arabia, Project No. (Tu-Dspp-2024-173) .</t>
  </si>
  <si>
    <t>2352-5541</t>
  </si>
  <si>
    <t>SUSTAIN CHEM PHARM</t>
  </si>
  <si>
    <t>SUSTAIN. CHEM. PHARM.</t>
  </si>
  <si>
    <t>10.1016/j.scp.2024.101734</t>
  </si>
  <si>
    <t>Chemistry, Multidisciplinary; Green &amp; Sustainable Science &amp; Technology; Environmental Sciences</t>
  </si>
  <si>
    <t>Chemistry; Science &amp; Technology - Other Topics; Environmental Sciences &amp; Ecology</t>
  </si>
  <si>
    <t>D5A0V</t>
  </si>
  <si>
    <t>WOS:001296296500001</t>
  </si>
  <si>
    <t>Jeewani, PH; Brown, RW; Rhymes, JM; Evans, CD; Chadwick, DR; Jones, DL</t>
  </si>
  <si>
    <t>Jeewani, Peduruhewa H.; Brown, Robert W.; Rhymes, Jennifer M.; Evans, Chris D.; Chadwick, Dave R.; Jones, Davey L.</t>
  </si>
  <si>
    <t>Restoring degraded agricultural peatlands: how rewetting, biochar, and iron sulphate synergistically modify microbial hotspots and carbon storage</t>
  </si>
  <si>
    <t>Soil solution; Hydrolytic enzymes; Sustainable agriculture; Soil microbes; Fe gate; Histosol</t>
  </si>
  <si>
    <t>EXTRACELLULAR ENZYME-ACTIVITY; ORGANIC-MATTER; EXTRACTION METHOD; N2O; DECOMPOSITION; EMISSIONS; OXIDATION; NITROGEN; SOILS; LATCH</t>
  </si>
  <si>
    <t>The draining and conversion of peatlands for agriculture has led to their degradation globally, diminishing their carbon (C) storage capacity and functioning. However, rewetting, alongside the addition of organic/inorganic amendments, has the potential to accelerate peat formation and C accrual. The aim of this experiment was therefore to examine the combined benefits of altering water table depth and adding organic (e.g., biochar, paper waste, biosolids, cereal straw; 20 t C ha(-1)) and inorganic (e.g., FeSO4; 0.5 t ha(-1)) materials on net C storage and peatland functioning (i.e., microbial communities, greenhouse gas emissions and biogeochemical cycling). The experiment consisted of outdoor agricultural peat mesocosms monitored over 1 year. The relative effectiveness of the amendments in preserving peat-C (t C ha(-1)) followed the series: Miscanthus biochar (18.9 t C ha(-1)) &gt; Miscanthus residues (17.3 t C ha(-1)) &gt; biosolids (17.2 t C ha(-1)) &gt; cereal straw (14.5 t C ha(-1)) &gt; paper waste (13.3 t C ha(-1)) based on C additional rate (20 t C ha(-1)). Overall, a high-water table combined with biochar and FeSO4 addition was the most effective at suppressing enzyme activity (e.g., beta-glucosidase, phenol oxidase, cellobiase), methanogen activity (e.g., Methanosarcina) and peat mineralization rate. We ascribe this in part to changes in the fungal and bacterial community structure (e.g., reductions in Actinobacteria by - 22% and Ascomycota by - 61%). FeSO4 also increased the Fe-bound C content in the non-rewetted treatment, supporting the 'iron gate' mechanism for C preservation. The mechanisms behind our results appear to be both abiotic (affecting SOC solubility through changes in redox conditions and Fe-C interactions) and biotic (via shifts in microbial community and enzyme activities), creating conditions that enhance C preservation. These findings provide evidence for implementing biochar and FeSO4 amendments alongside water table management as practical, scalable strategies for restoring C storage capacity in agricultural peatlands.</t>
  </si>
  <si>
    <t>[Jeewani, Peduruhewa H.; Brown, Robert W.; Chadwick, Dave R.; Jones, Davey L.] Bangor Univ, Sch Environm &amp; Nat Sci, Bangor LL57 2UW, Gwynedd, Wales; [Rhymes, Jennifer M.; Evans, Chris D.] UK Ctr Ecol &amp; Hydrol, Bangor LL57 2UW, Gwynedd, England</t>
  </si>
  <si>
    <t>Bangor University; UK Centre for Ecology &amp; Hydrology (UKCEH)</t>
  </si>
  <si>
    <t>Jeewani, PH (corresponding author), Bangor Univ, Sch Environm &amp; Nat Sci, Bangor LL57 2UW, Gwynedd, Wales.</t>
  </si>
  <si>
    <t>j.hemamali@bangor.ac.uk</t>
  </si>
  <si>
    <t>Peduruhewa, Jeewani/KVB-8866-2024; Chadwick, David/KBQ-6266-2024; Brown, Robert/AGT-8924-2022</t>
  </si>
  <si>
    <t>UK Research and Innovation (UKRI) through the Biotechnology and Biological Sciences Research Council (BBSRC) [BB/V011561/1]</t>
  </si>
  <si>
    <t>UK Research and Innovation (UKRI) through the Biotechnology and Biological Sciences Research Council (BBSRC)(UK Research &amp; Innovation (UKRI)Biotechnology and Biological Sciences Research Council (BBSRC))</t>
  </si>
  <si>
    <t>This work was supported by UK Research and Innovation (UKRI) through the Biotechnology and Biological Sciences Research Council (BBSRC) funded Greenhouse Gas Removal Peatland Demonstrator project (BB/V011561/1).</t>
  </si>
  <si>
    <t>10.1007/s42773-025-00501-y</t>
  </si>
  <si>
    <t>7GO0V</t>
  </si>
  <si>
    <t>WOS:001570504300001</t>
  </si>
  <si>
    <t>Ma, XC; Lv, MF; Huang, FY; Zhang, P; Cai, T; Jia, ZK</t>
  </si>
  <si>
    <t>Ma, Xiangcheng; Lv, Mengfan; Huang, Fangyuan; Zhang, Peng; Cai, Tie; Jia, Zhikuan</t>
  </si>
  <si>
    <t>Effects of Biochar Application on Soil Hydrothermal Environment, Carbon Emissions, and Crop Yield in Wheat Fields under Ridge-Furrow Rainwater Harvesting Planting Mode</t>
  </si>
  <si>
    <t>CO2 and CH4; equation fitting; net ecosystem carbon budget; soil temperature; soil water content</t>
  </si>
  <si>
    <t>GREENHOUSE-GAS EMISSIONS; WATER-USE EFFICIENCY; PLASTIC FILM; ORGANIC-CARBON; CLIMATE-CHANGE; LOESS PLATEAU; NITROUS-OXIDE; WINTER-WHEAT; MAIZE FIELDS; GRAIN-YIELD</t>
  </si>
  <si>
    <t>The ridge-furrow rainwater harvesting (RFRH) planting mode is widely used in arid and semi-arid areas to solve the problems of agricultural water shortage and low productivity. However, the impact of film mulching on the stability of soil carbon pools makes this planting mode vulnerable to the risk of increased soil carbon emissions and carbon pool losses. In order to clarify the relationship between soil carbon emissions and hydrothermal factors, as well as the regulatory effect of biochar application on soil carbon sequestration and reduced emissions under this planting mode, we set up a biochar application experiment. The effects of the biochar application (at 10 Mg ha(-1) biochar and 20 Mg ha(-1) biochar) on the soil water dynamics, soil temperature changes, CO2-C and CH4-C flux dynamics, grain yield, carbon emission efficiency, and the net ecosystem carbon budget in wheat fields under the RFRH planting mode were investigated, with no biochar application as the control. The results showed that applying biochar increased the soil water content, soil average temperature, cumulative CH4-C uptake, wheat grain yield, and carbon emission efficiency by 3.10-12.23%, 0.98-3.53%, 59.27-106.65%, 3.51-16.42%, and 18.52-61.17%, respectively; reduced the cumulative CO2-C emissions by 7.51-31.07%; and increased the net ecosystem carbon budget by 2.91 Mg C ha(-1) to 6.06 Mg C ha(-1). The results obtained by equation fitting showed that in wheat fields under RFRH, the CO2-C emission fluxes had negative and positive exponential relationships with the soil water content and soil temperature, respectively, while the CH4-C uptake fluxes had no significant correlation with the soil water content and had an inverse U-shaped quadratic function relationship with soil temperature. Overall, these results suggest that the application of biochar to wheat fields under RFRH can improve grain yield, farmland carbon emission efficiency, and the net ecosystem carbon budget, and change wheat fields from a carbon source to a carbon sink. These results can provide a theoretical basis and technical support for efficient, green, and sustainable production in farmland in arid and semi-arid areas.</t>
  </si>
  <si>
    <t>[Ma, Xiangcheng; Lv, Mengfan; Huang, Fangyuan; Zhang, Peng; Cai, Tie; Jia, Zhikuan] Northwest A&amp;F Univ, Coll Agron, Yangling 712100, Xianyang, Peoples R China; [Ma, Xiangcheng; Lv, Mengfan; Huang, Fangyuan; Zhang, Peng; Cai, Tie; Jia, Zhikuan] Northwest A&amp;F Univ, Inst Water Saving Agr Arid Areas China, Yangling 712100, Xianyang, Peoples R China; [Ma, Xiangcheng; Lv, Mengfan; Huang, Fangyuan; Zhang, Peng; Cai, Tie; Jia, Zhikuan] Northwest A&amp;F Univ, Key Lab Crop Physi Ecol &amp; Tillage Sci Northwester, Minist Agr, Yangling 712100, Xianyang, Peoples R China</t>
  </si>
  <si>
    <t>Cai, T; Jia, ZK (corresponding author), Northwest A&amp;F Univ, Coll Agron, Yangling 712100, Xianyang, Peoples R China.;Cai, T; Jia, ZK (corresponding author), Northwest A&amp;F Univ, Inst Water Saving Agr Arid Areas China, Yangling 712100, Xianyang, Peoples R China.;Cai, T; Jia, ZK (corresponding author), Northwest A&amp;F Univ, Key Lab Crop Physi Ecol &amp; Tillage Sci Northwester, Minist Agr, Yangling 712100, Xianyang, Peoples R China.</t>
  </si>
  <si>
    <t>caitie@nwsuaf.edu.cn; xc@nwafu.edu.cn</t>
  </si>
  <si>
    <t>Ma, Xiangcheng/ABA-5347-2020; Huang, Fang-Yuan/GPX-0385-2022</t>
  </si>
  <si>
    <t>Zhang, Peng/0000-0001-6739-8373;</t>
  </si>
  <si>
    <t>Program of National Natural Science Foundation of China [41671226]</t>
  </si>
  <si>
    <t>Program of National Natural Science Foundation of China(National Natural Science Foundation of China (NSFC))</t>
  </si>
  <si>
    <t>This study was supported by the Program of National Natural Science Foundation of China (No. 41671226).</t>
  </si>
  <si>
    <t>10.3390/agriculture12101704</t>
  </si>
  <si>
    <t>5N8QU</t>
  </si>
  <si>
    <t>WOS:000872053600001</t>
  </si>
  <si>
    <t>Yang, YS; Yuan, G; Zhuang, QW; Tian, GD</t>
  </si>
  <si>
    <t>Yang, Yinsheng; Yuan, Gang; Zhuang, Qianwei; Tian, Guangdong</t>
  </si>
  <si>
    <t>Multi-objective low-carbon disassembly line balancing for agricultural machinery using MDFOA and fuzzy AHP</t>
  </si>
  <si>
    <t>Low-carbon; Disassembly; Remanufacturing; MDFOA</t>
  </si>
  <si>
    <t>DECISION-MAKING; INTEGRATED FRAMEWORK; DESIGN; OPTIMIZATION; MODEL; END; GENERATION; GREEN; PARTS; UNCERTAINTY</t>
  </si>
  <si>
    <t>The issue of disassembly line balancing and remanufacturing has become an increasingly hot topic recently. However, little research focusing on carbon dioxide reduction and resource utilization has been done in the field of disassembly line balancing. For the purpose of being environmentally friendly, the disassembly line balancing should aim at low carbon emission, low energy consumption and cost reduction during the disassembly process. Considering this, this study proposes a multi-objective disassembly line balancing fruit fly optimization algorithm (MDFOA) for the disassembly sequence of obsolete agricultural machinery considering low-carbon design. We try to optimize the disassembly line balancing model using the fruit fly optimization algorithm. To satisfy the stability of MDFOA, the olfactory operation is cross-operated, and the Pareto non-dominated sorting method is adopted in the visual operation stage. In order to avoid falling into local optimum, a global cooperation mechanism is added to screen individuals with different degrees of dissimilarity. An illustrative example of the disassembly line of corn harvester cutting table is provided in this work. Comparison between our proposed MDFOA and other four frequently-used algorithms is conducted in this work. The results show that our method performs better than other algorithms for the disassembly line balancing problem (DLBP), thus verifying the practicability and feasibility of it. In the end, 12 Pareto solutions are obtained through MDFOA and we evaluated and selected the most satisfactory solution among them using Fuzzy AHP, for the determination of the optimal disassembly sequence. (C) 2019 Elsevier Ltd. All rights reserved.</t>
  </si>
  <si>
    <t>[Yang, Yinsheng; Yuan, Gang; Zhuang, Qianwei] Jilin Univ, Coll Biol &amp; Agr Engn, Changchun 130022, Jilin, Peoples R China; [Tian, Guangdong] Shandong Univ, Coll Mech Engn, Jinan 250061, Shandong, Peoples R China; [Tian, Guangdong] Shandong Univ, Minist Educ, Key Lab High Efficiency &amp; Clean Mech Manufacture, Jinan 250061, Shandong, Peoples R China</t>
  </si>
  <si>
    <t>Jilin University; Shandong University; Shandong University</t>
  </si>
  <si>
    <t>Tian, GD (corresponding author), Shandong Univ, Coll Mech Engn, Jinan 250061, Shandong, Peoples R China.</t>
  </si>
  <si>
    <t>tiangd2013@163.com</t>
  </si>
  <si>
    <t>science and technology development project of Jilin Province [20180101060JC, 20180101058JC]; Natural Science Foundation of China [51775238]; National Key Research and Development Program of China [2018YFB1105100]</t>
  </si>
  <si>
    <t>science and technology development project of Jilin Province; Natural Science Foundation of China(National Natural Science Foundation of China (NSFC)); National Key Research and Development Program of China(National Key Research &amp; Development Program of China)</t>
  </si>
  <si>
    <t>This work is supported in part by science and technology development project of Jilin Province under Grant Nos 20180101060JC and 20180101058JC, Natural Science Foundation of China under Grant No.51775238, National Key Research and Development Program of China Grant No.2018YFB1105100.</t>
  </si>
  <si>
    <t>10.1016/j.jclepro.2019.06.035</t>
  </si>
  <si>
    <t>IN9VC</t>
  </si>
  <si>
    <t>WOS:000479025500120</t>
  </si>
  <si>
    <t>Zhang, D; Tang, XJ; Lu, SZ; Geng, XL; Yu, ZW; Xie, YJ; Peng, S; Wang, XR</t>
  </si>
  <si>
    <t>Zhang, Dou; Tang, Xiaojing; Lu, Shuaizhi; Geng, Xiaolei; Yu, Zhaowu; Xie, Yujing; Peng, Si; Wang, Xiangrong</t>
  </si>
  <si>
    <t>Near real-time monitoring of carbon effects from continuous forest change in rapidly urbanizing region of China from 2000 to 2020</t>
  </si>
  <si>
    <t>Continuous forest cover change; Asymmetric carbon effects; Continuous change detection and classification; (CCDC) algorithm; Improved spatial carbon bookkeeping (SBK); model; Google Earth Engine (GEE)</t>
  </si>
  <si>
    <t>LAND-USE EMISSIONS; CLASSIFICATION; FLUXES</t>
  </si>
  <si>
    <t>Forest carbon sinks are crucial for mitigating urban climate change. Their effectiveness depends on the balance between gross carbon losses and gains. However, quantitative and continuous monitoring of forest change/ disturbance carbon fluxes is still insufficient. To address this gap, we integrated an improved spatial carbon bookkeeping (SBK) model with the continuous change detection and classification (CCDC) algorithm, long-term Landsat observations, and ground measurements to track carbon emissions, uptakes, and net changes from forest cover changes in the Yangtze River Delta (YRD) of China from 2000 to 2020. The SBK model was refined by incorporating heterogeneous carbon response functions. Our results reveal that carbon emissions (-3.88 Tg C &amp; sdot;year-1) were four times greater than carbon uptakes (0.93 Tg C &amp; sdot;year-1) from forest cover changes in the YRD during 2000-2020, despite a net forest cover gain of 10.95 x 104 ha. These findings indicate that the carbon effect per hectare of forest cover loss is approximately 4.5 times that of forest cover gain. The asymmetric carbon effect suggests that forest cover change may act as a carbon source even with net-zero or net-positive forest cover change. Furthermore, carbon uptakes from forest gains in the YRD during 2000-2020 could only offset 0.28% of energy-related carbon emissions from 2000 to 2019. Urban and agricultural expansions accounted for 37% and 10% of carbon emissions, respectively, while the Grain for Green Project contributed to 45% of carbon uptakes. Our findings underscore the necessity of understanding the asymmetric carbon effects of forest cover loss and gain to accurately assess the capacity of forest carbon sinks.</t>
  </si>
  <si>
    <t>[Zhang, Dou] Zhejiang Sci Tech Univ, Sch Civil Engn &amp; Architecture, Hangzhou 310018, Peoples R China; [Zhang, Dou; Yu, Zhaowu; Xie, Yujing; Peng, Si; Wang, Xiangrong] Fudan Univ, Dept Environm Sci &amp; Engn, Shanghai 200438, Peoples R China; [Tang, Xiaojing] James Madison Univ, Sch Integrated Sci, Harrisonburg, VA 22807 USA; [Lu, Shuaizhi] Huzhou Univ, Inst Sustainable Dev, Huzhou 313000, Peoples R China; [Geng, Xiaolei] Jiangsu Univ, Sch Environm &amp; Safety Engn, Zhenjiang 212013, Peoples R China</t>
  </si>
  <si>
    <t>Zhejiang Sci-Tech University; Fudan University; James Madison University; Huzhou University; Jiangsu University</t>
  </si>
  <si>
    <t>Wang, XR (corresponding author), Fudan Univ, Dept Environm Sci &amp; Engn, Shanghai 200438, Peoples R China.</t>
  </si>
  <si>
    <t>xrxrwang@fudan.edu.cn</t>
  </si>
  <si>
    <t>, Zhaowu/E-8032-2016; Tang, Xiaojing/KIE-0186-2024</t>
  </si>
  <si>
    <t>Natural Science Foundation of Zhejiang Province [ZCLQN25C0301]; National Key Research and Devel-opment Program of China [2016YFC0502700]; General Program of Education Department of Zhejiang [23056209-F]</t>
  </si>
  <si>
    <t>Natural Science Foundation of Zhejiang Province(Natural Science Foundation of Zhejiang Province); National Key Research and Devel-opment Program of China(National Key Research &amp; Development Program of China); General Program of Education Department of Zhejiang</t>
  </si>
  <si>
    <t>Funding This work is supported by the Natural Science Foundation of Zhejiang Province (No. ZCLQN25C0301) , the National Key Research and Devel-opment Program of China (No. 2016YFC0502700) and the General Program of Education Department of Zhejiang (No. 23056209-F) . We also thank all anonymous reviewers who provided insightful and constructive comments on the manuscript.</t>
  </si>
  <si>
    <t>10.1016/j.fecs.2025.100327</t>
  </si>
  <si>
    <t>2UI1I</t>
  </si>
  <si>
    <t>WOS:001491499600001</t>
  </si>
  <si>
    <t>Patzschke, CF; Bahzad, H; Boot-Handford, ME; Fennell, PS</t>
  </si>
  <si>
    <t>Patzschke, Clemens F.; Bahzad, Husain; Boot-Handford, Matthew E.; Fennell, Paul S.</t>
  </si>
  <si>
    <t>Simulation of a 100-MW solar-powered thermo-chemical air separation system combined with an oxy-fuel power plant for bio-energy with carbon capture and storage (BECCS)</t>
  </si>
  <si>
    <t>Chemical looping air separation (CLAS); Mn oxygen carrier; BECCS; Energy storage; Concentrated solar power (CSP); Negative CO(2)emissions; Climate change mitigation; Chemical looping; CLOU; Oxygen uncoupling; Bio energy with CO(2)capture; CO(2)capture; Olive tree pruning; Olive grove</t>
  </si>
  <si>
    <t>CHEMICAL LOOPING COMBUSTION; CARRIERS; GENERATION</t>
  </si>
  <si>
    <t>The combination of concentrated solar power-chemical looping air separation (CSP-CLAS) with an oxy-fuel combustion process for carbon dioxide (CO2) capture is a novel system to generate electricity from solar power and biomass while being able to store solar power efficiently. In this study, the computer program Advanced System for Process Engineering Plus (ASPEN Plus) was used to develop models to assess the process performance of such a process with manganese (Mn)-based oxygen carriers on alumina (Al2O3) support for a location in the region of Seville in Spain, using real solar beam irradiance and electricity demand data. It was shown that the utilisation of olive tree prunings (Olea europaea) as the fuel-an agricultural residue produced locally-results in negative CO(2)emissions (a net removal of CO(2)from the atmosphere). Furthermore, it was found that the process with an annual average electricity output of 18 MW would utilise 2.43% of Andalusia's olive tree prunings, thereby capturing 260.5 k-tonnes of CO2, annually. Drawbacks of the system are its relatively high complexity, a significant energy penalty in the CLAS process associated with the steam requirements for the loop-seal fluidisation, and the gas storage requirements. Nevertheless, the utilisation of agricultural residues is highly promising, and given the large quantities produced globally (~ 4 billion tonnes/year), it is suggested that other novel processes tailored to these fuels should be investigated, under consideration of a future price on CO(2)emissions, integration potential with a likely electricity grid system, and based on the local conditions and real data.</t>
  </si>
  <si>
    <t>[Patzschke, Clemens F.; Bahzad, Husain; Boot-Handford, Matthew E.; Fennell, Paul S.] Imperial Coll London, Dept Chem Engn, South Kensington Campus, London SW7 2AZ, England</t>
  </si>
  <si>
    <t>Imperial College London</t>
  </si>
  <si>
    <t>Fennell, PS (corresponding author), Imperial Coll London, Dept Chem Engn, South Kensington Campus, London SW7 2AZ, England.</t>
  </si>
  <si>
    <t>p.fennell@imperial.ac.uk</t>
  </si>
  <si>
    <t>fennell, paul/G-4772-2013; Patzschke, Clemens/HIK-2392-2022; Bahzad, Husain/IAO-7843-2023</t>
  </si>
  <si>
    <t>Bahzad, Husain/0000-0002-6353-3512;</t>
  </si>
  <si>
    <t>EPSRC [EP/P026214/1] Funding Source: UKRI; Engineering and Physical Sciences Research Council [EP/P026214/1] Funding Source: researchfish</t>
  </si>
  <si>
    <t>EPSRC(UK Research &amp; Innovation (UKRI)Engineering &amp; Physical Sciences Research Council (EPSRC)); Engineering and Physical Sciences Research Council(UK Research &amp; Innovation (UKRI)Engineering &amp; Physical Sciences Research Council (EPSRC))</t>
  </si>
  <si>
    <t>10.1007/s11027-019-09879-0</t>
  </si>
  <si>
    <t>MU2GD</t>
  </si>
  <si>
    <t>WOS:000555490500003</t>
  </si>
  <si>
    <t>Khokhar, ES; Lozada, DN; Khan, MI; Nourbakhsh, SS</t>
  </si>
  <si>
    <t>Khokhar, Ehtisham S.; Lozada, Dennis N.; Khan, Muhammad Ibrar; Nourbakhsh, Seyed Shahabeddin</t>
  </si>
  <si>
    <t>Phenotypic variability of plant architecture, easy destemming, and yield for accelerated selection for mechanical harvestability in chile pepper</t>
  </si>
  <si>
    <t>HERITABILITY</t>
  </si>
  <si>
    <t>In recent years, chile pepper (Capsicum annuum L.) production in the US has shown a decline due to higher costs associated with manual harvesting and unavailability of skilled labor. Chile pepper breeding programs have incorporated mechanization as a long-term breeding objective alongside historically significant traits such as yield, disease resistance, and fruit quality. Nevertheless, information on the genetic landscape of traits crucial for chile pepper mechanization and their relationships with other agronomic traits remain limited. This study employed multivariate approaches, phenotypic and genetic correlations, hierarchical cluster analysis (HCA), and principal component analysis (PCA) to investigate the genetic architecture of mechanical harvestability traits using a diverse C. annuum L. population evaluated in field conditions in New Mexico, USA. Fruit morphology and fruit destemming force were the most discriminating traits that accounted for most of the observed phenotypic variation in the population. Medium to high narrow-sense heritability estimates (0.53-1.0) indicated the predominance of additive genetic effects for traits relevant for mechanical harvesting. Negative genetic correlations (rg; -0.28 to -0.67) were observed between fruit destemming force and plant architecture traits demonstrating the challenge in breeding New Mexican pod type chile peppers suitable for mechanical harvesting. Ten genotypes identified through HCA were further validated for mechanization potential using PCA. These genotypes could be used as potential parental lines in breeding programs aimed at developing chile pepper varieties amenable to mechanical harvest. The findings of the study provide valuable insights to breeders on the genetic architecture of traits critical for mechanization, thereby aiding informed decision-making and improving breeding and selection accuracy for the development of new mechanically harvestable chile pepper cultivars.</t>
  </si>
  <si>
    <t>[Khokhar, Ehtisham S.; Lozada, Dennis N.; Khan, Muhammad Ibrar; Nourbakhsh, Seyed Shahabeddin] New Mexico State Univ, Dept Plant &amp; Environm Sci, Las Cruces, NM 88003 USA; [Lozada, Dennis N.] New Mexico State Univ, Chile Pepper Inst, Las Cruces, NM 88003 USA</t>
  </si>
  <si>
    <t>New Mexico State University; New Mexico State University</t>
  </si>
  <si>
    <t>Lozada, DN (corresponding author), New Mexico State Univ, Dept Plant &amp; Environm Sci, Las Cruces, NM 88003 USA.;Lozada, DN (corresponding author), New Mexico State Univ, Chile Pepper Inst, Las Cruces, NM 88003 USA.</t>
  </si>
  <si>
    <t>dlozada@nmsu.edu</t>
  </si>
  <si>
    <t>New Mexico Chile Association [2021-2023]; New Mexico Chile Association Competitive Grants Program</t>
  </si>
  <si>
    <t>New Mexico Chile Association; New Mexico Chile Association Competitive Grants Program</t>
  </si>
  <si>
    <t>The Authors are grateful for the assistance of Danise Coon (Extension Plant Sciences, NMSU), and Mark Marsalis, Dennis Price, and Charles Havlik (NMSU Los Lunas Agricultural Science Center, Los Lunas, New Mexico, USA), in direct seeding and crop management of the C. annuum population. They are also grateful to Drs. Israel Joukhadar and Stephanie Walker for reviewing the manuscript. This work was supported by the New Mexico Chile Association Competitive Grants Program (2021-2023) for D.N.L.</t>
  </si>
  <si>
    <t>APR 9</t>
  </si>
  <si>
    <t>10.1038/s41598-025-94819-z</t>
  </si>
  <si>
    <t>1GG0L</t>
  </si>
  <si>
    <t>WOS:001464297900004</t>
  </si>
  <si>
    <t>Sarkar, SK; Saroar, MM; Das, PC; Chakraborty, T; Rudra, RR; Alam, E; Islam, MK; Islam, AMT</t>
  </si>
  <si>
    <t>Sarkar, Showmitra Kumar; Saroar, Md. Mustafa; Das, Palash Chandra; Chakraborty, Tanmoy; Rudra, Rhyme Rubayet; Alam, Edris; Islam, Md. Kamrul; Islam, Abu Reza Md. Towfiqul</t>
  </si>
  <si>
    <t>Artificial Neural Network-Based Land Use-Specific Carbon Patterns and Their Effects on Land Surface Temperature as a Result of the Rohingya Refugee Influx</t>
  </si>
  <si>
    <t>IEEE ACCESS</t>
  </si>
  <si>
    <t>Carbon emissions; land surface temperature; land use land cover; remote sensing; Rohingya refugee</t>
  </si>
  <si>
    <t>COXS BAZAR; CRISIS; AREAS</t>
  </si>
  <si>
    <t>The objective of the research is to investigate how refugees' influx has altered the carbon dynamics of different land uses and the relationship between land use specific carbon emissions and land surface temperature (LST). Two upazilais of the Cox's Bazar district, Bangladesh (i.e., Ukhiya and Teknaf), were mostly affected by the Rohingya refugee influx and are the focus of the study. The study classified the land use land cover (LULC) into four classes (e.g., agricultural, forest, settlement, and water) for two different time periods (i.e., before and after the influx of Rohingya refugees) using an artificial neural network algorithm and sentinel satellite imagery. Carbon emissions and absorptions specific to land use were calculated using classified land use land cover and coefficients. Again, two time series of Landsat 8 imagery were applied to estimate land surface temperature shifts. The area of forests was found to have decreased by 21.19 square miles (9.58 percent) and the area of settlements to have increased by 18.24 square miles (8.25 percent) between 2017 and 2021. There was a negative net land-use based carbon emission of -5187.02 tons per year in 2017. In 2021, it was predicted that annual net emissions would total 2208.24 tons. LST during the study period has increased as a result of human activities that release greenhouse gases into the atmosphere. The findings of this research will inform policymakers' decisions about the conservation and sustainable development of natural resources in the region experiencing an influx of Rohingya refugees.</t>
  </si>
  <si>
    <t>[Sarkar, Showmitra Kumar; Saroar, Md. Mustafa; Das, Palash Chandra; Chakraborty, Tanmoy; Rudra, Rhyme Rubayet] Khulna Univ Engn &amp; Technol, Dept Urban &amp; Reg Planning, Khulna 9203, Bangladesh; [Das, Palash Chandra] Texas A&amp;M Univ, Dept Geog, College Stn, TX 77843 USA; [Alam, Edris] Rabdan Acad, Fac Resilience, Abu Dhabi, U Arab Emirates; [Alam, Edris] Univ Chittagong, Dept Geog &amp; Environm Studies, Chittagong 4331, Bangladesh; [Islam, Md. Kamrul] King Faisal Univ, Coll Engn, Dept Civil &amp; Environm Engn, Al Hasa 31982, Saudi Arabia; [Islam, Abu Reza Md. Towfiqul] Begum Rokeya Univ, Dept Disaster Management, Rangpur 5400, Bangladesh; [Islam, Abu Reza Md. Towfiqul] Daffodil Int Univ, Dept Dev Studies, Dhaka 1216, Bangladesh</t>
  </si>
  <si>
    <t>Khulna University of Engineering &amp; Technology (KUET); Texas A&amp;M University System; Texas A&amp;M University College Station; University of Chittagong; King Faisal University; Daffodil International University</t>
  </si>
  <si>
    <t>Sarkar, SK (corresponding author), Khulna Univ Engn &amp; Technol, Dept Urban &amp; Reg Planning, Khulna 9203, Bangladesh.</t>
  </si>
  <si>
    <t>mail4dhrubo@gmail.com</t>
  </si>
  <si>
    <t>Chakraborty, Tanmoy/GNO-9465-2022; Alam, Edris/I-3332-2014; Alam, Eis/I-3332-2014; Saroar, Mustafa/KWU-5190-2024; Islam, Abu Reza Md. Towfiqul/O-8554-2019; ISLAM, KAMRUL/I-3004-2013; Towfiqul Islam, Abu Reza/N-4022-2014</t>
  </si>
  <si>
    <t>Sarkar, Showmitra Kumar/0000-0001-5928-7577; Chakraborty, Tanmoy/0000-0002-1935-1922; Alam, Eis/0000-0001-7303-9625; Saroar, Mustafa/0000-0002-2832-3691; ISLAM, KAMRUL/0000-0001-8329-5366; Towfiqul Islam, Abu Reza/0000-0001-5779-1382; Chana Das, Palash/0000-0003-4523-2430</t>
  </si>
  <si>
    <t>Khulna University of Engineering &amp; Technology, Khulna, Bangladesh</t>
  </si>
  <si>
    <t>2169-3536</t>
  </si>
  <si>
    <t>IEEE Access</t>
  </si>
  <si>
    <t>10.1109/ACCESS.2023.3340983</t>
  </si>
  <si>
    <t>Computer Science, Information Systems; Engineering, Electrical &amp; Electronic; Telecommunications</t>
  </si>
  <si>
    <t>Computer Science; Engineering; Telecommunications</t>
  </si>
  <si>
    <t>DD8Z1</t>
  </si>
  <si>
    <t>WOS:001130197200001</t>
  </si>
  <si>
    <t>Petersson, T; Secondi, L; Magnani, A; Antonelli, M; Dembska, K; Valentini, R; Varotto, A; Castaldi, S</t>
  </si>
  <si>
    <t>Petersson, Tashina; Secondi, Luca; Magnani, Andrea; Antonelli, Marta; Dembska, Katarzyna; Valentini, Riccardo; Varotto, Alessandra; Castaldi, Simona</t>
  </si>
  <si>
    <t>A multilevel carbon and water footprint dataset of food commodities</t>
  </si>
  <si>
    <t>SCIENTIFIC DATA</t>
  </si>
  <si>
    <t>PERFORMANCE</t>
  </si>
  <si>
    <t>Informing and engaging citizens to adopt sustainable diets is a key strategy for reducing global environmental impacts of the agricultural and food sectors. In this respect, the first requisite to support citizens and actors of the food sector is to provide them a publicly available, reliable and ready to use synthesis of environmental pressures associated to food commodities. Here we introduce the SU-EATABLE LIFE database, a multilevel database of carbon (CF) and water (WF) footprint values of food commodities, based on a standardized methodology to extract information and assign optimal footprint values and uncertainties to food items, starting from peer-reviewed articles and grey literature. The database and its innovative methodological framework for uncertainty treatment and data quality assurance provides a solid basis for evaluating the impact of dietary shifts on global environmental policies, including climate mitigation through greenhouse gas emission reductions. The database ensures repeatability and further expansion, providing a reliable science-based tool for managers and researcher in the food sector.carbon footprint of food products and related uncertainties center dot water footprint of food products and related uncertainties Technology Type(s) digital curation center dot statistical analysis Factor Type(s):entry&gt;Typologies, sub-tyologies and items of food products</t>
  </si>
  <si>
    <t>[Petersson, Tashina; Secondi, Luca; Valentini, Riccardo] Univ Tuscia, DIBAF, Via Camillo Lellis 4, I-01100 Viterbo, Italy; [Magnani, Andrea; Antonelli, Marta; Dembska, Katarzyna; Varotto, Alessandra] Barilla Ctr Food &amp; Nutr Fdn, Via Madre Teresa Calcutta 3-A, Parma, Italy; [Valentini, Riccardo; Castaldi, Simona] Euromediterranean Ctr Climate Change, Via Augusto Imperatore 16, I-73100 Lecce, Italy; [Castaldi, Simona] Univ Campania Luigi Vanvitelli, DISTABIF, Via Vivaldi 43, I-81100 Caserta, Italy</t>
  </si>
  <si>
    <t>Tuscia University; Centro Euro-Mediterraneo sui Cambiamenti Climatici (CMCC); Universita della Campania Vanvitelli</t>
  </si>
  <si>
    <t>Castaldi, S (corresponding author), Euromediterranean Ctr Climate Change, Via Augusto Imperatore 16, I-73100 Lecce, Italy.;Castaldi, S (corresponding author), Univ Campania Luigi Vanvitelli, DISTABIF, Via Vivaldi 43, I-81100 Caserta, Italy.</t>
  </si>
  <si>
    <t>simona.castaldi@unicampania.it</t>
  </si>
  <si>
    <t>Secondi, Luca/AAA-9715-2020; SECONDI, Luca/AAA-9715-2020; Valentini, Riccardo/D-1226-2010</t>
  </si>
  <si>
    <t>Magnani, Anea/0000-0002-3282-4851; Petersson, Tashina/0000-0003-2104-3213; SECONDI, Luca/0000-0001-8437-0444; Valentini, Riccardo/0000-0002-6756-5634</t>
  </si>
  <si>
    <t>LIFE program, project SU-EATABLE LIFE Reducing carbon emissions in the EU through sustainable diets grant [LIFE16 GIC/IT/000038]</t>
  </si>
  <si>
    <t>LIFE program, project SU-EATABLE LIFE Reducing carbon emissions in the EU through sustainable diets grant</t>
  </si>
  <si>
    <t>This work was supported by the LIFE program, project SU-EATABLE LIFE Reducing carbon emissions in the EU through sustainable diets grant n degrees LIFE16 GIC/IT/000038. The authors acknowledge the support of Anna Ruggerini, Luca Ruini and Roberto Ciati who developed the Double Pyramid project.</t>
  </si>
  <si>
    <t>2052-4463</t>
  </si>
  <si>
    <t>SCI DATA</t>
  </si>
  <si>
    <t>Sci. Data</t>
  </si>
  <si>
    <t>MAY 7</t>
  </si>
  <si>
    <t>10.1038/s41597-021-00909-8</t>
  </si>
  <si>
    <t>SK8UY</t>
  </si>
  <si>
    <t>WOS:000656495900002</t>
  </si>
  <si>
    <t>Wu, T; Liu, KK; Cheng, XX; Zhang, JS</t>
  </si>
  <si>
    <t>Wu, Tong; Liu, Kunkun; Cheng, Xingxing; Zhang, Jiansheng</t>
  </si>
  <si>
    <t>Analysis of energy, carbon emissions and economics during the life cycle of biomass power generation: Case comparison from China</t>
  </si>
  <si>
    <t>Biomass power generation; Straw collection; Storage and transport systems; Energy consumption; Greenhouse gas emissions; Power generation cost</t>
  </si>
  <si>
    <t>GREENHOUSE-GAS EMISSIONS; GASIFICATION PROJECT; NONRENEWABLE ENERGY; SYSTEM; OPTIMIZATION; PLANT</t>
  </si>
  <si>
    <t>Straw instead of coal power generation is one of the most promising biomass utilization technologies. It has good potential in energy substitution, reduction of greenhouse gas emissions, and promotion of agricultural economic development. However, the high cost of biomass power generation has become a key factor limiting its development. In this study, four operating biomass power plants are selected as research objects to evaluate the whole process of biomass power generation with energy utilization, carbon emission and economy as evaluation indicators. The impact of feedstock collection radius on the power generation cost of different power generation systems is analyzed, and the key factors of the corresponding economic indicators are identified. The results show that the cost of electricity generation for the four power generation systems are 0.082$/kWh, 0.087$/kWh, 0.066$/kWh and 0.139$/kWh respectively. Overall, gasification combined cycle power generation has stable advantages in energy utilization and carbon emission reduction. Among them, non-renewable energy consumption is mainly concentrated in biomass collection, pretreatment, and equipment manufacturing processes. Small and medium gasification combined cycle systems represented by 6 MW scale have the lowest power generation costs. The small-scale biomass power generation technology represented by 30 kW gasification power generation shows excellent flexibility in a small area, but it does not yet have economic advantages. According to the collectability of straw, rationally planning the scale of the power plant can effectively reduce the cost. Power generation efficiency is the most direct parameter that affects the results.</t>
  </si>
  <si>
    <t>[Wu, Tong; Liu, Kunkun; Cheng, Xingxing] Shandong Univ, Sch Energy &amp; Power Engn, Jinan 250061, Peoples R China; [Wu, Tong; Liu, Kunkun; Cheng, Xingxing] Natl Engn Lab Reducing Emiss Coal Combust, Jinan 250061, Peoples R China; [Wu, Tong] Shandong Xinguang Energy Saving Technol Co, 300 Changjiang Rd, Yantai, Shandong, Peoples R China; [Cheng, Xingxing; Zhang, Jiansheng] Shanxi Res Inst Huairou Lab, Taiyuan 030032, Shanxi, Peoples R China; [Zhang, Jiansheng] Tsinghua Univ, Shanxi Res Inst Clean Energy, Taiyuan 030032, Peoples R China; [Cheng, Xingxing] 17923 Jingshi Rd, Jinan 250061, Shandong, Peoples R China</t>
  </si>
  <si>
    <t>Shandong University; Tsinghua University</t>
  </si>
  <si>
    <t>Cheng, XX (corresponding author), 17923 Jingshi Rd, Jinan 250061, Shandong, Peoples R China.</t>
  </si>
  <si>
    <t>xcheng@sdu.edu.cn</t>
  </si>
  <si>
    <t>Zhang, Jiansheng/HQY-2744-2023</t>
  </si>
  <si>
    <t>Taishan Scholar Project [tsqn202306021]; Cyrus Chung Ying Tang Foundation [SDU202205- 03]</t>
  </si>
  <si>
    <t>Taishan Scholar Project; Cyrus Chung Ying Tang Foundation</t>
  </si>
  <si>
    <t>The authors thank the Taishan Scholar Project (NO. tsqn202306021) , and Cyrus Chung Ying Tang Foundation (SDU202205- 03) for the financial support.</t>
  </si>
  <si>
    <t>10.1016/j.biombioe.2024.107098</t>
  </si>
  <si>
    <t>LC5T3</t>
  </si>
  <si>
    <t>WOS:001184600300001</t>
  </si>
  <si>
    <t>Liang, ZC; Zeng, L; Cao, XD; Wang, Q; Wang, XH; Sun, RC</t>
  </si>
  <si>
    <t>Liang, Zicheng; Zeng, Lei; Cao, Xiaodong; Wang, Qun; Wang, Xiaohui; Sun, Runcang</t>
  </si>
  <si>
    <t>Sustainable carbon quantum dots from forestry and agricultural biomass with amplified photoluminescence by simple NH4OH passivation</t>
  </si>
  <si>
    <t>JOURNAL OF MATERIALS CHEMISTRY C</t>
  </si>
  <si>
    <t>ONE-STEP SYNTHESIS; GREEN SYNTHESIS; FLUORESCENT; NANOPARTICLES; BRIGHT</t>
  </si>
  <si>
    <t>High quality blue fluorescent carbon quantum dots (CDs) were fabricated from a dilute NH4OH/water solution of waste biomass via one-step hydrothermal carbonization. Different from conventional synthesis methods, NH4OH was used as the solvent as well as passivation agent rather than organic amine compounds. The best quantum yield (QY) of the nitrogen-doped biomass CDs was up to 16%, which was higher than the non-doped CDs (only 2%) and those passivated by organic molecules (7%). Further investigations revealed the unique emission behaviours of the NH4OH-passivated CDs dependent on excitation, pH values and solvents and interesting up-conversion photoluminescence. In addition, an in vitro cytotoxicity test demonstrated the negligible toxicity of NH4OH-passivated CDs, and they were successfully applied in bio-imaging of murine embryonic stem cells. This low-cost and green chemistry method provides a feasible route for value-added and sustainable utilization of waste biomass.</t>
  </si>
  <si>
    <t>[Liang, Zicheng; Zeng, Lei; Cao, Xiaodong; Wang, Xiaohui; Sun, Runcang] S China Univ Technol, Natl Engn Res Ctr Tissue Restorat &amp; Reconstruct, State Key Lab Pulp &amp; Papermaking Engn, Guangzhou 510640, Guangdong, Peoples R China; [Sun, Runcang] Beijing Forestry Univ, Inst Biomass Chem &amp; Technol, Beijing 100083, Peoples R China; [Wang, Qun] Iowa State Univ, Dept Civil Construct &amp; Environm Engn, Dept Chem &amp; Biol Engn, Ames, IA 50011 USA</t>
  </si>
  <si>
    <t>South China University of Technology; Beijing Forestry University; Iowa State University</t>
  </si>
  <si>
    <t>Wang, XH (corresponding author), S China Univ Technol, Natl Engn Res Ctr Tissue Restorat &amp; Reconstruct, State Key Lab Pulp &amp; Papermaking Engn, Guangzhou 510640, Guangdong, Peoples R China.</t>
  </si>
  <si>
    <t>fewangxh@scut.edu.cn</t>
  </si>
  <si>
    <t>; Wang, Wendy/JWA-0785-2024; wang, xiaohui/AFG-9130-2022; Sun, Run-Cang/Z-3747-2019</t>
  </si>
  <si>
    <t>Wang, Qun/0000-0002-5660-5602; Wang, Xiaohui/0000-0002-3769-2325;</t>
  </si>
  <si>
    <t>National Science Foundation of China [51103046]; China Education Ministry, Program for New Century Excellent Talents in University [NCET-13-0215]; Ministry of Science and Technology, 973 project [2010CB732204]; Fundamental Research Funds for the Central Universities, SCUT [2013ZM0053]</t>
  </si>
  <si>
    <t>National Science Foundation of China(National Natural Science Foundation of China (NSFC)); China Education Ministry, Program for New Century Excellent Talents in University; Ministry of Science and Technology, 973 project(National Basic Research Program of China); Fundamental Research Funds for the Central Universities, SCUT(Fundamental Research Funds for the Central Universities)</t>
  </si>
  <si>
    <t>This work was supported by the grants from National Science Foundation of China (no. 51103046); China Education Ministry, Program for New Century Excellent Talents in University (NCET-13-0215); Ministry of Science and Technology, 973 project (no. 2010CB732204) and the Fundamental Research Funds for the Central Universities, SCUT (no. 2013ZM0053).</t>
  </si>
  <si>
    <t>2050-7526</t>
  </si>
  <si>
    <t>2050-7534</t>
  </si>
  <si>
    <t>J MATER CHEM C</t>
  </si>
  <si>
    <t>J. Mater. Chem. C</t>
  </si>
  <si>
    <t>10.1039/c4tc01714e</t>
  </si>
  <si>
    <t>Materials Science, Multidisciplinary; Physics, Applied</t>
  </si>
  <si>
    <t>Materials Science; Physics</t>
  </si>
  <si>
    <t>AS7ZM</t>
  </si>
  <si>
    <t>WOS:000344470400025</t>
  </si>
  <si>
    <t>Ramenzoni, VC</t>
  </si>
  <si>
    <t>Ramenzoni, Victoria C.</t>
  </si>
  <si>
    <t>Reconstructing the History and the Effects of Mechanization in a Small-Scale Fishery of Flores, Eastern Indonesia (1917-2014)</t>
  </si>
  <si>
    <t>FRONTIERS IN MARINE SCIENCE</t>
  </si>
  <si>
    <t>small-scale fisheries; development; mechanization; environment; historical ecology; nutrition</t>
  </si>
  <si>
    <t>MANAGEMENT; CATCHES; COMMUNITIES; LIVELIHOODS; PACIFIC; POVERTY; STOCKS; SABAH</t>
  </si>
  <si>
    <t>The number of studies on small-scale fishing communities has grown considerably over the past 30 years. Evidence on how the process of mechanization and technological expansion has affected traditional small-scale fishers in peripheral regions, however, is less abundant. For areas like Eastern Indonesia that are now facing important challenges in governance and resource degradation, lack of information impairs the design of long-term environmental solutions. This article explores the changes in fishing participation and per capita seafood intake in a small-scale fishery in Flores, Eastern Indonesia over the past 100 years (1917-2014). By combining multiple sources of information (ethnographic, observational, nutritional, and historical) to reconstruct the story of stocks, fishing effort, and consumption of marine products, long-term trajectories, and trends in resource use practices are identified. Findings underline that mechanization and commercialization can have dire repercussions on food security and job stability within small-scale fishing sectors, especially if these processes are not part of comprehensive community development programs. The article concludes that understanding the outcomes of mechanization at the fringes of more centralized systems is essential to navigate the trade-offs among poverty reduction, economic growth, and environmental degradation.</t>
  </si>
  <si>
    <t>[Ramenzoni, Victoria C.] TAMUCC, Harte Res Inst, Socio Econ Grp, Corpus Christi, TX 78412 USA</t>
  </si>
  <si>
    <t>Ramenzoni, VC (corresponding author), TAMUCC, Harte Res Inst, Socio Econ Grp, Corpus Christi, TX 78412 USA.</t>
  </si>
  <si>
    <t>victoria.ramenzoni@tamucc.edu</t>
  </si>
  <si>
    <t>Ramenzoni, Verónica/J-8632-2012</t>
  </si>
  <si>
    <t>NSF DDIG dissertation improvement grant [1022914]; NOAA/OHH GOHI training grant; Direct For Social, Behav &amp; Economic Scie; Division Of Behavioral and Cognitive Sci [1022914] Funding Source: National Science Foundation</t>
  </si>
  <si>
    <t>NSF DDIG dissertation improvement grant; NOAA/OHH GOHI training grant; Direct For Social, Behav &amp; Economic Scie; Division Of Behavioral and Cognitive Sci(National Science Foundation (NSF)NSF - Directorate for Social, Behavioral &amp; Economic Sciences (SBE))</t>
  </si>
  <si>
    <t>Funding for data collection was provided through an NSF DDIG (1022914) dissertation improvement grant and a NOAA/OHH GOHI training grant.</t>
  </si>
  <si>
    <t>2296-7745</t>
  </si>
  <si>
    <t>FRONT MAR SCI</t>
  </si>
  <si>
    <t>Front. Mar. Sci.</t>
  </si>
  <si>
    <t>10.3389/fmars.2017.00065</t>
  </si>
  <si>
    <t>Environmental Sciences; Marine &amp; Freshwater Biology</t>
  </si>
  <si>
    <t>VH8ZJ</t>
  </si>
  <si>
    <t>WOS:000457690600065</t>
  </si>
  <si>
    <t>Vera, JC; Acreche, MM</t>
  </si>
  <si>
    <t>Vera, Jorge Chalco; Acreche, Martin M.</t>
  </si>
  <si>
    <t>Carbon-scaled nitrous oxide emissions better reflect the impacts of land use changes than raw nitrous oxide emissions in the Dry Chaco region</t>
  </si>
  <si>
    <t>Aboveground biomass; C sequestration; Dry forest; Rhizodeposition</t>
  </si>
  <si>
    <t>SOIL ORGANIC-CARBON; N2O EMISSIONS; CROP RESIDUES; DIFFERENT MANAGEMENT; AGRICULTURAL SOILS; ARGENTINE PAMPAS; USE EFFICIENCY; DEFORESTATION; DECOMPOSITION; CORN</t>
  </si>
  <si>
    <t>In the Dry Chaco region, agriculture expansion has caused significant land use change hotspots. However, the post-impact of land use change on nitrous oxide (N 2 O) emissions and carbon (C) budgets remains unknown. This study aimed to contrast the impacts of the main land use systems on N 2 O emissions related to its C inputs and C budgets by comparing them with those of a native forest at two sites of the Dry Chaco region of Argentina. At Site 1, the land use system were soybean-fallow-soybean and maize-fallow-maize sequences, whereas at Site 2, it was a soybean-wheat sequence. Measurements of soil N 2 O and carbon dioxide (CO 2 ) fluxes were carried out monthly using the static chamber method. The C budgets of each system were determined for the annual crop-fallow cycle by the difference between the C inputs (from annual aboveground (ABG), belowground (BG), and rhizodeposition) and C outputs (defined as cumulative CO 2 -C emissions). At Site 1, the native forest showed 168 and 50 % more cumulative N 2 O emissions than maize and soybean, respectively. However, most land use differences were based on C inputs. Thus, when the cumulative N 2 O emissions of each system were related to their C inputs, the N 2 O emissions per ton of C entered of the native forest were lower than those of soybean and similar to those of maize. The C budgets (+/- standard error) at Site 1 were 6.4 +/- 1.3, 1.0 +/- 0.3 and -0.7 +/- 0.6 t C ha -1 yr - 1 for native forest, maize and soybean, respectively. At Site 2, they were 3.1 +/- 0.7 and -4.0 +/- 0.6 t C ha -1 yr - 1 for the native forest and the soybean-wheat sequence, respectively. This paper proposes a comprehensive approach that integrates C inputs and budgets when evaluating N 2 O emissions from different land uses as a guide to define mitigating management practices and considers a native vegetation system to unmask the real impacts of agroecosystems.</t>
  </si>
  <si>
    <t>[Vera, Jorge Chalco; Acreche, Martin M.] Inst Nacl Tenol Agr, Estn Expt Agr Salta, Salta, Argentina; [Vera, Jorge Chalco; Acreche, Martin M.] Consejo Nacl Invest Cient &amp; Tecn, Buenos Aires, Argentina</t>
  </si>
  <si>
    <t>Consejo Nacional de Investigaciones Cientificas y Tecnicas (CONICET)</t>
  </si>
  <si>
    <t>Vera, JC; Acreche, MM (corresponding author), Estn Expt Agr Salta, Argentina UNC, Ruta Nacl 68,Km 172, RA-4403 Salta, Argentina.</t>
  </si>
  <si>
    <t>chalcovera.jorge@inta.gob.ar; acreche.martin@inta.gob.ar</t>
  </si>
  <si>
    <t>Chalco Vera, Jorge/0000-0001-5657-2188</t>
  </si>
  <si>
    <t>INTA [1108064, 1128023]; Ministry of Science and Technology of Argentina [03517, 2827, 75-08]; CONICET</t>
  </si>
  <si>
    <t>INTA; Ministry of Science and Technology of Argentina; CONICET(Consejo Nacional de Investigaciones Cientificas y Tecnicas (CONICET))</t>
  </si>
  <si>
    <t>We thank Farm Los Guayacanes for allowing us to conduct our experiment in their field, and Gustavo Lopez Luaces and Dario Duarte for their field assistance and support. The study was partially funded by grants from INTA (PNIND 2013-2019No 1108064 and PNNAT 2013-2019No 1128023) and the Ministry of Science and Technology of Argentina (PICT 2018No 03517, PICT 2015No 2827, and PME 2008No 75-08). JChV had a fellowship from CONICET during measurements.</t>
  </si>
  <si>
    <t>10.1016/j.agee.2024.109128</t>
  </si>
  <si>
    <t>WP8Q1</t>
  </si>
  <si>
    <t>WOS:001256172700001</t>
  </si>
  <si>
    <t>Sen, K; Mondal, NK</t>
  </si>
  <si>
    <t>Sen, Kamalesh; Mondal, Naba Kumar</t>
  </si>
  <si>
    <t>Glyphosate adsorptive behaviour using magnetic activated carbon: kinetics, isotherms, and DFT study</t>
  </si>
  <si>
    <t>Fe@GNS-AC; Kinetics; Isotherm; Thermodynamics; DFT calculation</t>
  </si>
  <si>
    <t>REMOVAL; DEGRADATION; OPTIMIZATION; EQUILIBRIUM; ATRAZINE; BIOCHAR; WATER; IRON</t>
  </si>
  <si>
    <t>Groundnut shell is an agricultural waste material that was employed in the pyrolysis process to produce activated carbon using ferric chloride activation (Fe@GNS-AC) (T = 500-700 degrees C; N-2 = 120 cm(3)/min). Fe@GNS-AC was conducted to remove glyphosate from aqueous solution through batch adsorption technique. The physiochemical properties of adsorbent was investigated following methods such as BETsurface, X-ray diffraction (XRD), Field emission scanning electron microscopy (FESEM), Energy dispersive X-ray analysis (EDS), X-ray photoelectron spectroscopy (XPS), Boehm's titration, Point zero charge (pH(ZPC)), total pore volume, and Fourier transform infrared spectroscopy (FT-IR). The maximum glyphosate adsorption capacity of 267.91 mg.g(-1) was achieved by the remaining parameters, namely, pH 4.6, initial adsorbate concentration (30 mg/L), contact time (60 min), and adsorbent dose (0.5 g). The equilibrium was ascribed using Langmuir, Freundlich, and Sips isotherms, where Sips and Freundlich model fits better (R-2 &gt; 0.9) to equilibrium data. The kinetics models were well described with the pseudo-second-order kinetic and film diffusion mechanisms (R-2 &gt; 0.9). The thermodynamic parameter for adsorption was exothermic and spontaneous in chemisorption mechanism (Delta H = - 29.416 kJ/mol; Delta G = - 13.838 to - 10.345 kJ/mol, T = 303-353 K). The DFT calculation was employed to understand the density of state (DOS), electrophilicity index (omega), chemical potential (mu), and chemical hardness (eta) of the surface complexion in fermi level, and the mechanism suggested that chemisorption phenomenon is dominated by electronic interferences with Mullikan atomic charge transfer. Finally, exhausted adsorbent was examined by desorption mechanism and sodium chloride performed high eluting agent at fourth time cyclic process (80.39%). This study provides information Fe@GNS-AC synthesis, and removal of glyphosate. It may also benefit the separation of agricultural water or industrial wastewater treatment.</t>
  </si>
  <si>
    <t>[Sen, Kamalesh; Mondal, Naba Kumar] Univ Burdwan, Dept Environm Sci, Environm Chem Lab, Purba Bardhaman 713104, WB, India</t>
  </si>
  <si>
    <t>University of Burdwan</t>
  </si>
  <si>
    <t>Mondal, NK (corresponding author), Univ Burdwan, Dept Environm Sci, Environm Chem Lab, Purba Bardhaman 713104, WB, India.</t>
  </si>
  <si>
    <t>nkmenvbu@gmail.com</t>
  </si>
  <si>
    <t>; Mandal, Prof. (Dr.)Naba/AAL-4471-2021; Sen, Kamalesh/ACJ-2878-2022</t>
  </si>
  <si>
    <t>Sen, Kamalesh/0000-0001-7914-7248;</t>
  </si>
  <si>
    <t>DST-FIST [SR/FST/ESI-141/2015]; WBDST-BOOST, Govt. of West Bengal [39/WBBDC/1p-2/2013]</t>
  </si>
  <si>
    <t>DST-FIST(Department of Science &amp; Technology (India)); WBDST-BOOST, Govt. of West Bengal</t>
  </si>
  <si>
    <t>The authors would like to thank the University of Burdwan, for helping to characterization and Department of Environmental Sciences (B.U) for the convenience and assistance of continuing research work. Others instrumentals are provided from DST-FIST (SR/FST/ESI-141/2015, dt: 30.09.2019) and WBDST-BOOST, Govt. of West Bengal (39/WBBDC/1p-2/2013, dt: 25.03.2015).</t>
  </si>
  <si>
    <t>10.1007/s13399-021-02193-3</t>
  </si>
  <si>
    <t>FI0M0</t>
  </si>
  <si>
    <t>WOS:000741940500004</t>
  </si>
  <si>
    <t>Zhang, Y; Zhang, H; Liao, HZX; Sun, X; Jiang, LS; Wang, YF; Wang, Y</t>
  </si>
  <si>
    <t>Zhang, Yue; Zhang, Hui; Liao, Haozhaoxing; Sun, Xiang; Jiang, Lisi; Wang, Yufeng; Wang, Yue</t>
  </si>
  <si>
    <t>Heterogeneous Porter Effect or Crowded-Out Effect: Nonlinear Impact of Environmental Regulation on County-Level Green Total Factor Productivity of Pigs in the Yangtze River Basin of China</t>
  </si>
  <si>
    <t>environmental regulation; green total factor productivity; pig breeding; panel threshold model; Yangtze River Basin</t>
  </si>
  <si>
    <t>Green total factor productivity (GTFP) is critical to both the economic and ecological objectives of pig breeding. This research utilizes the SBM-ML model to calculate the GTFP of pig breeding in 381 counties within the Yangtze River Basin from 2014 to 2021. Then the GTFP is further decomposed into technical efficiency (MLEC) and technical progress (MLTC) to conduct in-depth exploration. The regression results reveal that: (1) Environmental regulation (ER) has significant double-threshold effects on GTFP, MLEC, and MLTC. (2) MLTC is the main force of GTFP growth, and stronger ER does not always lead to better GTFP growth. (3) GTFP is boosted by mechanization enhancement and industrial agglomeration limitation. (4) Counties in non-provincial capital cities and those closer to the river exhibit greater ER threshold effects. (5) Both pig price and transportation efficiency play a moderating role. (6) Further analysis demonstrates that ER simultaneously reduces pig production capacity and carbon emissions, as well as improves the water quality. And the reduction of ER, although beneficial for capacity, has a significant negative impact on GTFP. Finally, this study concludes with policy recommendations to boost the new quality productivity in the pig industry.</t>
  </si>
  <si>
    <t>[Zhang, Yue; Zhang, Hui; Liao, Haozhaoxing; Sun, Xiang; Jiang, Lisi; Wang, Yue] Sichuan Agr Univ, Coll Econ, Chengdu 611130, Peoples R China; [Wang, Yufeng] Sichuan Agr Univ, Coll Management, Chengdu 611130, Peoples R China</t>
  </si>
  <si>
    <t>Wang, Y (corresponding author), Sichuan Agr Univ, Coll Econ, Chengdu 611130, Peoples R China.</t>
  </si>
  <si>
    <t>zhangyue6@stu.sicau.edu.cn; zhanghui1@stu.sicau.edu.cn; liaohaozhaoxing@stu.sicau.edu.cn; sunxiang@stu.sicau.edu.cn; jianglisi@stu.sicau.edu.cn; wangyf@sicau.edu.cn; wangyue@sicau.edu.cn</t>
  </si>
  <si>
    <t>Wang, Yue/HZI-8010-2023</t>
  </si>
  <si>
    <t>Wang, Yue/0000-0001-6805-7087</t>
  </si>
  <si>
    <t>National Social Science Foundation of China; Sichuan Social Science Planning Project [SC22B100]; Emergency Management Research Center Project [ZHYJ23-YB11]; Key Projects of Sichuan Financial Society [SCJR2024146]; College Student Innovation Training Program [202410626173]; [21XGL007]</t>
  </si>
  <si>
    <t>National Social Science Foundation of China(National Office of Philosophy and Social Sciences); Sichuan Social Science Planning Project; Emergency Management Research Center Project; Key Projects of Sichuan Financial Society; College Student Innovation Training Program;</t>
  </si>
  <si>
    <t>This research was funded by the National Social Science Foundation of China (grant number: 21XGL007), the Sichuan Social Science Planning Project (grant number: SC22B100), the Meteorological Disaster Prediction, Early Warning and Emergency Management Research Center Project (grant number: ZHYJ23-YB11), Key Projects of Sichuan Financial Society (SCJR2024146) and the College Student Innovation Training Program (grant number: 202410626173).</t>
  </si>
  <si>
    <t>10.3390/agriculture14091513</t>
  </si>
  <si>
    <t>H5R1O</t>
  </si>
  <si>
    <t>WOS:001324002700001</t>
  </si>
  <si>
    <t>Mahmood, A; Ghani, HU; Leinonen, I; Gheewala, SH</t>
  </si>
  <si>
    <t>Mahmood, Awais; Ghani, Hafiz Usman; Leinonen, Ilkka; Gheewala, Shabbir H.</t>
  </si>
  <si>
    <t>Modeling soil organic carbon dynamics and uncertainty in life cycle assessment of agricultural systems</t>
  </si>
  <si>
    <t>Life cycle assessment (LCA); Soil carbon modeling; Cropland-based products; Global warming impact; Land use and land use change</t>
  </si>
  <si>
    <t>SUGARCANE; SEQUESTRATION; EMISSIONS; IMPACT; BIOREFINERY; STORAGE; STOCKS; LCA</t>
  </si>
  <si>
    <t>ISO 14067:2018 mandates accounting for land use and land use change (LULUC) impacts on global warming impact due to carbon stock changes in living biomass, litter, dead organic matter, and soil organic carbon (SOC). Furthermore, the SOC changes are particularly relevant for cropland-based products. Despite methodological advancements, there is still no universally agreed-upon approach on how to evaluate LULUC-related global warming impact within Life Cycle Assessment (LCA), highlighting the need for a standardized approach. This study presents a comprehensive method for assessing SOC dynamics due to land use in LCA, incorporating uncertainties associated with model-based estimations. Using the Tier-2 IPCC Steady State Soil Carbon model, the study analyzed SOC changes in sugarcane cultivation on mineral soils in Thailand. The study examined the effects of land use history across different study periods (T-20, T-50, and T-100 years), as well as the impact of land management practices (full-, reduced-, and no-tillage) and residue management strategies (100 % burnt, 100 % retained, and mixed) on SOC change. While the model study period considerably influenced the initial SOC stocks, the variations in soil organic carbon stock change due to study periods, land management, and residue management practices were statistically not significant. However, the model-associated uncertainties were found to be substantial. The distribution fit assessment revealed that CO2 emission/removal related flow follows a normal distribution [X similar to N (mu, sigma(2))]. Our findings highlighted the importance of incorporating Delta SOC into carbon footprint calculations to accurately capture the carbon sequestration potential of soils, which can significantly offset emissions. Neglecting SOC dynamics may lead to an overestimation of CO2 emissions and an incomplete assessment of net carbon impact. Therefore, given the significant variations observed in global warming impact, integrating SOC considerations into LCAs is essential for improving the precision of environmental evaluations of agriculture-based products.</t>
  </si>
  <si>
    <t>[Mahmood, Awais; Gheewala, Shabbir H.] King Mongkuts Univ Technol Thonburi, Joint Grad Sch Energy &amp; Environm, 126 Pracha Uthit Rd, Bangkok 10140, Thailand; [Mahmood, Awais; Gheewala, Shabbir H.] Minist Higher Educ Sci Res &amp; Innovat MHESI, Ctr Excellence Energy Technol &amp; Environm CEE, Bangkok, Thailand; [Ghani, Hafiz Usman; Leinonen, Ilkka] Nat Resources Inst Finland Luke, Latokartanonkaari 9, Helsinki 00790, Finland</t>
  </si>
  <si>
    <t>King Mongkuts University of Technology Thonburi; Natural Resources Institute Finland (Luke)</t>
  </si>
  <si>
    <t>Gheewala, SH (corresponding author), King Mongkuts Univ Technol Thonburi, Joint Grad Sch Energy &amp; Environm, 126 Pracha Uthit Rd, Bangkok 10140, Thailand.</t>
  </si>
  <si>
    <t>shabbir.ghe@kmutt.ac.th</t>
  </si>
  <si>
    <t>Gheewala, Shabbir/AAG-5732-2020; Leinonen, Ilkka/IAN-4541-2023; Ghani, Usman/KWU-0489-2024</t>
  </si>
  <si>
    <t>King Mongkut's University of Technology Thonburi (KMUTT); Joint Graduate School of Energy and Environment (JGSEE); Center of Excellence on Energy Technology and Environment (CEE); Ministry of Higher Education, Science, Research and Innovation (MHESI), Bangkok, Thailand; Bio-LCA projec; Business Finland [6873/31/2021]</t>
  </si>
  <si>
    <t>King Mongkut's University of Technology Thonburi (KMUTT); Joint Graduate School of Energy and Environment (JGSEE); Center of Excellence on Energy Technology and Environment (CEE); Ministry of Higher Education, Science, Research and Innovation (MHESI), Bangkok, Thailand; Bio-LCA projec; Business Finland</t>
  </si>
  <si>
    <t>The authors gratefully acknowledge King Mongkut's University of Technology Thonburi (KMUTT) for financial support through the Petchra Pra Jom Klao Research Scholarship (KMUTT-NSTDA). Appreciation is also extended to the Joint Graduate School of Energy and Environment (JGSEE), the Center of Excellence on Energy Technology and Environment (CEE), and the Ministry of Higher Education, Science, Research and Innovation (MHESI), Bangkok, Thailand. Additionally, the authors acknowledge the support of the Bio-LCA project, funded by Business Finland (6873/31/2021).</t>
  </si>
  <si>
    <t>10.1016/j.spc.2025.09.002</t>
  </si>
  <si>
    <t>7LR4M</t>
  </si>
  <si>
    <t>WOS:001573984300001</t>
  </si>
  <si>
    <t>Song, HN; Jiang, H; Zhang, SY; Luan, JD</t>
  </si>
  <si>
    <t>Song, Haonan; Jiang, Hui; Zhang, Shiyun; Luan, Jingdong</t>
  </si>
  <si>
    <t>Land Circulation, Scale Operation, and Agricultural Carbon Reduction Efficiency: Evidence from China</t>
  </si>
  <si>
    <t>DISCRETE DYNAMICS IN NATURE AND SOCIETY</t>
  </si>
  <si>
    <t>RENTAL MARKETS</t>
  </si>
  <si>
    <t>Based on the panel data of 30 Chinese province in 2005-2018, this paper quantifies agricultural carbon reduction efficiency (CRE), using the slack-based measure (SBM)-data envelopment analysis (DEA) model with undesired outputs (SBM-DEA*), and empirically tests that development of land circulation market directly affects agricultural CRE, and indirectly affects agricultural CRE via scale operation of farmland. The results show that the following: (1) In the observation period, China's agricultural CREs generally evolved from a low level to a high level, with an annual growth rate of 8.0%, but there is still a large space of carbon reduction. (2) Overall, land circulation significantly promoted agricultural CRE, but the promoting effect varied from region to region: the promoting effect was significant in eastern and central regions, and insignificant in western region. (3) Scale operation of farmland had a nonlinear, partial mediation effect on how land circulation influences agricultural CRE; land circulation greatly accelerated the scale operation of farmland, while the growing scale of farmland utilization had an inverted U-shaped influence on agricultural CRE. Our research results imply that promoting land circulation directly drives the low-carbon transformation of agriculture in China, but excessive scale operation of farmland might hinder agricultural carbon reduction.</t>
  </si>
  <si>
    <t>[Song, Haonan; Jiang, Hui; Zhang, Shiyun; Luan, Jingdong] Anhui Agr Univ, Coll Econ &amp; Management, Hefei 230031, Peoples R China</t>
  </si>
  <si>
    <t>Anhui Agricultural University</t>
  </si>
  <si>
    <t>Song, HN (corresponding author), Anhui Agr Univ, Coll Econ &amp; Management, Hefei 230031, Peoples R China.</t>
  </si>
  <si>
    <t>haonanjg@stu.ahau.edu.cn; 609521748@qq.com; shiyunjf@ahau.edu.cn; luanjingdong@ahau.edu.cn</t>
  </si>
  <si>
    <t>Song, Haonan/0000-0002-3587-5814</t>
  </si>
  <si>
    <t>National Natural Science Foundation of China [71873004]; Soft Science Research Project, Anhui Province, China [201906F01050034]; Philosophical and Social Science Planning Project, Anhui Province, China [AHSKY2018D93]</t>
  </si>
  <si>
    <t>National Natural Science Foundation of China(National Natural Science Foundation of China (NSFC)); Soft Science Research Project, Anhui Province, China; Philosophical and Social Science Planning Project, Anhui Province, China</t>
  </si>
  <si>
    <t>This paper was supported by National Natural Science Foundation of China (Grant No.: 71873004); Soft Science Research Project, Anhui Province, China (Grant No.: 201906F01050034); and Philosophical and Social Science Planning Project, Anhui Province, China (Grant No.: AHSKY2018D93).</t>
  </si>
  <si>
    <t>1026-0226</t>
  </si>
  <si>
    <t>1607-887X</t>
  </si>
  <si>
    <t>DISCRETE DYN NAT SOC</t>
  </si>
  <si>
    <t>Discrete Dyn. Nat. Soc.</t>
  </si>
  <si>
    <t>10.1155/2021/9288895</t>
  </si>
  <si>
    <t>WF3RQ</t>
  </si>
  <si>
    <t>WOS:000706226100001</t>
  </si>
  <si>
    <t>Lu, YX; Sun, ZX; Yao, GX; Xu, J</t>
  </si>
  <si>
    <t>Lu, Yixuan; Sun, Zhixian; Yao, Guanxin; Xu, Jing</t>
  </si>
  <si>
    <t>Assessing Eco-Efficiency with Emphasis on Carbon Emissions from Fertilizers and Plastic Film Inputs</t>
  </si>
  <si>
    <t>indica rice; eco-efficiency; carbon emissions; technological advancements</t>
  </si>
  <si>
    <t>GREENHOUSE-GAS EMISSIONS; RICE PRODUCTION; ENVIRONMENTAL EFFICIENCY; TECHNICAL EFFICIENCY; WATER MANAGEMENT; DAIRY FARMS; CHINA; DEA; GRAIN; PRODUCTIVITY</t>
  </si>
  <si>
    <t>In the context of growing environmental challenges and the push for sustainable agriculture, this study delves into the eco-efficiency of three-season indica rice across 16 key provinces in China from 2004 to 2021. Utilizing the super-efficiency Slacks-Based Measure (SBM) model coupled with the Malmquist index, our approach uniquely incorporates undesirable outputs, focusing on carbon emissions from chemical and plastic inputs. Findings indicate that while the overall efficiency hinged around a modest mean, periods like 2005-2006 and 2017-2018 spotlighted the pivotal role of technological advancements and judicious resource use. The Malmquist Index revealed an intricate interplay between technological change and efficiency, notably when accounting for environmental impact. Diverse provincial efficiencies spotlighted the need for bespoke strategies harmonizing efficiency objectives with ecological sustainability. This study emphasizes the indispensable role of technological innovation in advancing eco-efficiency and fostering sustainable agricultural practices, urging for policy changes that prioritize both technology adoption and ecological awareness.</t>
  </si>
  <si>
    <t>[Lu, Yixuan] Yangzhou Univ, Agr Coll, Yangzhou 225009, Peoples R China; [Sun, Zhixian; Yao, Guanxin; Xu, Jing] Yangzhou Univ, Business Sch, Yangzhou 225009, Peoples R China</t>
  </si>
  <si>
    <t>Lu, YX (corresponding author), Yangzhou Univ, Agr Coll, Yangzhou 225009, Peoples R China.</t>
  </si>
  <si>
    <t>yxluyzu@outlook.com; sun_zx9803ujn@126.com</t>
  </si>
  <si>
    <t>; Lu, Yixuan/IQS-6699-2023</t>
  </si>
  <si>
    <t>Lu, Yixuan/0000-0003-4057-6111;</t>
  </si>
  <si>
    <t>National Science Foundation for Young Scientists of China</t>
  </si>
  <si>
    <t>10.3390/agronomy13112720</t>
  </si>
  <si>
    <t>AK2R6</t>
  </si>
  <si>
    <t>WOS:001118300200001</t>
  </si>
  <si>
    <t>Çevik, B</t>
  </si>
  <si>
    <t>Cevik, Bekir</t>
  </si>
  <si>
    <t>Manual metal arc welding of dissimilar 30MnB5 and S 235 low alloyed steels for agricultural applications</t>
  </si>
  <si>
    <t>MATERIALS TESTING</t>
  </si>
  <si>
    <t>30MnB5 steel; S235 steel; welding; mechanical properties; microstructure</t>
  </si>
  <si>
    <t>HEAT-AFFECTED ZONE; MECHANICAL-PROPERTIES; STRUCTURAL-STEEL; BORON STEEL; MICROSTRUCTURAL PROPERTIES; WEAR BEHAVIOR; STRENGTH; FRICTION</t>
  </si>
  <si>
    <t>In agricultural mechanization industry, different types of materials are assembled with each other to establish agricultural machine systems. However, the necessity of joining dissimilar materials used in the same machine system may cause some problems. Joining two different materials by welding and selecting the most appropriate weld metal ( electrode) for this is a very difficult problem. The increasing importance of the economic factors in today's industry requires both the use of dissimilar materials in agricultural mechanization and the production of longer-lasting agricultural machines, thus making it necessary to use dissimilar steels in agricultural mechanization systems. Therefore, it is important to apply a welding process to dissimilar steels used in agricultural mechanization. In this study, 30MnB5/S235 steel pairs were joined by the manual metal arc welding (MMAW) method using different covered electrodes. In order to determine the mechanical properties of the welded samples, hardness, bending, and impact tests were carried out. In addition, visual inspection to the weld seams, liquid penetrant testing, and metal-lographic examinations to determine the microstructural properties were conducted. As a result of the microstructure studies, structures such as grain boundary ferrite, Widmanstatten ferrite, acicular ferrite, bainite, and martensite were determined in the weld metal and HAZs. As a result of the hardness test, the highest hardness values were determined in HAZs on the side of 30MnB5 steel. As a result of the bending test, the highest mechanical properties were obtained in the weld seams made with basic flux-cored wire. As a result of the notch impact test, the highest mechanical properties were obtained in the weld seams made with basic flux-cored wire, after the base metals.</t>
  </si>
  <si>
    <t>[Cevik, Bekir] Duzce Univ, Dept Machinery &amp; Met Technol, TR-81850 Duzce, Turkey</t>
  </si>
  <si>
    <t>Duzce University</t>
  </si>
  <si>
    <t>Çevik, B (corresponding author), Duzce Univ, Dept Machinery &amp; Met Technol, TR-81850 Duzce, Turkey.</t>
  </si>
  <si>
    <t>bekircevik@duzce.edu.tr</t>
  </si>
  <si>
    <t>Çevik, Bekir/Q-4375-2016</t>
  </si>
  <si>
    <t>0025-5300</t>
  </si>
  <si>
    <t>2195-8572</t>
  </si>
  <si>
    <t>MATER TEST</t>
  </si>
  <si>
    <t>Mater. Test.</t>
  </si>
  <si>
    <t>10.1515/mt-2021-0033</t>
  </si>
  <si>
    <t>Materials Science, Characterization &amp; Testing</t>
  </si>
  <si>
    <t>XA0LN</t>
  </si>
  <si>
    <t>WOS:000720349900005</t>
  </si>
  <si>
    <t>Quan, NY; Lee, SC; Chopra, C; Nesic, Z; Porto, P; Pow, P; Jassal, RS; Smukler, S; Krzic, M; Knox, SH; Black, TA</t>
  </si>
  <si>
    <t>Quan, Ningyu; Lee, Sung-Ching; Chopra, Chitra; Nesic, Zoran; Porto, Paula; Pow, Patrick; Jassal, Rachhpal S.; Smukler, Sean; Krzic, Maja; Knox, Sara H.; Black, T. Andrew</t>
  </si>
  <si>
    <t>Estimating Net Carbon and Greenhouse Gas Balances of Potato and Pea Crops on a Conventional Farm in Western Canada</t>
  </si>
  <si>
    <t>eddy covariance; flux chamber; flux footprint; agricultural ecosystem; land-atmosphere interactions</t>
  </si>
  <si>
    <t>NITROUS-OXIDE EMISSIONS; GLOBAL FOOD DEMAND; EDDY-COVARIANCE; SOIL-MOISTURE; N2O EMISSIONS; FLUX MEASUREMENTS; MANAGEMENT; ECOSYSTEM; CO2; TERM</t>
  </si>
  <si>
    <t>Quantifying the emissions of the three main biogenic greenhouse gases (GHGs), carbon dioxide (CO2), nitrous oxide (N2O) and methane (CH4), from agroecosystems is crucial. In this study continuous measurements of N2O, and CH4 emissions from potato and pea crops in southwest British Columbia, Canada were made using the eddy-covariance (EC) technique. Flux footprint analysis, coupled with EC and manual nonsteady state chamber measurements, was used to address the spatial heterogeneity resulting from the field edge at the study site. Flux footprint corrections had a larger effect on N2O fluxes than CO2 fluxes because of a more pronounced difference in N2O fluxes between the crop and edge areas. After flux footprint corrections, the potato and pea crops were both weak CO2 sinks with annual net ecosystem exchange values of -57 +/- 9 and -97 +/- 16 g C m(-2) yr(-1), respectively. However, after taking carbon (C) export via crop harvest and C import via seeding into account, the potato crop shifted to being a moderate C source of 284 +/- 55 g C m(-2) yr(-1), while the pea crop became near C neutral, sequestering only 30 +/- 26 g C m(-2) yr(-1). Annual GHG balances, quantified by converting N2O and CH4 to CO2 equivalents as pulse emissions using respective global warming potentials on a 100-year timescale, were 417 +/- 88 and 152 +/- 106 g CO(2)e m(-2) yr(-1) for the potato and pea crops, respectively, with N2O contributing the largest proportion to annual total GHG balances and outweighing the CO2 uptake from the atmosphere.</t>
  </si>
  <si>
    <t>[Quan, Ningyu; Chopra, Chitra; Nesic, Zoran; Porto, Paula; Pow, Patrick; Jassal, Rachhpal S.; Smukler, Sean; Krzic, Maja; Black, T. Andrew] Univ British Columbia, Fac Land &amp; Food Syst, Vancouver, BC, Canada; [Lee, Sung-Ching; Knox, Sara H.] Univ British Columbia, Dept Geog, Vancouver, BC, Canada; [Lee, Sung-Ching] Max Planck Inst Biogeochem, Dept Biogeochem Integrat, Jena, Germany; [Krzic, Maja] Univ British Columbia, Fac Forestry, Vancouver, BC, Canada</t>
  </si>
  <si>
    <t>University of British Columbia; University of British Columbia; Max Planck Society; University of British Columbia</t>
  </si>
  <si>
    <t>Lee, SC (corresponding author), Univ British Columbia, Dept Geog, Vancouver, BC, Canada.;Lee, SC (corresponding author), Max Planck Inst Biogeochem, Dept Biogeochem Integrat, Jena, Germany.</t>
  </si>
  <si>
    <t>sclee@bgc-jena.mpg.de</t>
  </si>
  <si>
    <t>Nesic, Zoran/C-9655-2015; Black, Andrew/AEE-5540-2022; Lee, Sung-Ching/AAO-5945-2020; Knox, Sara/NUQ-6498-2025</t>
  </si>
  <si>
    <t>Lee, Sung-Ching/0000-0002-2615-2040; Smukler, Sean/0000-0002-4456-4444; Chopra, Chitra/0000-0003-3234-7714; Jassal, Paul/0000-0002-6727-5215; Pow, Patrick/0000-0002-5855-3818;</t>
  </si>
  <si>
    <t>Agriculture and Agri-Food Canada [AGGP2-036_CA]; Natural Sciences and Engineering Research Council (NSERC); Projekt DEAL</t>
  </si>
  <si>
    <t>Agriculture and Agri-Food Canada(Agriculture &amp; Agri Food Canada); Natural Sciences and Engineering Research Council (NSERC)(Natural Sciences and Engineering Research Council of Canada (NSERC)); Projekt DEAL</t>
  </si>
  <si>
    <t>We gratefully acknowledge the technical support in the field from our research assistants, Brian Wang, Oscar Zimmerman and Chantel Chizen, and the help of our research technician, Jugoslav Kitanovic. We sincerely thank Stan Reynolds and Hugh Reynolds of Reynelda Farm for accommodating our research and their collaboration. We greatly appreciate the help from Eric Leinberger on editing the figures. This work was supported by funding from Agriculture and Agri-Food Canada (Grant AGGP2-036_CA, 2017) and a Natural Sciences and Engineering Research Council (NSERC) Discovery Grant (T.A.B.). Open Access funding enabled and organized by Projekt DEAL.</t>
  </si>
  <si>
    <t>e2022JG007113</t>
  </si>
  <si>
    <t>10.1029/2022JG007113</t>
  </si>
  <si>
    <t>9T9IH</t>
  </si>
  <si>
    <t>WOS:000947334100001</t>
  </si>
  <si>
    <t>Harpenslager, SF; van Dijk, G; Boonman, J; Weideveld, STJ; van de Riet, BP; Hefting, MM; Smolders, AJP</t>
  </si>
  <si>
    <t>Harpenslager, Sarah F.; van Dijk, Gijs; Boonman, Jim; Weideveld, Stefan T. J.; van de Riet, Bas P.; Hefting, Mariet M.; Smolders, Alfons J. P.</t>
  </si>
  <si>
    <t>Rewetting drained peatlands through subsoil infiltration stabilises redox-dependent soil carbon and nutrient dynamics</t>
  </si>
  <si>
    <t>Biogeochemistry; Rewetting; Peat meadows; Agricultural use; Groundwater levels; Applied research</t>
  </si>
  <si>
    <t>PHOSPHATE-EUTROPHICATION; WATER; MINERALIZATION; MOBILIZATION; PHOSPHORUS; SUBSIDENCE; MANAGEMENT; AMMONIUM; NITROGEN</t>
  </si>
  <si>
    <t>Centuries of drainage have stimulated peat decomposition. To counteract the resulting increase in greenhouse gas emission and land subsidence in Dutch agricultural peatlands, passive and active subsurface infiltration (SSI) systems have been developed for peatland rewetting. Here, we studied the effects of SSI systems on groundwater levels, porewater composition and redox potential in four drained peatlands in the Netherlands to determine how soil processes are affected, especially carbon and nutrient dynamics. For three years, groundwater levels were measured continuously, and porewater samples were collected 8-10 times per year in paired SSI (active and passive) and control plots. SSI plots had higher summer groundwater levels and less seasonal fluctuation in groundwater levels than control plots. Redox potential and porewater composition in control plots reflected dominance of oxidation processes during dry periods in the upper soil layers, whereas SSI plots showed dominance of reduction processes in these layers throughout the year. These differences between control and SSI plots were strongest at locations with active SSI systems. Our results show that SSI systems can be effective measures to raise and stabilise groundwater levels in drained peatlands, which results in more stable redox zonation and dominance of anaerobic soil processes, especially during dry periods and when active SSI systems are applied. On the short term, a switch from oxic to anoxic conditions can cause mobilisation of phosphorus and ammonium, while on the longer term the application of SSI can lead to substantial change in carbon and nutrient dynamics. Understanding the full effects of implementing SSI systems and other mitigation measures in drained peatlands is important before they are applied on a large scale.</t>
  </si>
  <si>
    <t>[Harpenslager, Sarah F.; van Dijk, Gijs; Weideveld, Stefan T. J.; van de Riet, Bas P.; Smolders, Alfons J. P.] B WARE Res Ctr, Toernooiveld 1, NL-6525 ED Nijmegen, Netherlands; [Harpenslager, Sarah F.; van Dijk, Gijs; Weideveld, Stefan T. J.; van de Riet, Bas P.; Smolders, Alfons J. P.] Radboud Univ Nijmegen, Radboud Inst Biol &amp; Environm Sci, Dept Aquat Ecol &amp; Environm Biol, Heyendaalseweg 135, NL-6525 AJ Nijmegen, Netherlands; [Boonman, Jim] Vrije Univ Amsterdam, Fac Sci, Dept Earth Sci, NL-1081 HV Amsterdam, Netherlands; [Hefting, Mariet M.] Vrije Univ Amsterdam, Amsterdam Inst Life Sci &amp; Environm, Life Sect Syst Ecol A, NL-1081 HV Amsterdam, Netherlands; [Hefting, Mariet M.] Univ Utrecht, Inst Environm Biol, Dept Biol, NL-3508 TB Utrecht, Netherlands</t>
  </si>
  <si>
    <t>Radboud University Nijmegen; Vrije Universiteit Amsterdam; Vrije Universiteit Amsterdam; Utrecht University</t>
  </si>
  <si>
    <t>Harpenslager, SF (corresponding author), B WARE Res Ctr, Toernooiveld 1, NL-6525 ED Nijmegen, Netherlands.;Harpenslager, SF (corresponding author), Radboud Univ Nijmegen, Radboud Inst Biol &amp; Environm Sci, Dept Aquat Ecol &amp; Environm Biol, Heyendaalseweg 135, NL-6525 AJ Nijmegen, Netherlands.</t>
  </si>
  <si>
    <t>s.f.harpenslager@b-ware.eu</t>
  </si>
  <si>
    <t>Smolders, Alfons/H-2583-2012; Hefting, Mariet/L-9682-2016; Harpenslager, Sarah/Q-7274-2017</t>
  </si>
  <si>
    <t>Boonman, J/0000-0001-9483-7730; Hefting, Mariet/0000-0002-3852-7532;</t>
  </si>
  <si>
    <t>Dutch government</t>
  </si>
  <si>
    <t>This study was conducted within the Netherlands research programme on Greenhouse gas dynamics in peatlands and organic soils (NOBV) , which was financially supported by the Dutch government. This project is an interdisciplinary collaboration between the following Dutch partners: STOWA, Deltares, Radboud University, Utrecht University, Wageningen Environmental Research, Wageningen University, Technical University Delft, Vrije Universiteit Amsterdam and B -WARE Research Centre. We would like to thank all researchers, technicians, laboratory staff, farmers and land owners that have facilitated or contributed to this project.</t>
  </si>
  <si>
    <t>10.1016/j.geoderma.2024.116787</t>
  </si>
  <si>
    <t>JJ9T5</t>
  </si>
  <si>
    <t>WOS:001172924600001</t>
  </si>
  <si>
    <t>Kovanda, J; Janousková, S; Hák, T; Trebicky, V; Konata, P</t>
  </si>
  <si>
    <t>Kovanda, Jan; Janouskova, Svatava; Hak, Tomas; Trebicky, Viktor; Konata, Petr</t>
  </si>
  <si>
    <t>Carbon footprint for farms in the Czech Republic: a benchmark-based assessment</t>
  </si>
  <si>
    <t>carbon footprint (CF); GHG emissions; agricultural farms; benchmarking; Czech Republic</t>
  </si>
  <si>
    <t>CLIMATE-CHANGE; SUSTAINABILITY; AGRICULTURE</t>
  </si>
  <si>
    <t>BACKGROUNDClimate change is a pressing environmental and social challenge that demands effective monitoring of greenhouse gas (GHG) emissions. One widely adopted approach for this is quantifying the carbon footprint (CF). Given that agriculture is a major contributor to GHG emissions, we have developed a comprehensive framework for CF accounting at the farm level. This framework has been tested on 12 farms in the Czech Republic to assess both data availability and calculation accuracy.RESULTSOur study examines how various farm characteristics, such as turnover, land area and number of employees, influence the overall CF and enable meaningful comparisons between farms. We found that absolute farm CFs are significantly influenced by the size effect, making them unsuitable for benchmarking purposes. By contrast, relative farm CFs (per turnover, per area and per employee) are not affected by the size effect, but can be affected by a scale effect. Additionally, we investigated whether a focus on animal husbandry leads to higher relative CFs. By calculating the share of animal husbandry (SoAH) in farm operations, we discovered a significant correlation between SoAH and relative CFs, with the strongest correlation observed for CF per turnover (0.87).CONCLUSIONWe argue that farms with high shares of SoAH are unlikely to reduce their relative CFs to the levels of farms with zero or low SoAH. We therefore propose applying benchmarking to farms with similar SoAH. We also propose that further research should focus on defining and validating relevant reference values, comprising a benchmark set that reflects different farm types. (c) 2025 The Author(s). Journal of the Science of Food and Agriculture published by John Wiley &amp; Sons Ltd on behalf of Society of Chemical Industry.</t>
  </si>
  <si>
    <t>[Kovanda, Jan; Hak, Tomas] Charles Univ Prague, Environm Ctr, Prague, Czech Republic; [Janouskova, Svatava] Charles Univ Prague, Fac Sci, Prague, Czech Republic; [Hak, Tomas] Charles Univ Prague, Fac Humanities, Prague, Czech Republic; [Trebicky, Viktor; Konata, Petr] CI3 S r o, Prague, Czech Republic; [Konata, Petr] CleverFarm A s, Brno, Czech Republic</t>
  </si>
  <si>
    <t>Charles University Prague; Charles University Prague; Charles University Prague</t>
  </si>
  <si>
    <t>Kovanda, J (corresponding author), Charles Univ Prague, Environm Ctr, Prague, Czech Republic.</t>
  </si>
  <si>
    <t>jan.kovanda@czp.cuni.cz</t>
  </si>
  <si>
    <t>Kovanda, Jan/P-4385-2016; Hák, Tomáš/R-1845-2016; Janoušková, Svatava/P-2238-2016</t>
  </si>
  <si>
    <t>Kovanda, Jan/0000-0002-5308-2121;</t>
  </si>
  <si>
    <t>Charles University Cooperatio Program; Univerzita Karlova, as part of the Wiley - CzechELib</t>
  </si>
  <si>
    <t>Charles University Cooperatio Program(Charles University Prague); Univerzita Karlova, as part of the Wiley - CzechELib(Charles University Prague)</t>
  </si>
  <si>
    <t>This work was supported by the Charles University Cooperatio Program, research area 'Environmental and Sustainability Research'. This support is gratefully appreciated. Open access publishing facilitated by Univerzita Karlova, as part of the Wiley - CzechELib agreement.</t>
  </si>
  <si>
    <t>10.1002/jsfa.14368</t>
  </si>
  <si>
    <t>6IH0F</t>
  </si>
  <si>
    <t>WOS:001485198200001</t>
  </si>
  <si>
    <t>Wu, L; Wu, X; Lin, S; Wu, YP; Tang, SR; Zhou, MH; Shaaban, M; Zhao, JS; Hu, RG; Kuzyakov, Y; Wu, JS</t>
  </si>
  <si>
    <t>Wu, Lei; Wu, Xian; Lin, Shan; Wu, Yupeng; Tang, Shuirong; Zhou, Minghua; Shaaban, Muhammad; Zhao, Jinsong; Hu, Ronggui; Kuzyakov, Yakov; Wu, Jinshui</t>
  </si>
  <si>
    <t>Carbon budget and greenhouse gas balance during the initial years after rice paddy conversion to vegetable cultivation</t>
  </si>
  <si>
    <t>Land-use conversion; Net ecosystem carbon budget; CH4; N2O; Greenhouse gas balance</t>
  </si>
  <si>
    <t>LAND-USE CHANGE; UPLAND CROPPING SYSTEMS; SOIL ORGANIC-MATTER; FERTILIZATION DECREASES; NITROGEN-FERTILIZATION; CLIMATE-CHANGE; EMISSIONS; FIELD; ROTATION; SEQUESTRATION</t>
  </si>
  <si>
    <t>Rice paddy conversion to vegetable production is a common agricultural practice driven by economic benefits and shifting diets. However, little is known on the initial effects of this land-use conversion on net ecosystem carbon budget (NECB) and greenhouse gas (GHG) balance. Annual NECB and emissions of CH4 and N2O were measured from a native double rice cropping system (Rice) and a vegetable field recently converted from rice paddy (Veg) under no nitrogen (N) fertilization (Rice-N-0 and Veg-N-0) and conventional N fertilization (Rice-N+ and Veg-N+) during the initial four years upon conversion in subtropical China. Land-use conversion from rice to vegetable cultivation led to substantial C losses (2.6 to 4.5 Mg C ha(-1) yr(-1)), resulting from strongly reduced C input by 44-52% and increased soil organic matter mineralization by 46-59% relative to Rice. The magnitude of C losses from Veg was highest in the first year upon conversion, and showed a decreasing trend over time. N fertilization shifted rice paddy from a slight C source in Rice-N-0 (-1.0 Mg C ha(-1) yr(-1)) to a significant C sink in Rice-N+ (1.1 Mg C ha(-1) yr(-1)) and alleviated the impact of land-use conversion on C loss via increased C input from higher crop productivity. Land-use conversion greatly increased the global warming potential (GWP) from Veg by 116-395% relative to Rice in the first year, primarily due to increased C losses and N2O emission outweighing the decreased CH4 emission. However, the GWP did not show obvious difference between Rice and Veg in the following years. Nfertilization and land-use conversion interactively increased GWP in the first year via increased N2O production. Concluding, NECB and GHG emissions in the first year after conversion are crucial and should be considered when evaluating the environmental consequences of land-use conversion. (C) 2018 Elsevier B.V. All rights reserved.</t>
  </si>
  <si>
    <t>[Wu, Lei; Wu, Xian; Lin, Shan; Wu, Yupeng; Tang, Shuirong; Shaaban, Muhammad; Zhao, Jinsong; Hu, Ronggui; Kuzyakov, Yakov] Huazhang Agr Univ, Coll Resources &amp; Environm, Wuhan 430070, Hubei, Peoples R China; [Zhou, Minghua] Chinese Acad Sci, Inst Mt Hazards &amp; Environm, Key Lab Mt Surface Proc &amp; Ecol Regulat, Chengdu 610041, Sichuan, Peoples R China; [Kuzyakov, Yakov] Univ Gottingen, Dept Soil Sci Temperate Ecosyst, Busgenweg 2, D-37077 Gottingen, Germany; [Kuzyakov, Yakov] Kazan Fed Univ, Inst Environm Sci, Kazan 420049, Russia; [Kuzyakov, Yakov] RUDN Univ, Agrotechnol Inst, Moscow, Russia; [Wu, Jinshui] Chinese Acad Sci, Inst Subtrop Agr, Key Lab Agroecol Proc Subtrop Reg, Changsha 410125, Hunan, Peoples R China</t>
  </si>
  <si>
    <t>Chinese Academy of Sciences; Institute of Mountain Hazards &amp; Environment, CAS; University of Gottingen; Kazan Federal University; Peoples Friendship University of Russia; Chinese Academy of Sciences; Institute of Subtropical Agriculture, CAS</t>
  </si>
  <si>
    <t>Hu, RG (corresponding author), Huazhang Agr Univ, Coll Resources &amp; Environm, Wuhan 430070, Hubei, Peoples R China.</t>
  </si>
  <si>
    <t>rghu@mail.hzau.edu.en</t>
  </si>
  <si>
    <t>Shaaban, Muhammad/F-7466-2013; Kuzyakov, Yakov/D-1605-2010; Wu, Yupeng/O-4706-2015; Zhou, Minghua/B-8291-2015; Zhao, Jinsong/D-2181-2009</t>
  </si>
  <si>
    <t>Shaaban, Muhammad/0000-0002-2314-7983; Kuzyakov, Yakov/0000-0002-9863-8461; Wu, Yupeng/0000-0002-3034-0677; Zhou, Minghua/0000-0002-0003-2892;</t>
  </si>
  <si>
    <t>National Program on Key Basic Research Project of China [2012CB417106]; National Science Foundation of China [41671253]; Fundamental Research Fund for the Central Universities [2662016PY098]</t>
  </si>
  <si>
    <t>National Program on Key Basic Research Project of China(National Basic Research Program of China); National Science Foundation of China(National Natural Science Foundation of China (NSFC)); Fundamental Research Fund for the Central Universities</t>
  </si>
  <si>
    <t>This research was financially supported by the National Program on Key Basic Research Project of China (2012CB417106), National Science Foundation of China (No. 41671253) and the Fundamental Research Fund for the Central Universities (2662016PY098). We are grateful to Dr. Yanzheng Wu and Cong Wang of the Changsha Research Station for Agricultural &amp; Environmental Monitoring who helped us with field sampling and laboratory analyses.</t>
  </si>
  <si>
    <t>10.1016/j.scitotenv.2018.01.207</t>
  </si>
  <si>
    <t>GF3IV</t>
  </si>
  <si>
    <t>WOS:000431848500006</t>
  </si>
  <si>
    <t>Wang, ZF; Hou, TJ; Wang, ZW</t>
  </si>
  <si>
    <t>Wang, Zhenfeng; Hou, Tianjiao; Wang, Zhanwu</t>
  </si>
  <si>
    <t>Revenue Coordination of Straw Power Generation Supply Chain Under Carbon Trading Environment</t>
  </si>
  <si>
    <t>Carbon trading price; Straw power generation supply chain; Stackelberg game; Revenue sharing contract</t>
  </si>
  <si>
    <t>BIOMASS POWER; CHINA; MODEL; INDUSTRY; TRANSPORTATION; PERFORMANCE; COLLECTION</t>
  </si>
  <si>
    <t>As a major agricultural country, China's straw energy has received extensive attention in the context of green development. However, the uncoordinated supply chain hinders the utilization of straw energy. To improve the current situation caused by insufficient fuel supply of power plants and declining state subsidies. This paper takes the straw direct combustion power generation supply chain as the research object. Considering the economic cost of each stage and the carbon emission reduction in the whole life cycle of straw power generation. A decentralized decision model based on the Stackelberg game and a centralized decision model considering the overall revenue is constructed. By comparing the optimal solution of the model, we found that in the centralized decision model, the amount of straw flowing into the supply chain increased significantly and the total revenue was improved. Then, the revenue-sharing contract is introduced for coordination. The results indicate that the appropriate combination of the straw purchase price and revenue sharing coefficient can Pareto improve the revenue of each participating member, and achieve a win-win situation. [GRAPHICS] .</t>
  </si>
  <si>
    <t>[Wang, Zhenfeng; Hou, Tianjiao; Wang, Zhanwu] Henan Agr Univ, Coll Mech &amp; Elect Engn, Zhengzhou, Henan, Peoples R China; [Wang, Zhenfeng; Hou, Tianjiao; Wang, Zhanwu] Henan Prov Cold Chain Informat &amp; Equipment Lab Lo, Zhengzhou, Henan, Peoples R China</t>
  </si>
  <si>
    <t>Wang, ZW (corresponding author), Henan Agr Univ, Coll Mech &amp; Elect Engn, Zhengzhou, Henan, Peoples R China.;Wang, ZW (corresponding author), Henan Prov Cold Chain Informat &amp; Equipment Lab Lo, Zhengzhou, Henan, Peoples R China.</t>
  </si>
  <si>
    <t>wzw215824393@163.com</t>
  </si>
  <si>
    <t>Science and Technology Department of Henan Province [212102110212]</t>
  </si>
  <si>
    <t>Science and Technology Department of Henan Province</t>
  </si>
  <si>
    <t>This work was supported by the Science and Technology Department of Henan Province (Grant No. 212102110212).</t>
  </si>
  <si>
    <t>10.1007/s12649-022-01960-1</t>
  </si>
  <si>
    <t>F8ED1</t>
  </si>
  <si>
    <t>WOS:000878448400001</t>
  </si>
  <si>
    <t>Orella, J; Africa, DR; Bustillo, CH; Pascua, N; Marquez, C; Adornado, H; Aguilos, M</t>
  </si>
  <si>
    <t>Orella, Joel; Africa, Diana Riza; Bustillo, Catherine Hope; Pascua, Noel; Marquez, Conrado; Adornado, Henry; Aguilos, Maricar</t>
  </si>
  <si>
    <t>Above-and-Belowground Carbon Stocks in Two Contrasting Peatlands in the Philippines</t>
  </si>
  <si>
    <t>soil respiration; soil carbon; biomass; Philippine peatlands</t>
  </si>
  <si>
    <t>CLIMATE-CHANGE; PEAT SOILS; LAND-USE; ARTIFICIAL-DRAINAGE; FOREST; EMISSIONS; DEGRADATION; ECOSYSTEM; IMPACTS; DEFORESTATION</t>
  </si>
  <si>
    <t>Although tropical peatlands are huge carbon reservoirs, they are threatened by climate change and anthropogenic disturbances. Here, we assessed two contrasting peatland sites in the Philippines in terms of aboveground biomass and carbon content, soil carbon stock, and CO2 fluxes in the soils. The Caimpugan peatland in Agusan del Sur was considered the 'undisturbed' site, while the Bambanin peatland in Mindoro Oriental was the 'disturbed' site. The aboveground biomass at the undisturbed site was 35.8 +/- 30.0 Mg ha(-1)) while at the disturbed site, it was 2.0 Mg ha(-1) +/- 1.9 Mg ha(-1). The aboveground C content at the undisturbed site varied from 1.29 Mg C ha(-1) to 37.2 Mg C ha(-1,) while the disturbed site only ranged from 0.1 Mg C ha(-1) to 2.1 Mg C ha(-1). A trend of increasing soil carbon content as the soil gets deeper was observed in both sites. At the undisturbed site, the average soil carbon content was 750 +/- 710 Mg ha(-1) and 595 +/- 406 Mg ha(-1) at the disturbed site. In terms of soil carbon emission, the undisturbed site had 3.6 +/- 3.0 g C m(-2)d(-1) and was only one-third the emission rate at the disturbed site (11.2 +/- 6.4 g C m(-2)d(-1)). Our study highlights the dire condition of a disturbed peatland in terms of vegetation/soil carbon dynamics. We underscored the need to address the pressing issues on peatland drainage, agricultural activities, and human settlement within the peatland sites geared towards effectively managing this important carbon reservoir in the Philippines.</t>
  </si>
  <si>
    <t>[Orella, Joel; Bustillo, Catherine Hope; Marquez, Conrado] DENR Ecosyst Res &amp; Dev Bur, Forest &amp; Wetland Res, Dev &amp; Extens Ctr, Bislig 8311, Philippines; [Africa, Diana Riza; Pascua, Noel; Adornado, Henry] Forestry Coll, Ecosyst Res &amp; Dev Bur, Los Banos 4030, Philippines; [Aguilos, Maricar] North Carolina State Univ, Dept Forestry &amp; Environm Resources, Raleigh, NC 27695 USA</t>
  </si>
  <si>
    <t>Aguilos, M (corresponding author), North Carolina State Univ, Dept Forestry &amp; Environm Resources, Raleigh, NC 27695 USA.</t>
  </si>
  <si>
    <t>joelborella30@gmail.com; diane.africa@gmail.com; catherinehopembustillo@gmail.com; ncpascua.erdb@gmail.com; butchbmarquez@gmail.com; hadornado@yahoo.com; mmaguilo@ncsu.edu</t>
  </si>
  <si>
    <t>; Aguilos, Maricar/AAS-9760-2020</t>
  </si>
  <si>
    <t>Pascua, Noel/0000-0002-0293-5833; Aguilos, Maricar/0000-0002-1949-3736</t>
  </si>
  <si>
    <t>10.3390/f13020303</t>
  </si>
  <si>
    <t>ZH8CH</t>
  </si>
  <si>
    <t>WOS:000761159300001</t>
  </si>
  <si>
    <t>Singh, S; Singh, AK</t>
  </si>
  <si>
    <t>Singh, Sukhbir; Singh, A. K.</t>
  </si>
  <si>
    <t>The Recent Developments in Sugarcane Mechanization in India</t>
  </si>
  <si>
    <t>Mechanization; sugarcane; cultivation; India</t>
  </si>
  <si>
    <t>PLANTER; DESIGN</t>
  </si>
  <si>
    <t>Sugarcane is an important agroindustrial crop of India, which plays a crucial role in social and economical upliftment of rural population of the country. It is the main source of sugar, jaggery, khandsari and ethanol production in the country. It is cultivated in about 5.04 million hectare area with an average product ivity of 81.5 tonnes/ ha. Uttar Pradesh state is the largest producer of sugarcane as it contributes 46.21% of the total area and 43.65% of the total production of sugarcane in the country. Besides other essential inputs like variety, fertilizer etc., farm power availability has also contributed notably in increasing area and productivity of sugarcane. Most of the sugarcane cultivation operations are being performed by the conventional tools and equipment. Lot of R&amp;D efforts on sugarcane mechanization has been carried out at many institutes/organizations but ICARIISR, Lucknow has taken a lead in the country for development and commercialization of machines for mechanizing various operations of sugarcane cultivation. Many farmers are using these machines and benefitted through mechanization. This paper highlights the recent advancements/efforts done by the various institutes/organizations in sugarcane mechanization technologies in India</t>
  </si>
  <si>
    <t>[Singh, Sukhbir; Singh, A. K.] ICAR Indian Inst Sugarcane Res, Div Agr Engn, Lucknow 226002, Uttar Pradesh, India</t>
  </si>
  <si>
    <t>Indian Council of Agricultural Research (ICAR); ICAR - Indian Institute of Sugarcane Research</t>
  </si>
  <si>
    <t>Singh, S (corresponding author), ICAR Indian Inst Sugarcane Res, Div Agr Engn, Lucknow 226002, Uttar Pradesh, India.</t>
  </si>
  <si>
    <t>srsukhbir@rediffmail.com</t>
  </si>
  <si>
    <t>Singh, Atul/AAJ-3210-2021</t>
  </si>
  <si>
    <t>8J1NV</t>
  </si>
  <si>
    <t>WOS:000922190900004</t>
  </si>
  <si>
    <t>Mesa, YM; Rondón, PP; Diaz, LJS</t>
  </si>
  <si>
    <t>Morejon Mesa, Yanoy; Paneque Rondon, Pedro; Silva Diaz, Lieter J.</t>
  </si>
  <si>
    <t>Present Status and Prospects of Agricultural Mechanization in Cuba</t>
  </si>
  <si>
    <t>The present work was carried out with the objectives of analyzing the current status and prospects of agricultural mechanization in Cuba. To complete the stated objectives, an analysis was conducted of the current state of industrial and commercial areas in this sector, as well as of the policies established by the country's management in this regard. The study allowed concluding that the modernization of agricultural mechanization makes it possible to directly increase productive yields and increase technological efficiency in production processes. There is a need to strengthen the extension services of agricultural mechanization at all levels of agricultural production, as well as to boost local and artisanal industries, with the objective of diversifying production and reducing imports. Moreover, it was found out that the introduction of renewable energy sources and automation in agricultural processes constitutes a priority for the country's management and that the joint work among universities, research centers, companies and agricultural producers would constitute a strength. Lastly, it was confirmed that the compliance with ergonomic and safety standards of machinery to be introduced under production conditions need to be certified and checked by a team of researchers belonging to the Ministry of Agriculture.</t>
  </si>
  <si>
    <t>[Morejon Mesa, Yanoy] Agrarian Univ Havana, Agr Mechanizat Res Ctr CEMA, Mayabeque 32700, Cuba; [Paneque Rondon, Pedro] Agrarian Univ Havana, RCTA, Fac Tech Sci, Mayabeque 32700, Cuba; [Silva Diaz, Lieter J.] Inst Anim Sci, Havana, Cuba</t>
  </si>
  <si>
    <t>Instituto de Ciencia Animal</t>
  </si>
  <si>
    <t>Mesa, YM (corresponding author), Agrarian Univ Havana, Agr Mechanizat Res Ctr CEMA, Mayabeque 32700, Cuba.</t>
  </si>
  <si>
    <t>ymm@unah.edu.cu; paneque@unah.edu.cu; lieter@ica.co.cu</t>
  </si>
  <si>
    <t>WOS:000481561000014</t>
  </si>
  <si>
    <t>Kim, N; Jang, C; Yang, WH; Guan, KY; Delucia, EH; Lee, D</t>
  </si>
  <si>
    <t>Kim, Nakian; Jang, Chunhwa; Yang, Wendy H.; Guan, Kaiyu; Delucia, Evan H.; Lee, Dokyoung</t>
  </si>
  <si>
    <t>Spatial variability of agricultural soil carbon dioxide and nitrous oxide fluxes: Characterization and recommendations from spatially high-resolution, multi-year dataset</t>
  </si>
  <si>
    <t>Greenhouse gases; Carbon dioxide; Nitrous oxide; Spatial variation; Maize; Soybean</t>
  </si>
  <si>
    <t>N2O EMISSIONS; HOTSPOTS; CO2; METAANALYSIS; TILLAGE; CORN; CROP</t>
  </si>
  <si>
    <t>Mitigating agricultural soil greenhouse gas (GHG) emissions can contribute to meeting the global climate goals. High spatial and temporal resolution, large-scale, and multi-year data are necessary to characterize and predict spatial patterns of soil GHG fluxes to establish well-informed mitigation strategies, but not many of such datasets are currently available. To address this gap in data we collected two years of in-season soil carbon dioxide (CO2) and nitrous oxide (N2O) fluxes at high spatial resolution (7.4 sampling points ha(-1)) from three commercial sites in central Illinois, one conventionally managed continuous corn (2.8 ha in 2021; 5.4 ha in 2022) and two (one site 5.4 ha in 2021 and 2.0 ha in 2022, another site 2.7 ha both years) under conservation practices in corn- soybean rotations. At the field-scale, the spatial variability of CO2 was comparable across sites, years, and management practices, but N2O was on average 77 % more spatially variable in the conventionally managed site. Analysis of N2O hotspots revealed that although they represent a similar proportion of the sampling areas across sites (conventional: 12 %; conservation: 13 %), hotspot contribution to field-wide emission was greater in the conventional site than in the conservation sites (conventional: 51 %; conservation: 34 %). Also, the spatial patterns, especially hotspot locations, of both gases were inter-annually inconsistent, with hotspots rarely occurring in the same location. Overall, our result indicated that traditional field-scale monitoring with gas chambers may not be the optimal approach to detect GHG hotspots in row crop systems, due to the unpredictable spatial heterogeneity of management practices. Meanwhile, sensitivity analysis demonstrated that reliable (&lt; 25 % error) field-scale soil GHG flux estimates are attainable when sampled above certain spatial resolutions (1.6 points ha(-1) for CO2 and 5.6 points ha(-1) for N2O in our dataset). Especially for N2O, lower spatial resolutions were prone to underestimating its field-wide flux.</t>
  </si>
  <si>
    <t>[Kim, Nakian; Jang, Chunhwa; Lee, Dokyoung] Univ Illinois Champaign Urbana, Dept Crop Sci, Urbana, IL 61801 USA; [Jang, Chunhwa; Yang, Wendy H.; Guan, Kaiyu; Delucia, Evan H.; Lee, Dokyoung] Univ Illinois, Inst Sustainabil Energy &amp; Environm, Agroecosystem Sustainabil Ctr, Urbana, IL 61801 USA; [Yang, Wendy H.; Delucia, Evan H.] Univ Illinois, Dept Plant Biol, Urbana, IL USA; [Guan, Kaiyu] Univ Illinois, Dept Nat Resource &amp; Environm Sci, Urbana, IL USA; [Kim, Nakian] Korea Inst Sci &amp; Technol KIST, Inst Nat Prod, Kangnung 25451, Gangwondo, South Korea</t>
  </si>
  <si>
    <t>University of Illinois System; University of Illinois Urbana-Champaign; University of Illinois System; University of Illinois Urbana-Champaign; University of Illinois System; University of Illinois Urbana-Champaign; University of Illinois System; University of Illinois Urbana-Champaign; Korea Institute of Science &amp; Technology (KIST)</t>
  </si>
  <si>
    <t>Lee, D (corresponding author), Univ Illinois Champaign Urbana, Dept Crop Sci, Urbana, IL 61801 USA.</t>
  </si>
  <si>
    <t>leedk@illinois.edu</t>
  </si>
  <si>
    <t>Yang, Wendy/KOD-8169-2024; Guan, Kaiyu/N-5772-2015</t>
  </si>
  <si>
    <t>Yang, Wendy/0000-0002-2104-4796; Kim, Nakian/0000-0001-6162-3592</t>
  </si>
  <si>
    <t>DOE ARPA-E SMARTFARM program [DE-FOA-0001953]</t>
  </si>
  <si>
    <t>DOE ARPA-E SMARTFARM program(United States Department of Energy (DOE))</t>
  </si>
  <si>
    <t>The authors acknowledge that this work was supported by support from DOE ARPA-E SMARTFARM program DE-FOA-0001953. We thank Mary Marsh, Dana Landry, Marissa Chavez, Sunbong Jung, Jungwoo Lee, Kayla Vittore, and Nictor Namoi for their help in data collection and equipment maintenance. We also extend our thanks to William Eddy, Emily Stuchiner, and Ziliang Zhang for their help with methods devel-opment and data interpretation.</t>
  </si>
  <si>
    <t>10.1016/j.agee.2025.109636</t>
  </si>
  <si>
    <t>0WG9K</t>
  </si>
  <si>
    <t>WOS:001457533900001</t>
  </si>
  <si>
    <t>Nille, OS; Patel, RS; Borate, BY; Babar, SS; Kolekar, GB; Gore, AH</t>
  </si>
  <si>
    <t>Nille, Omkar S.; Patel, Rahul S.; Borate, Bhagyashree Y.; Babar, Santosh S.; Kolekar, Govind B.; Gore, Anil H.</t>
  </si>
  <si>
    <t>One-step in-situ sustainable synthesis of magnetic carbon nanocomposite from corn comb (MCCC): agricultural biomass valorisation for pollutant abatement in wastewater</t>
  </si>
  <si>
    <t>Agricultural biomass; Magnetic carbon; Adsorption; Methylene blue (MB); Water decontamination</t>
  </si>
  <si>
    <t>ACTIVATED CARBON; REMOVAL; ADSORBENT; ADSORPTION; NANOPARTICLES; FABRICATION; HYDROCHAR; OXIDE</t>
  </si>
  <si>
    <t>This study explored a novel, eco-friendly, sustainable, low-cost, and abundantly available corn comb (CC) agricultural biomass waste-derived one-step in-situ synthesis of magnetic carbon (MCCC) as an efficient adsorbent for water decontamination applications. Herein, we developed a robust and easily separable MCCC by carbonization of Fe(NO3)(3).9H(2)O single iron salt-soaked CC at 500 &amp; DEG;C for 5 h. The as-synthesized MCCC was confirmed for their physicochemical properties by various characterization techniques viz. scanning electron microscopy (SEM), high-resolution transmission emission microscopy (HR-TEM), energy dispersive X-ray (EDX), thermogravimetric analysis (TGA), X-ray diffraction (XRD), Fourier transform infrared spectroscopy (FTIR), surface area measurements by Brunauer-Emmett-Teller (BET) study, Raman analysis, and magnetic behavior by VSM analysis. The adsorption properties of MCCC on prototypical pollutant methylene blue (MB) was monitored depending on the effect of pH, adsorbent dose, contact time, and varying concentrations of MB. Especially, the pi-pi interactions played important role in the adsorption of MB at acidic pH (pH = 4). The MCCC displayed a maximum uptake capacity of 120.73 &amp; PLUSMN; 0.63 mg/g toward MB. The Langmuir, Freundlich, and Temkin adsorption isotherm models were fitted with determined coefficient (R-2) values of 0.99, 0.95, and 0.96 respectively. The kinetics of the adsorption process was well fitted with a pseudo-second-order model (R-2 = 0.99). Most significantly, the as-designed easily separable, and reusable adsorbent, MCCC was effectively applied for the abatement of pollutants, different kinds of dyes, pesticides, and industrial wastewater samples. The sustainable, affordable, and waste to wealth-based MCCC with a simple synthesis methodology can be fruitfully applicable for environmental remediation and water decontamination.</t>
  </si>
  <si>
    <t>[Nille, Omkar S.; Borate, Bhagyashree Y.; Babar, Santosh S.; Kolekar, Govind B.; Gore, Anil H.] Shivaji Univ, Dept Chem, Fluorescence Spect Res Lab, Kolhapur 416004, Maharashtra, India; [Patel, Rahul S.; Gore, Anil H.] UKA Tarsadia Univ, Tarsadia Inst Chem Sci, Bardoli 394350, Gujarat, India</t>
  </si>
  <si>
    <t>Shivaji University; UKA Tarsadia University</t>
  </si>
  <si>
    <t>Gore, AH (corresponding author), Shivaji Univ, Dept Chem, Fluorescence Spect Res Lab, Kolhapur 416004, Maharashtra, India.;Gore, AH (corresponding author), UKA Tarsadia Univ, Tarsadia Inst Chem Sci, Bardoli 394350, Gujarat, India.</t>
  </si>
  <si>
    <t>anilanachem@gmail.com</t>
  </si>
  <si>
    <t>Patel, Rahul/KFB-0100-2024; Nille, Omkar/LRU-5556-2024</t>
  </si>
  <si>
    <t>BABAR, SANTOSH/0000-0002-1229-9084; Nille, Omkar Sunil/0000-0002-8662-0459</t>
  </si>
  <si>
    <t>Department of Science and Technology (DST), New Delhi [DST/PURSE- Phase-II/2022]; Shivaji University, Kolhapur</t>
  </si>
  <si>
    <t>Department of Science and Technology (DST), New Delhi(Department of Science &amp; Technology (India)); Shivaji University, Kolhapur</t>
  </si>
  <si>
    <t>The authors gratefully acknowledge the Department of Science and Technology (DST), New Delhi (DST/PURSE- Phase-II/2022), Shivaji University, Kolhapur (MS), India, and UKA Tarsadia University, Surat, Gujrat for providing facilities in our department.</t>
  </si>
  <si>
    <t>10.1007/s11356-022-24847-z</t>
  </si>
  <si>
    <t>F2UA7</t>
  </si>
  <si>
    <t>WOS:000905909000003</t>
  </si>
  <si>
    <t>Padarian, J; Stockmann, U; Minasny, B; McBratney, AB</t>
  </si>
  <si>
    <t>Padarian, J.; Stockmann, U.; Minasny, B.; McBratney, A. B.</t>
  </si>
  <si>
    <t>Monitoring changes in global soil organic carbon stocks from space</t>
  </si>
  <si>
    <t>Digital soil mapping; Remote sensing; Landcover tracking</t>
  </si>
  <si>
    <t>LAND-USE CHANGE; CONTINUOUS CULTIVATION; PHYSICAL-PROPERTIES; NATIVE FORESTS; CLIMATE-CHANGE; BULK-DENSITY; MATTER; SEQUESTRATION; COVER; GLOBALSOILMAP</t>
  </si>
  <si>
    <t>Soils are under threat globally, with declining soil productivity and soil health in many places. As a key indicator of soil functioning, soil organic carbon (SOC) is crucial for ensuring food, soil, water and energy security, together with biodiversity protection. While there is a global effort to map SOC stock and status, SOC is a dynamic soil property and can change rapidly as a function of land management and land use. Here, we introduce a semi-mechanistic model to monitor SOC stocks at a global scale, underpinned by one of the largest worldwide soil database to date. Our model generates a SOC stock baseline for the year 2001, which is then propagated through time by keeping track of annual landcover changes obtained from remote sensing products with loss and gain dynamics dependent on temperature and precipitation, which finally define the magnitude, rate and direction of the SOC changes. We estimated a global SOC stock in the top 30 cm of around 793 Pg with annual losses due to landcover change of 1.9 Pg SOC yr-1 from 2001 to 2020, 20% larger than the annual production-based emissions of the United States in 2018. The biggest losses were found in the tropic and sub-tropical regions, accounting for almost 50% of the total global loss. This is a considerable contribution to greenhouse gas emissions but it also has a direct impact on agricultural production with more than 16 million hectares yr-1 falling below critical SOC limits. The proposed modelling framework is flexible, allowing it to be updated as more remote sensing and soil data becomes available, offering a first-of-its-kind global spatio-temporal SOC stock assessment and monitoring system.</t>
  </si>
  <si>
    <t>[Padarian, J.; Stockmann, U.; Minasny, B.; McBratney, A. B.] Univ Sydney, Sydney Inst Agr, Sydney, NSW, Australia; [Padarian, J.; Stockmann, U.; Minasny, B.; McBratney, A. B.] Univ Sydney, Sch Life &amp; Environm Sci, Sydney, NSW, Australia; [Stockmann, U.] CSIRO Agr &amp; Food, Black Mt Sci &amp; Innovat Pk, Canberra, ACT 2601, Australia</t>
  </si>
  <si>
    <t>University of Sydney; University of Sydney; Commonwealth Scientific &amp; Industrial Research Organisation (CSIRO); CSIRO Agriculture &amp; Food</t>
  </si>
  <si>
    <t>Padarian, J (corresponding author), Univ Sydney, Sydney Inst Agr, Sydney, NSW, Australia.</t>
  </si>
  <si>
    <t>jose.padarian@sydney.edu.au; uta.stockmann@csiro.au; budiman.minasny@sydney.edu.au; alex.mcbratney@sydney.edu.au</t>
  </si>
  <si>
    <t>Padarian, José/AAZ-4340-2020; McBratney, Alex/C-2199-2011; Minasny, Budiman/B-4744-2011; Stockmann, Uta/AAY-2859-2020</t>
  </si>
  <si>
    <t>Minasny, Budiman/0000-0002-1182-2371; Padarian, José/0000-0003-2250-5299; Stockmann, Uta/0000-0003-2857-3743</t>
  </si>
  <si>
    <t>ARC Discovery Project, Australia; [DP200102542]; Australian Research Council [DP200102542] Funding Source: Australian Research Council</t>
  </si>
  <si>
    <t>ARC Discovery Project, Australia(Australian Research Council); ; Australian Research Council(Australian Research Council)</t>
  </si>
  <si>
    <t>The authors acknowledge the University of Sydney HPC service at The University of Sydney for providing HPC resources that have contributed to the research results reported within this paper. This study is funded by ARC Discovery Project, Australia DP200102542 Forecastimg soil conditions.</t>
  </si>
  <si>
    <t>10.1016/j.rse.2022.113260</t>
  </si>
  <si>
    <t>4Z8SJ</t>
  </si>
  <si>
    <t>WOS:000862470800002</t>
  </si>
  <si>
    <t>Zhu, XM; Mao, LJ; Chen, BL</t>
  </si>
  <si>
    <t>Zhu, Xiaomin; Mao, Lijuan; Chen, Baoliang</t>
  </si>
  <si>
    <t>Driving forces linking microbial community structure and functions to enhanced carbon stability in biochar-amended soil</t>
  </si>
  <si>
    <t>Biochar stability; Priming effect; Microbial community structure; Metabolic function; Stable C isotope</t>
  </si>
  <si>
    <t>PYROGENIC ORGANIC-MATTER; BLACK CARBON; AGRICULTURAL SOIL; MINERALIZATION; ADDITIONS; DECOMPOSITION; MECHANISMS; DIVERSITY; NITROGEN; FIXATION</t>
  </si>
  <si>
    <t>Biochar induces various priming effects on native soil organic carbon (nSOC), whereas the underlying mechanisms linking these to soil microbial community structure and functions remain unclear. To investigate soil microbial community structure and functions associated with priming effects, rice straw (RS) and the derived biochar samples (RS400 and RS700, pyrolyzed at 400 degrees C and 700 degrees C, respectively) were applied to a sandy loam soil for a 33- and 200-day incubation. Using stable C isotopic ratios, CO2-C emissions from biochar/feedstock and nSOC were quantitatively identified and indicated an enhanced C stability of RS700 over that of RS and RS400. A decreased soil pH and increased dissolved organic carbon and NH4 (+)-N concentrations with the RS amendment are driving forces that lead to an enhanced soil microbial activity and a higher abundance of heterotrophic microbes, especially Proteobacteria and Acidobacteria, which contribute to high CO2 emissions. The enhanced C stability of biochar and nSOC over that of pristine feedstock was primarily attributable to a stable and high soil pH, which minimized the disturbance of soil heterotrophic microbial community structure and functions, favoring the growth of Actinobacteria, Proteobacteria, and Ascomycota. The biochar amendment in soil enriched the metabolic pathways of biosynthesis and the decomposition of secondary metabolites, polycyclic aromatic hydrocarbons (PAHs) degradation, and electron transfer carriers.</t>
  </si>
  <si>
    <t>[Zhu, Xiaomin; Chen, Baoliang] Zhejiang Univ, Dept Environm Sci, Hangzhou 310058, Zhejiang, Peoples R China; [Zhu, Xiaomin; Chen, Baoliang] Zhejiang Prov Key Lab Organ Pollut Proc &amp; Control, Hangzhou 310058, Zhejiang, Peoples R China; [Mao, Lijuan] Zhejiang Univ, Anal Ctr Agrobiol &amp; Environm Sci, Hangzhou 310058, Zhejiang, Peoples R China</t>
  </si>
  <si>
    <t>Chen, BL (corresponding author), Zhejiang Univ, Dept Environm Sci, Hangzhou 310058, Zhejiang, Peoples R China.</t>
  </si>
  <si>
    <t>blchen@zju.edu.cn</t>
  </si>
  <si>
    <t>; Chen, Baoliang/A-9275-2015</t>
  </si>
  <si>
    <t>Zhu, Xiaomin/0000-0003-4155-2437;</t>
  </si>
  <si>
    <t>National Natural Science Foundation of China [21607125, 21621005]; National Key Technology Research and Development Program of China [2018YFC1800705]; Postdoctoral Science Foundation of China [2018T110595, 2018M632472, 2015M581943]</t>
  </si>
  <si>
    <t>National Natural Science Foundation of China(National Natural Science Foundation of China (NSFC)); National Key Technology Research and Development Program of China(National Key Technology R&amp;D ProgramNational High Technology Research and Development Program of China); Postdoctoral Science Foundation of China(China Postdoctoral Science Foundation)</t>
  </si>
  <si>
    <t>This work is funded by National Natural Science Foundation of China (Grant 21607125 and 21621005), the National Key Technology Research and Development Program of China (Grant 2018YFC1800705), and the Postdoctoral Science Foundation of China (Grant 2018T110595, 2018M632472, and 2015M581943).</t>
  </si>
  <si>
    <t>10.1016/j.envint.2019.105211</t>
  </si>
  <si>
    <t>JQ4GU</t>
  </si>
  <si>
    <t>WOS:000498906200020</t>
  </si>
  <si>
    <t>Hernandes, TAD; Bordonal, RD; Duft, DG; Leal, MRLV</t>
  </si>
  <si>
    <t>Dourado Hernandes, Thayse Aparecida; Bordonal, Ricardo de Oliveira; Duft, Daniel Garbellini; Lima Verde Leal, Manoel Regis</t>
  </si>
  <si>
    <t>Implications of regional agricultural land use dynamics and deforestation associated with sugarcane expansion for soil carbon stocks in Brazil</t>
  </si>
  <si>
    <t>Sugarcane ethanol; Forest act; Land use change; Watershed; Sugarcane Agroecological Zoning</t>
  </si>
  <si>
    <t>SACCHARUM-OFFICINARUM PLANTATION; GREENHOUSE-GAS EMISSIONS; LIFE-CYCLE ASSESSMENT; WATER-RESOURCES; SAO-PAULO; POTENTIAL IMPACTS; ORGANIC-CARBON; NO-TILLAGE; ETHANOL; BIOFUELS</t>
  </si>
  <si>
    <t>The use of bioenergy to replace fossil energy has grown in recent years, raising concerns about the carbon (C) neutrality of bioenergy and the benefits of its use to enhance energy security and mitigate climate change. In Brazil, sugarcane ethanol is a feasible option and can result in negative greenhouse gas (GHG) emissions through replacement of fossil fuels. This study evaluated the direct deforestation triggered by sugarcane expansion in Mata Atlantica and Cerrado biomes considering the periods of intense expansion from 2002 to 2008 and the stagnation of sugarcane production from 2009 to 2016. The expansion and associated land use changes (LUC) were evaluated and quantified to address direct effects on deforestation, soil C stocks, and associated GHG emissions/removals in two Brazilian watersheds. Most of deforestation in both biomes occurred before 2002. Two percent of the sugarcane expansion caused direct deforestation between 2002 and 2008. From 2009 to 2016, 3% of the new sugarcane areas were located outside the Sugarcane Agroecological Zoning program. Regarding the assessed basins, almost six times more deforestation was observed in Goias basin (similar to 15,000 ha) than in Sao Paulo basin (similar to 2500 ha). Deforestation in Goias basin was strongly linked to expansion of annual crops, while in Sao Paulo basin reforestation has occurred. Lastly, sugarcane expansion had negligible impacts on the overall soil C budget for both basins. This assessment is an important step forward for incorporating LUC-induced emissions to develop and evaluate GHG mitigation strategies towards greater sustainability of sugarcane production in Brazil.</t>
  </si>
  <si>
    <t>[Dourado Hernandes, Thayse Aparecida; Bordonal, Ricardo de Oliveira; Duft, Daniel Garbellini; Lima Verde Leal, Manoel Regis] Brazilian Ctr Res Energy &amp; Mat, Brazilian Biorenewables Natl Lab, LNBR CNPEM, Rua Giuseppe Maximo Scolfaro 10000, BR-13083100 Campinas, SP, Brazil</t>
  </si>
  <si>
    <t>Hernandes, TAD; Bordonal, RD (corresponding author), Brazilian Ctr Res Energy &amp; Mat, Brazilian Biorenewables Natl Lab, LNBR CNPEM, Rua Giuseppe Maximo Scolfaro 10000, BR-13083100 Campinas, SP, Brazil.</t>
  </si>
  <si>
    <t>thayse.hernandes@lnbr.cnpem.br; ricardo.bordonal@lnbr.cnpem.br</t>
  </si>
  <si>
    <t>Hernandes, Thayse/B-8093-2015; Dourado Hernandes, Thayse Aparecida/B-8093-2015; de Oliveira Bordonal, Ricardo/O-6228-2015; Duft, Daniel/B-8027-2014</t>
  </si>
  <si>
    <t>Dourado Hernandes, Thayse Aparecida/0000-0003-3569-0999; de Oliveira Bordonal, Ricardo/0000-0001-5957-2909;</t>
  </si>
  <si>
    <t>Sugarcane Renewable Electricity Project, SUCRE [BRA/10/G31]; Global Environment Facility (GEF); Sao Paulo Research Foundation-FAPESP [2017/23978-7]</t>
  </si>
  <si>
    <t>Sugarcane Renewable Electricity Project, SUCRE; Global Environment Facility (GEF); Sao Paulo Research Foundation-FAPESP(Fundacao de Amparo a Pesquisa do Estado de Sao Paulo (FAPESP))</t>
  </si>
  <si>
    <t>This study was supported by the Sugarcane Renewable Electricity Project, SUCRE (grant number BRA/10/G31). This project was funded by the Global Environment Facility (GEF) and managed by the United Nations Development Programme (UNDP). ROB thanks the Sao Paulo Research Foundation-FAPESP for granting the research grant (#2017/23978-7).</t>
  </si>
  <si>
    <t>10.1007/s10113-022-01907-1</t>
  </si>
  <si>
    <t>ZY8CT</t>
  </si>
  <si>
    <t>WOS:000772809700001</t>
  </si>
  <si>
    <t>Yang, ZY; Cheng, QY; Liao, Q; Fu, H; Zhang, JY; Zhu, YM; Lv, TF; Sun, YJ; Ma, J; Li, N</t>
  </si>
  <si>
    <t>Yang, Zhiyuan; Cheng, Qingyue; Liao, Qin; Fu, Hao; Zhang, Jinyue; Zhu, Yuemei; Lv, Tengfei; Sun, Yongjian; Ma, Jun; Li, Na</t>
  </si>
  <si>
    <t>Can reduced-input direct seeding improve resource use efficiencies and profitability of hybrid rice in China?</t>
  </si>
  <si>
    <t>Energy use efficiency; Greenhouse gas; B-C ratio; Direct seeding rice; Clean production technology</t>
  </si>
  <si>
    <t>GREENHOUSE-GAS EMISSIONS; NITROUS-OXIDE EMISSIONS; DIRECT-SEEDED RICE; OUTPUT ENERGY ANALYSIS; ORGANIC-CARBON; STRAW INCORPORATION; ECONOMIC-ANALYSIS; WATER MANAGEMENT; FERTILIZER APPLICATION; CROPPING SYSTEMS</t>
  </si>
  <si>
    <t>The mechanization of rice production in China has been accompanied by a rapid reduction in agricultural labor forces and increase in machinery purchase subsidies; however, the comprehensive performance of several major mechanized production modes regarding output, environmental protection, and profit remains uncertain to the Chinese government and farmers alike. Here, a five-year (2015-2019) field experiment was conducted to analyze the performance of farmers' mechanized seedling transplanting (FMST), farmers' mechanized direct seeding (FMDS), and reduced input direct seeding (RIDS) concerning grain yield, energy use, greenhouse gas emissions, and economic benefits. RIDS used an unmanned aerial vehicle for sowing, fertilizing, and spraying, while adopting no-tillage, bed-furrow irrigation technology. The quantity and stability of RIDS-produced grain were similar to those of FMST and higher than those of FMDS. Furthermore, RIDS yields required significantly less machinery, human labor, fuel, and water, with 34.72% and 24.03% decreases in total energy input compared to that for FMST and FMDS, corresponding to 1.45 and 1.34-fold increases in energy productivity, respectively. The resulting CO2-eq emissions from agricultural inputs for RIDS were 71.26% and 71.32% of those for FMST and FMDS, while CH4 emissions were 32.60% and 29.24% of those for FMST and FMDS, respectively. Despite the high N2O emissions and decomposing trend of soil organic carbon in RIDS, the net global warming potential still decreased by 48.84-58.36%,and the carbon sustainability index and carbon efficiency ratio increased by 87.67-142.14% and 105.32-188.22%, respectively, compared with those of FMST and FMDS. RIDS had the lowest cost, its net return was USD 298.81 ha(-1) higher than that of FMDS (similar to FMST), and its benefit-cost ratio was 10-36.19% higher than that of FMST and FMDS. Generally, RIDS offered a higher-yielding, cleaner, more sustainable rice production technology for meeting the needs of the Chinese government and farmers.</t>
  </si>
  <si>
    <t>[Yang, Zhiyuan; Cheng, Qingyue; Liao, Qin; Fu, Hao; Zhang, Jinyue; Zhu, Yuemei; Sun, Yongjian; Ma, Jun] Sichuan Agr Univ, Rice Res Inst, Chengdu 611130, Sichuan, Peoples R China; [Yang, Zhiyuan; Sun, Yongjian; Ma, Jun] Crop Ecophysiol &amp; Cultivat Key Lab Sichuan Prov, Chengdu 611130, Sichuan, Peoples R China; [Lv, Tengfei] Xichang Univ, Coll Agr Sci, Xichang 615000, Sichuan, Peoples R China; [Li, Na] Coll Anim Sci &amp; Technol, Chengdu 611130, Sichuan, Peoples R China</t>
  </si>
  <si>
    <t>Li, N (corresponding author), Coll Anim Sci &amp; Technol, Chengdu 611130, Sichuan, Peoples R China.</t>
  </si>
  <si>
    <t>lina1409bs@163.com</t>
  </si>
  <si>
    <t>Zhang, jinyue/KWU-2043-2024; Li, Na/OGQ-8410-2025; Fu, Hao/HSF-2653-2023</t>
  </si>
  <si>
    <t>Fu, Hao/0009-0004-1833-6255</t>
  </si>
  <si>
    <t>Applied Basic Research Program of Sichuan Province [2021YJ0281]; National Key Research and Development Program of China [2017YFD0301701, 2017YFD0301706]; Scientific Research Fund of the Sichuan Provincial Education Department [18ZA0390]</t>
  </si>
  <si>
    <t>Applied Basic Research Program of Sichuan Province; National Key Research and Development Program of China(National Key Research &amp; Development Program of China); Scientific Research Fund of the Sichuan Provincial Education Department</t>
  </si>
  <si>
    <t>This study was supported by the Applied Basic Research Program of Sichuan Province (2021YJ0281) , the National Key Research and Development Program of China (2017YFD0301701; 2017YFD0301706) , and the Scientific Research Fund of the Sichuan Provincial Education Department (18ZA0390) .</t>
  </si>
  <si>
    <t>10.1016/j.scitotenv.2022.155186</t>
  </si>
  <si>
    <t>1Y4NV</t>
  </si>
  <si>
    <t>WOS:000808120000002</t>
  </si>
  <si>
    <t>Hamad, AAA; Ni, LX; Shaghaleh, H; Elsadek, E; Hamoud, YA</t>
  </si>
  <si>
    <t>Hamad, Amar Ali Adam; Ni, Lixiao; Shaghaleh, Hiba; Elsadek, Elsayed; Hamoud, Yousef Alhaj</t>
  </si>
  <si>
    <t>Effect of Carbon Content in Wheat Straw Biochar on N2O and CO2 Emissions and Pakchoi Productivity Under Different Soil Moisture Conditions</t>
  </si>
  <si>
    <t>N2O and CO2 emissions; pakchoi cabbage; subsurface drip irrigation; irrigation depths</t>
  </si>
  <si>
    <t>USE EFFICIENCY; WATER REGIME; BLACK CARBON; NITROGEN; YIELD; FIELD; TEMPERATURE; FERTILIZER</t>
  </si>
  <si>
    <t>Agricultural soils are a primary source of greenhouse gas (GHG) emissions. Biochar is commonly used as a soil amendment to prevent climate change by reducing GHG production, increasing soil carbon storage, improving soil moisture retention, and enhancing crop productivity. However, the impact of biochar's carbon content under subsurface drip irrigation (SDI) has not been well studied. Here, we investigated the effect of different carbon (C) contents in wheat biochar under different SDI depths on soil nitrous oxide (N2O), carbon dioxide (CO2), soil moisture distribution, and Pakchoi productivity. A pot experiment was conducted using three SDI depths, emitters buried at 0.05, 0.10, and 0.15 m below the soil's surface, and three levels of C content named zero biochar (CK), 50% C (low (L)), and 95% C (high (H)) in greenhouse cultivation. The findings showed biochar significantly decreased N2O and CO2 emissions. Compared to CK, the L and H treatments decreased N2O by (18.20, 28.14%), (16.65, 17.51%), and 11.05, 18.65%) under SDI5, SDI10, and SDI15, respectively. Similarly, the L and H treatments decreased CO2 by (8.05, 31.46%), (6.96, 28.88%), and (2.97, 7.89%) under SDI5, SDI10, and SDI15, respectively. Compared to CK, L and H increased soil moisture content. All plant growth parameters and yield traits were enhanced under SDI5. In summary, biochar addition significantly decreased soil N2O and CO2 emissions compared to CK, and increased growth performance and yield, and maintained soil moisture content. The H treatment significantly reduced N2O and CO2 emissions, increased plant growth and yield, and maintained soil moisture content compared to the L treatment. Soil moisture was reduced vertically and horizontally with increased radial distance from the emitter.</t>
  </si>
  <si>
    <t>[Hamad, Amar Ali Adam; Ni, Lixiao; Shaghaleh, Hiba] Hohai Univ, Coll Environm, Nanjing 210098, Peoples R China; [Elsadek, Elsayed; Hamoud, Yousef Alhaj] Hohai Univ, Coll Hydrol &amp; Water Resources, Nanjing 210098, Peoples R China; [Elsadek, Elsayed] Damietta Univ, Coll Agr, Agr &amp; Biosyst Engn Dept, Dumyat 34517, Egypt</t>
  </si>
  <si>
    <t>Hohai University; Hohai University; Egyptian Knowledge Bank (EKB); Damietta University</t>
  </si>
  <si>
    <t>Hamoud, YA (corresponding author), Hohai Univ, Coll Hydrol &amp; Water Resources, Nanjing 210098, Peoples R China.</t>
  </si>
  <si>
    <t>yousef-hamoud11@hhu.edu.cn</t>
  </si>
  <si>
    <t>Elsadek, Elsayed/HTL-3859-2023; Shaghaleh, Hiba/R-5181-2019; Hamad, Amar/AGZ-6432-2022; Hamad, Amar/GXH-3451-2022; Alhaj Hamoud, Yousef/A-7360-2018</t>
  </si>
  <si>
    <t>Elsadek, Elsayed/0000-0002-8402-467X; Shaghaleh, Hiba/0000-0002-9513-1729; Hamad, Amar/0000-0001-7990-048X; Alhaj Hamoud, Yousef/0000-0003-0945-9224</t>
  </si>
  <si>
    <t>China Post-Doctoral Science Foundation Fund; Fundamental Research Funds for the Central Universities [B210202118]; Jiangsu Water Conservancy Science and Technology Project [2022063]; Water Science and Technology Project of Jiangsu Province [2022063]</t>
  </si>
  <si>
    <t>China Post-Doctoral Science Foundation Fund; Fundamental Research Funds for the Central Universities(Fundamental Research Funds for the Central Universities); Jiangsu Water Conservancy Science and Technology Project; Water Science and Technology Project of Jiangsu Province</t>
  </si>
  <si>
    <t>This research was funded by the China Post-Doctoral Science Foundation Fund, the Fundamental Research Funds for the Central Universities (B210202118), Jiangsu Water Conservancy Science and Technology Project (2022063), and Water Science and Technology Project of Jiangsu Province (2022063).</t>
  </si>
  <si>
    <t>10.3390/su15065100</t>
  </si>
  <si>
    <t>C1PG6</t>
  </si>
  <si>
    <t>WOS:000959715700001</t>
  </si>
  <si>
    <t>Shi, Y; Li, ZH; Lin, L; Chen, HX; Feng, LJ; Lu, WC</t>
  </si>
  <si>
    <t>Shi, Yi; Li, Zenghui; Lin, Li; Chen, Huangxin; Feng, Linjie; Lu, Wencong</t>
  </si>
  <si>
    <t>From awareness to Action: How climate attention drives the low-carbon transition in Chinese agriculture</t>
  </si>
  <si>
    <t>Climate attention; Agricultural low-carbon transition; Agricultural eco-efficiency; Disruptive agricultural innovation; Carbon trading Market</t>
  </si>
  <si>
    <t>SLACKS-BASED MEASURE; CONSUMERS PERCEPTIONS; PUBLIC ATTENTION; SUSTAINABILITY; ADAPTATION; EFFICIENCY</t>
  </si>
  <si>
    <t>The agricultural low-carbon transition is essential to achieving China's dual carbon goals. Utilizing provincial panel data (2001-2021), this study analyzes the influence of climate attention on agricultural low-carbon transition and investigates underlying mechanisms. Additionally, leveraging the establishment of the carbon trading market-a key indicator of societal climate attention-as a quasi-natural experiment, this study applies DID and PSM-DID models to assess its role in promoting the agricultural low-carbon transition. The findings reveal that increasing climate attention significantly enhances the agricultural low-carbon transition, with more pronounced effects in the western region and major grain-producing areas. These results remain robust across multiple robustness checks. Mechanism analysis from the perspectives of agricultural enterprises, consumers, and governments indicates that disruptive and breakthrough technological innovations, increasing consumer demand for eco-agricultural products, and environmental regulation policies are key drivers of the agricultural lowcarbon transition. Furthermore, using the carbon trading market as an exogenous shock, this study confirms its significant positive impact on the agricultural low-carbon transition. Therefore, increasing climate attention prompts agricultural enterprises, consumers, and governments to adopt proactive measures, thereby accelerating the agricultural low-carbon transition.</t>
  </si>
  <si>
    <t>[Shi, Yi; Li, Zenghui; Lin, Li; Lu, Wencong] Zhejiang Univ, China Acad Rural Dev, Sch Publ Affairs, Hangzhou 310058, Peoples R China; [Chen, Huangxin; Feng, Linjie] Macao Polytech Univ, Fac Humanities &amp; Social Sci, Macau 999078, Peoples R China</t>
  </si>
  <si>
    <t>Zhejiang University; Macao Polytechnic University</t>
  </si>
  <si>
    <t>Lu, WC (corresponding author), Zhejiang Univ, China Acad Rural Dev, Sch Publ Affairs, Hangzhou 310058, Peoples R China.;Feng, LJ (corresponding author), Macao Polytech Univ, Fac Humanities &amp; Social Sci, Macau 999078, Peoples R China.</t>
  </si>
  <si>
    <t>shiyi88@zju.edu.cn; lizenghui98@zju.edu.cn; linli1122@zju.edu.cn; p2317120@mpu.edu.mo; p2413589@mpu.edu.mo; wenclu@zju.edu.cn</t>
  </si>
  <si>
    <t>; Feng, linjie/OQL-2406-2025</t>
  </si>
  <si>
    <t>Feng, Linjie/0000-0001-5562-3633; Lin, Li/0009-0003-0900-5537;</t>
  </si>
  <si>
    <t>10.1016/j.jenvman.2025.126700</t>
  </si>
  <si>
    <t>6FR6G</t>
  </si>
  <si>
    <t>WOS:001552250400001</t>
  </si>
  <si>
    <t>Liu, XG; Shen, HY; Gu, ZJ; Cheng, GF; Wang, J; Zhu, H</t>
  </si>
  <si>
    <t>Liu, Xing-Guo; Shen, Hong-ye; Gu, Zhao-jun; Cheng, Guofeng; Wang, Jie; Zhu, Hao</t>
  </si>
  <si>
    <t>The environmental impact and development direction of grass carp, Ctenopharyngodon idella, aquaculture</t>
  </si>
  <si>
    <t>JOURNAL OF THE WORLD AQUACULTURE SOCIETY</t>
  </si>
  <si>
    <t>environmental impact; grass carp; life cycle assessment; low carbon green aquaculture</t>
  </si>
  <si>
    <t>LIFE-CYCLE ASSESSMENT; SYSTEM; SUSTAINABILITY; OPPORTUNITIES; PERFORMANCE; VIETNAM; LCA</t>
  </si>
  <si>
    <t>Grass carp, Ctenopharyngodon idella, is the largest freshwater aquaculture fish species worldwide. However, its environmental impacts are increasingly controversial. In this paper, we considered the production of a 1500 g commercial grass carp as an example, analyzed through a life cycle assessment. The results showed that the indicators of global warming potential (GWP), acidification potential, eutrophication potential, freshwater eco-toxicity potential (FAETP), land competition (LC), and fossil energy consumption of producing 1 kg of grass carp were equivalent to 5.7267 kg of CO2, 0.0648 kg of 1,4-DCB0, 0.0010 kg of P, 0.0276 kg of SO2, 8.2951 m(2), 0.3491 kg of oil, respectively, and were mainly from feed processing and water pollution. Compared with pig, beef, and sheep production, grass carp production has lower environmental impacts, but in terms of GWP, FAETP, and LC were significantly higher than chicken production, especially water pollution and discharge, which is an important consideration. This study clarifies the direction of grass carp production and key focus areas include producing low carbon and nitrogen emission feed, application of ecological engineering aquaculture system, intelligent mechanization technology and equipment.</t>
  </si>
  <si>
    <t>[Liu, Xing-Guo; Shen, Hong-ye; Gu, Zhao-jun; Cheng, Guofeng; Wang, Jie; Zhu, Hao] Chinese Acad Fisheries Sci, Fishery Machinery &amp; Instrument Res Inst, Shanghai 200092, Peoples R China; [Liu, Xing-Guo; Gu, Zhao-jun; Cheng, Guofeng; Wang, Jie; Zhu, Hao] Minist Agr &amp; Rural Affairs, Key Lab Aquaculture Facil Engn, Shanghai, Peoples R China</t>
  </si>
  <si>
    <t>Chinese Academy of Fishery Sciences; Fishery Machinery &amp; Instrument Research Institute, CAFS</t>
  </si>
  <si>
    <t>Liu, XG (corresponding author), Chinese Acad Fisheries Sci, Fishery Machinery &amp; Instrument Res Inst, Shanghai 200092, Peoples R China.</t>
  </si>
  <si>
    <t>liuxg1223@163.com</t>
  </si>
  <si>
    <t>Modern agricultural industrial technology system in China [CARS-46]; National Key R &amp; D plan of China [2019YFD0900300]</t>
  </si>
  <si>
    <t>Modern agricultural industrial technology system in China; National Key R &amp; D plan of China</t>
  </si>
  <si>
    <t>Modern Agricultural Industrial Technology System in China, Grant/Award Number: CARS-46; National Key R &amp; D Plan of China, Grant/Award Number: 2019YFD0900300</t>
  </si>
  <si>
    <t>0893-8849</t>
  </si>
  <si>
    <t>1749-7345</t>
  </si>
  <si>
    <t>J WORLD AQUACULT SOC</t>
  </si>
  <si>
    <t>J. World Aquacult. Soc.</t>
  </si>
  <si>
    <t>10.1111/jwas.12990</t>
  </si>
  <si>
    <t>X4GP8</t>
  </si>
  <si>
    <t>WOS:001000162500001</t>
  </si>
  <si>
    <t>Wang, Y; Liu, JY; Fan, XY; Ju, YJ; Wei, ZK; Tang, XY; Wang, YG; Xiao, ZF; Xie, YJ</t>
  </si>
  <si>
    <t>Wang, Ying; Liu, Jiayu; Fan, Xinyan; Ju, Yunjie; Wei, Zhenke; Tang, Xiangyu; Wang, Yonggui; Xiao, Zefang; Xie, Yanjun</t>
  </si>
  <si>
    <t>Enhanced biological photosynthetic efficiency using bio-based dual-emissive sandwich structure films via wrapping of carbon dots for precise spectral conversion</t>
  </si>
  <si>
    <t>COMPOSITES SCIENCE AND TECHNOLOGY</t>
  </si>
  <si>
    <t>Carbon dots; Photosynthetic efficiency; Spectral conversion; Bio-based</t>
  </si>
  <si>
    <t>LUMINESCENCE; CELLULOSE; AGENTS</t>
  </si>
  <si>
    <t>Improving photosynthesis and light capture using bio-based light-conversion films increases crop yield and paves a sustainable way to meet the growing global food demand. In this study, red-emissive carbon dots (RCDs) and blue-emissive CDs (BCDs) were trapped in biopolymers to develop a novel dual-excitation dual-emission lightconversion film (BRLCFs) with sandwich structure for efficient solar spectral conversion and promote photosynthetic efficiency of greenhouse plants. The middle layer of the film comprises polyvinyl alcohol (PVA), RCDs, and ascorbic acid (AA), which convert ultraviolet and green light into red light. The strong hydrogen bonding between the RCDs and PVA, including the antioxidant properties of AA, ensured excellent stability of the red light emission of the film. The edge layers, which composed of cellulose acetate and BCDs, converted ultraviolet light into blue light. This composition allowed the film to maintain exceptional photostability and morphological stability, even in high-humidity environments. In agricultural cultivation, BRLCFs significantly enhanced lettuce growth parameters, with a notable 21.89 % increase in fresh weight and 19.54 % increase in dry weight, highlighting the potential of BRLCFs to boost crop yield in controlled environments.</t>
  </si>
  <si>
    <t>[Wang, Ying; Liu, Jiayu; Fan, Xinyan; Ju, Yunjie; Wei, Zhenke; Tang, Xiangyu; Wang, Yonggui; Xiao, Zefang; Xie, Yanjun] Northeast Forestry Univ, Coll Mat Sci &amp; Engn, Key Lab Biobased Mat Sci &amp; Technol, Minist Educ, Harbin 150000, Peoples R China</t>
  </si>
  <si>
    <t>Wang, YG; Xie, YJ (corresponding author), Northeast Forestry Univ, Coll Mat Sci &amp; Engn, Key Lab Biobased Mat Sci &amp; Technol, Minist Educ, Harbin 150000, Peoples R China.</t>
  </si>
  <si>
    <t>wangyg@nefu.edu.cn; yxie@nefu.edu.cn</t>
  </si>
  <si>
    <t>; Liu, Jiayu/JCO-5073-2023; xinyan, fan/K-2901-2017</t>
  </si>
  <si>
    <t>Wang, Yonggui/0000-0002-5135-1367; Wang, Ying/0009-0006-1748-9545;</t>
  </si>
  <si>
    <t>National Natural Science Foundation of China [31890774, 31890770]</t>
  </si>
  <si>
    <t>This work was supported by the National Natural Science Foundation of China (31890774 and 31890770) .</t>
  </si>
  <si>
    <t>0266-3538</t>
  </si>
  <si>
    <t>1879-1050</t>
  </si>
  <si>
    <t>COMPOS SCI TECHNOL</t>
  </si>
  <si>
    <t>Compos. Sci. Technol.</t>
  </si>
  <si>
    <t>APR 12</t>
  </si>
  <si>
    <t>10.1016/j.compscitech.2025.111097</t>
  </si>
  <si>
    <t>Materials Science, Composites</t>
  </si>
  <si>
    <t>X5D4H</t>
  </si>
  <si>
    <t>WOS:001425551900001</t>
  </si>
  <si>
    <t>Zhu, L; Yan, SC; Geng, LL; Liang, XM; Xue, YJ</t>
  </si>
  <si>
    <t>Zhu, Lei; Yan, Shaocong; Geng, Lili; Liang, Xiaomeng; Xue, Yongji</t>
  </si>
  <si>
    <t>How opportunity and cognition improve family farms' low-carbon production behavior: Evidence from China</t>
  </si>
  <si>
    <t>Family farms; Cognitive-affective-conative model; Motivation-opportunity-ability model; Low-carbon production cognition; Low-carbon production opportunity; Low-carbon production behavior</t>
  </si>
  <si>
    <t>ADOPTION; MOTIVATIONS; MODEL</t>
  </si>
  <si>
    <t>CONTEXT: Climate warming is widely regarded as a crucial driver of numerous global challenges, posing a significant threat to human survival and development. Among the various factors contributing to climate warming, the greenhouse gas emissions from high-carbon agricultural practices-such as the excessive use of fertilizers, pesticides, and plastic films-are particularly concerning. Therefore, it is essential to study the lowcarbon production decision-making behaviors of agricultural producers to mitigate the negative impacts of agriculture on climate change. OBJECTIVE: To investigate whether the implementation of low-carbon production behaviors in family farms is driven by individual emotional willingness or by external environmental opportunities, this study constructs a decision-making model of low-carbon production behaviors in family farms to analyze the factors that directly or indirectly drive the implementation of low-carbon production behaviors, and then more accurately describes and explains the behavioral choices of agricultural producers. METHODS: This study links the Motivation-Opportunity-Ability model with the Cognitive-Affective-Conative model to form a comprehensive theoretical framework for decision-making on low-carbon production behavior in family farms. Meanwhile, this study empirically tested the hypothesized model using the partial least squares structural equation modeling analysis technique. RESULTS AND CONCLUSIONS: Low-carbon production opportunity and has a direct and positive effect on lowcarbon production behavior. Low-carbon production cognition also affects low-carbon production behavior, but this effect is positive and indirect. Low-carbon production ability, low-carbon production motivation, low-carbon production affection, and low-carbon production intention play a mediating role in all hypotheses. Therefore, this study concludes that low-carbon production opportunity rather than cognition is the crucial element that directly triggers the behavioral response to low-carbon production in family farms. However, the internalization process of low-carbon production cognition still plays an important role in low-carbon production decisionmaking on family farms. SIGNIFICANCE: Based on the dual identity attributes of economic man and social man in family farms, this study not only expands the theoretical framework for analyzing low-carbon production behaviors in agriculture but also emphasizes the positive impacts of the individual's emotional will and external environmental opportunities on the implementation of low-carbon production in family farms.</t>
  </si>
  <si>
    <t>[Zhu, Lei; Yan, Shaocong; Geng, Lili; Liang, Xiaomeng; Xue, Yongji] Beijing Forestry Univ, Sch Econ &amp; Management, 35 Qinghua East Rd, Beijing 100083, Peoples R China</t>
  </si>
  <si>
    <t>Beijing Forestry University</t>
  </si>
  <si>
    <t>Xue, YJ (corresponding author), Beijing Forestry Univ, Sch Econ &amp; Management, 35 Qinghua East Rd, Beijing 100083, Peoples R China.</t>
  </si>
  <si>
    <t>zhulei01@bjfu.edu.cn; dacong0225@bjfu.edu.cn; lily0506@163.com; liangxm@bjfu.edu.cn; xyjbjfu@bjfu.edu.cn</t>
  </si>
  <si>
    <t>National Social Science Foundation of China [23FGLA002]</t>
  </si>
  <si>
    <t>This study was supported by the project of the National Social Science Foundation of China, Grant No. 23FGLA002. The authors are indebted to Paul Crosson and two anonymous reviewers for offering valuable suggestions on earlier drafts of this article. The authors also appreciate the people who patiently participated in the study.</t>
  </si>
  <si>
    <t>10.1016/j.agsy.2025.104296</t>
  </si>
  <si>
    <t>0AO5D</t>
  </si>
  <si>
    <t>WOS:001442789400001</t>
  </si>
  <si>
    <t>Lubbers, IM; Pulleman, MM; Van Groenigen, JW</t>
  </si>
  <si>
    <t>Lubbers, Ingrid M.; Pulleman, Mirjam M.; Van Groenigen, Jan Willem</t>
  </si>
  <si>
    <t>Can earthworms simultaneously enhance decomposition and stabilization of plant residue carbon?</t>
  </si>
  <si>
    <t>Lumbricus rubellus; Aporrectodea caliginosa; Maize residues; CO2 emission; Soil organic matter; Multi-year experiment</t>
  </si>
  <si>
    <t>SOIL ORGANIC-MATTER; NO-TILL; MICROAGGREGATE FORMATION; MEDIUM-TERM; SEQUESTRATION; MANAGEMENT; DYNAMICS; NITROGEN; LITTER; IMPACTS</t>
  </si>
  <si>
    <t>Earthworm activity can strongly influence soil structure and organic matter (OM) dynamics of agricultural soils. Several short-term studies (&lt;= 90 days) have shown that earthworms can increase incorporation of residue carbon (C) into soil aggregates, suggesting reduced decomposition in the longer term. In contrast, another body of short-term studies reported that earthworms can increase carbon dioxide (CO2) emission from soils, thus suggesting increased decomposition in the longer term instead. To solve this controversy, we measured the effect of the epigeic Lumbricus rubellus (Hoffmeister) and the endogeic Aporrectodea caliginosa (Savigny) on the soil C balance in a unique 750-day mesocosm experiment, where loess soil was surface-applied with maize (Zea mays L) residues every six months. Carbon inputs and outputs were strictly controlled: no soil C input through growing plants and no leaching of soil organic C. Flux measurements of CO2 were taken regularly and aggregate size distribution and total C and residue derived C in the aggregate fractions (using the natural delta C-13 signature of maize) were measured after 185, 565 and 750 days. Both earthworm species increased cumulative CO2 emissions by at least 25%, indicating a higher C loss compared to the no-earthworm control. Yet, both earthworm species also increased the amount of soil C associated with the macroaggregate fraction after 750 days. L rubellus increased the amount of residue-derived C in the macroaggregate fraction after 565 and after 750 days, whereas A. caliginosa increased residue-derived C in all the measured soil fractions after 750 days. Our results show that earthworms can simultaneously enhance CO2 emissions and C incorporation in aggregate fractions. However, over 750 days the presence of earthworms resulted in a lower total C content due to a higher overall OM decomposition rate. We therefore propose that under the most realistic incubation conditions so far (longer term and multiple residue applications), earthworms stimulate the mineralization of freshly added and older OM to a greater extent than that they stabilize residue-derived C inside biogenic aggregates. Future studies should focus on the balance between these processes in the presence of growing plants. (C) 2016 Elsevier Ltd. All rights reserved.</t>
  </si>
  <si>
    <t>[Lubbers, Ingrid M.; Pulleman, Mirjam M.; Van Groenigen, Jan Willem] Wageningen Univ, Dept Soil Qual, POB 47, NL-6700 AA Wageningen, Netherlands; [Pulleman, Mirjam M.] Ctr Int Agr Trop, Km 17 Recta Cali Palmira,Apartado Aereo 6713, Cali 763537, Colombia</t>
  </si>
  <si>
    <t>Wageningen University &amp; Research; Alliance; International Center for Tropical Agriculture - CIAT</t>
  </si>
  <si>
    <t>Lubbers, IM (corresponding author), Wageningen Univ, Dept Soil Qual, POB 47, NL-6700 AA Wageningen, Netherlands.</t>
  </si>
  <si>
    <t>Ingrid.Lubbers@wur.nl</t>
  </si>
  <si>
    <t>Van Groenigen, Jan Willem/H-3037-2012; Van Groenigen, Jan/H-3037-2012; Lubbers, Ingrid/H-7151-2016; Pulleman, Mirjam/C-1207-2014</t>
  </si>
  <si>
    <t>Van Groenigen, Jan Willem/0000-0001-9637-0601; Lubbers, Ingrid/0000-0002-2168-104X; Pulleman, Mirjam/0000-0001-9950-0176;</t>
  </si>
  <si>
    <t>Netherlands Organization for Scientific Research/Earth and Life Sciences (NWO-ALW)</t>
  </si>
  <si>
    <t>Netherlands Organization for Scientific Research/Earth and Life Sciences (NWO-ALW)(Netherlands Organization for Scientific Research (NWO))</t>
  </si>
  <si>
    <t>This study was supported by a personal VIDI grant from the Netherlands Organization for Scientific Research/Earth and Life Sciences (NWO-ALW) to Jan Willem van Groenigen. We are especially grateful to Lijbert Brussaard for commenting on a previous version of the manuscript. We also thank Eduard Hummelink, Graziella Marcolini, Paloma Leon, Dorien Kool, Marta Manrubia Freixa, Natalie Oram, Steven Crittenden, Lucas Nebert, Birthe Paul, Mart Ros, Wilma Lubbers, Jaap Nelemans, Willeke van Tintelen, An Vos, Meint Veninga, Wim Pape, Arie Brader, Peter Pelle, Gerard Meuffels, Taede Stoker, Gerrit Stunnenberg and Rinie Verwoert for their assistance with gas flux measurements or destructive sampling. Furthermore, we thank Tamas Salanki for his expert advice on earthworms.</t>
  </si>
  <si>
    <t>10.1016/j.soilbio.2016.11.008</t>
  </si>
  <si>
    <t>EI8WJ</t>
  </si>
  <si>
    <t>WOS:000392788600004</t>
  </si>
  <si>
    <t>Dong, R; Gao, Q; Kong, QK; Ren, LG</t>
  </si>
  <si>
    <t>Dong, Rui; Gao, Qiang; Kong, Qingkai; Ren, Ligang</t>
  </si>
  <si>
    <t>Empowering agricultural ecological quality development through the digital economy with evidence from net carbon efficiency</t>
  </si>
  <si>
    <t>Rural digital economy; Agricultural ecological quality; Agricultural net carbon efficiency; Human capital; Agricultural technological innovation</t>
  </si>
  <si>
    <t>The drive of the rural digital economy in agricultural development and the enhancement of agricultural net carbon efficiency are integral to ensuring the quality development of agricultural ecology. To better understand the impact of the digital economy on agricultural ecological quality, this paper utilizes panel data from 30 provinces (municipalities, autonomous regions) in China from 2013 to 2020 and employs the instrumental variable method to analyze the impact of digital economy development on agricultural net carbon efficiency. The results reveal that the advancement of the rural digital economy significantly enhances the net carbon efficiency of agriculture, and this finding remains robust even after substituting explanatory variables and excluding samples from direct-administered municipalities. Heterogeneity analysis indicates that the aforementioned impact is more pronounced in major grain-producing areas, regions with high agricultural industrial concentration, and areas with low government intervention. Further analysis reveals that the rural digital economy can enhance agricultural net carbon efficiency through two primary mechanisms: improving human capital and promoting technological progress. The conclusions of this study have significant implications for improving the level of rural digital economy development and optimizing agricultural net carbon efficiency.</t>
  </si>
  <si>
    <t>[Dong, Rui; Gao, Qiang] Ocean Univ China, Sch Management, Qingdao 266100, Peoples R China; [Kong, Qingkai] Shandong Normal Univ, Sch Econ, Jinan 250358, Peoples R China; [Ren, Ligang] Guizhou Univ, Sch Econ, Guiyang 550025, Peoples R China</t>
  </si>
  <si>
    <t>Ocean University of China; Shandong Normal University; Guizhou University</t>
  </si>
  <si>
    <t>Gao, Q (corresponding author), Ocean Univ China, Sch Management, Qingdao 266100, Peoples R China.</t>
  </si>
  <si>
    <t>gao1221@126.com</t>
  </si>
  <si>
    <t>Humanities and Social Sciences Research Project of the Ministry of Education of China; Fundamental Research Funds for the Central Universities [202461081]; National Natural Science Foundation of China [72404156]; [23YJA790043]</t>
  </si>
  <si>
    <t>Humanities and Social Sciences Research Project of the Ministry of Education of China; Fundamental Research Funds for the Central Universities(Fundamental Research Funds for the Central Universities); National Natural Science Foundation of China(National Natural Science Foundation of China (NSFC));</t>
  </si>
  <si>
    <t>We gratefully acknowledge funding support from the Fundamental Research Funds for the Central Universities [grant No. 202461081], Humanities and Social Sciences Research Project of the Ministry of Education of China [grant No. 23YJA790043], National Natural Science Foundation of China (Grant No. 72404156).</t>
  </si>
  <si>
    <t>10.1038/s41598-025-95209-1</t>
  </si>
  <si>
    <t>0UB5M</t>
  </si>
  <si>
    <t>WOS:001456032600027</t>
  </si>
  <si>
    <t>Chappell, A; Webb, NP; Rossel, RAV; Bui, E</t>
  </si>
  <si>
    <t>Chappell, A.; Webb, N. P.; Rossel, R. A. Viscarra; Bui, E.</t>
  </si>
  <si>
    <t>Australian net (1950s-1990) soil organic carbon erosion: implications for CO2 emission and land-atmosphere modelling</t>
  </si>
  <si>
    <t>ESTIMATE RATES; WIND EROSION; REDISTRIBUTION; CS-137; SEDIMENT; DUST; CESIUM-137; DEPOSITION; DELIVERY; IMPACT</t>
  </si>
  <si>
    <t>The debate remains unresolved about soil erosion substantially offsetting fossil fuel emissions and acting as an important source or sink of CO2. There is little historical land use and management context to this debate, which is central to Australia's recent past of European settlement, agricultural expansion and agriculturally-induced soil erosion. We use catchment scale (similar to 25 km(2)) estimates of Cs-137-derived net (1950s-1990) soil redistribution of all processes (wind, water and tillage) to calculate the net soil organic carbon (SOC) redistribution across Australia. We approximate the selective removal of SOC at net eroding locations and SOC enrichment of transported sediment and net depositional locations. We map net (1950s-1990) SOC redistribution across Australia and estimate erosion by all processes to be similar to 4 Tg SOC yr(-1), which represents a loss of similar to 2% of the total carbon stock (0-10 cm) of Australia. Assuming this net SOC loss is mineralised, the flux (similar to 15 Tg CO2-equivalents yr(-1)) represents an omitted 12% of CO2-equivalent emissions from all carbon pools in Australia. Although a small source of uncertainty in the Australian carbon budget, the mass flux interacts with energy and water fluxes, and its omission from land surface models likely creates more uncertainty than has been previously recognised.</t>
  </si>
  <si>
    <t>[Chappell, A.; Rossel, R. A. Viscarra; Bui, E.] CSIRO Land &amp; Water &amp; Sustainable Agr Natl Res Fl, Canberra, ACT 2601, Australia; [Webb, N. P.] New Mexico State Univ, USDA ARS Jornada Expt Range, MSC JER 3, Las Cruces, NM 88003 USA</t>
  </si>
  <si>
    <t>Commonwealth Scientific &amp; Industrial Research Organisation (CSIRO); United States Department of Agriculture (USDA); New Mexico State University</t>
  </si>
  <si>
    <t>Chappell, A (corresponding author), CSIRO Land &amp; Water &amp; Sustainable Agr Natl Res Fl, GPO Box 1666, Canberra, ACT 2601, Australia.</t>
  </si>
  <si>
    <t>adrian.chappell@csiro.au</t>
  </si>
  <si>
    <t>Webb, Nicholas/D-3337-2011; Chappell, Adrian/A-7058-2011; VISCARRA ROSSEL, Raphael/B-4061-2011; Viscarra Rossel, Raphael/B-4061-2011; Bui, Elisabeth N/C-8849-2011; Chappell, Aian/A-7058-2011; Bui, Elisabeth/C-8849-2011</t>
  </si>
  <si>
    <t>Webb, Nicholas/0000-0001-9355-5512; VISCARRA ROSSEL, Raphael/0000-0003-1540-4748; Bui, Elisabeth N/0000-0001-7632-1992; Chappell, Aian/0000-0002-0694-7348;</t>
  </si>
  <si>
    <t>CSIRO Sustainable Agriculture National Research Flagship; ARS [813350, ARS-0423561] Funding Source: Federal RePORTER</t>
  </si>
  <si>
    <t>CSIRO Sustainable Agriculture National Research Flagship; ARS(United States Department of Agriculture (USDA)USDA Agricultural Research Service)</t>
  </si>
  <si>
    <t>Funding for this research was provided by the CSIRO Sustainable Agriculture National Research Flagship. The authors are grateful to colleagues Jon Sanderman and Pep Canadell and two anonymous reviewers for their comments on an earlier manuscript. Any errors or omissions in the manuscript remain the responsibility of the authors.</t>
  </si>
  <si>
    <t>10.5194/bg-11-5235-2014</t>
  </si>
  <si>
    <t>AQ8XA</t>
  </si>
  <si>
    <t>WOS:000343120900022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</si>
</sst>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sz val="9"/>
      <name val="宋体"/>
      <family val="3"/>
      <charset val="134"/>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C81EE-317D-4D30-A063-BB3893531FBE}">
  <dimension ref="A1:BT1001"/>
  <sheetViews>
    <sheetView tabSelected="1" workbookViewId="0">
      <selection activeCell="T19" sqref="T19"/>
    </sheetView>
  </sheetViews>
  <sheetFormatPr defaultRowHeight="12.75" x14ac:dyDescent="0.2"/>
  <sheetData>
    <row r="1" spans="1:72"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row>
    <row r="2" spans="1:72" x14ac:dyDescent="0.2">
      <c r="A2" t="s">
        <v>72</v>
      </c>
      <c r="B2" t="s">
        <v>73</v>
      </c>
      <c r="C2" t="s">
        <v>74</v>
      </c>
      <c r="D2" t="s">
        <v>74</v>
      </c>
      <c r="E2" t="s">
        <v>74</v>
      </c>
      <c r="F2" t="s">
        <v>75</v>
      </c>
      <c r="G2" t="s">
        <v>74</v>
      </c>
      <c r="H2" t="s">
        <v>74</v>
      </c>
      <c r="I2" t="s">
        <v>76</v>
      </c>
      <c r="J2" t="s">
        <v>77</v>
      </c>
      <c r="K2" t="s">
        <v>74</v>
      </c>
      <c r="L2" t="s">
        <v>74</v>
      </c>
      <c r="M2" t="s">
        <v>78</v>
      </c>
      <c r="N2" t="s">
        <v>79</v>
      </c>
      <c r="O2" t="s">
        <v>74</v>
      </c>
      <c r="P2" t="s">
        <v>74</v>
      </c>
      <c r="Q2" t="s">
        <v>74</v>
      </c>
      <c r="R2" t="s">
        <v>74</v>
      </c>
      <c r="S2" t="s">
        <v>74</v>
      </c>
      <c r="T2" t="s">
        <v>80</v>
      </c>
      <c r="U2" t="s">
        <v>81</v>
      </c>
      <c r="V2" t="s">
        <v>82</v>
      </c>
      <c r="W2" t="s">
        <v>83</v>
      </c>
      <c r="X2" t="s">
        <v>84</v>
      </c>
      <c r="Y2" t="s">
        <v>85</v>
      </c>
      <c r="Z2" t="s">
        <v>86</v>
      </c>
      <c r="AA2" t="s">
        <v>87</v>
      </c>
      <c r="AB2" t="s">
        <v>88</v>
      </c>
      <c r="AC2" t="s">
        <v>89</v>
      </c>
      <c r="AD2" t="s">
        <v>90</v>
      </c>
      <c r="AE2" t="s">
        <v>91</v>
      </c>
      <c r="AF2" t="s">
        <v>74</v>
      </c>
      <c r="AG2">
        <v>29</v>
      </c>
      <c r="AH2">
        <v>9</v>
      </c>
      <c r="AI2">
        <v>14</v>
      </c>
      <c r="AJ2">
        <v>0</v>
      </c>
      <c r="AK2">
        <v>27</v>
      </c>
      <c r="AL2" t="s">
        <v>92</v>
      </c>
      <c r="AM2" t="s">
        <v>93</v>
      </c>
      <c r="AN2" t="s">
        <v>94</v>
      </c>
      <c r="AO2" t="s">
        <v>95</v>
      </c>
      <c r="AP2" t="s">
        <v>96</v>
      </c>
      <c r="AQ2" t="s">
        <v>74</v>
      </c>
      <c r="AR2" t="s">
        <v>97</v>
      </c>
      <c r="AS2" t="s">
        <v>98</v>
      </c>
      <c r="AT2" t="s">
        <v>99</v>
      </c>
      <c r="AU2">
        <v>2018</v>
      </c>
      <c r="AV2">
        <v>47</v>
      </c>
      <c r="AW2">
        <v>1</v>
      </c>
      <c r="AX2" t="s">
        <v>74</v>
      </c>
      <c r="AY2" t="s">
        <v>74</v>
      </c>
      <c r="AZ2" t="s">
        <v>74</v>
      </c>
      <c r="BA2" t="s">
        <v>74</v>
      </c>
      <c r="BB2">
        <v>3</v>
      </c>
      <c r="BC2">
        <v>10</v>
      </c>
      <c r="BD2" t="s">
        <v>74</v>
      </c>
      <c r="BE2" t="s">
        <v>100</v>
      </c>
      <c r="BF2" t="str">
        <f>HYPERLINK("http://dx.doi.org/10.1177/0030727018757546","http://dx.doi.org/10.1177/0030727018757546")</f>
        <v>http://dx.doi.org/10.1177/0030727018757546</v>
      </c>
      <c r="BG2" t="s">
        <v>74</v>
      </c>
      <c r="BH2" t="s">
        <v>74</v>
      </c>
      <c r="BI2">
        <v>8</v>
      </c>
      <c r="BJ2" t="s">
        <v>101</v>
      </c>
      <c r="BK2" t="s">
        <v>102</v>
      </c>
      <c r="BL2" t="s">
        <v>103</v>
      </c>
      <c r="BM2" t="s">
        <v>104</v>
      </c>
      <c r="BN2" t="s">
        <v>74</v>
      </c>
      <c r="BO2" t="s">
        <v>105</v>
      </c>
      <c r="BP2" t="s">
        <v>74</v>
      </c>
      <c r="BQ2" t="s">
        <v>74</v>
      </c>
      <c r="BR2" t="s">
        <v>106</v>
      </c>
      <c r="BS2" t="s">
        <v>107</v>
      </c>
      <c r="BT2" t="str">
        <f>HYPERLINK("https%3A%2F%2Fwww.webofscience.com%2Fwos%2Fwoscc%2Ffull-record%2FWOS:000429905900001","View Full Record in Web of Science")</f>
        <v>View Full Record in Web of Science</v>
      </c>
    </row>
    <row r="3" spans="1:72" x14ac:dyDescent="0.2">
      <c r="A3" t="s">
        <v>72</v>
      </c>
      <c r="B3" t="s">
        <v>108</v>
      </c>
      <c r="C3" t="s">
        <v>74</v>
      </c>
      <c r="D3" t="s">
        <v>74</v>
      </c>
      <c r="E3" t="s">
        <v>74</v>
      </c>
      <c r="F3" t="s">
        <v>109</v>
      </c>
      <c r="G3" t="s">
        <v>74</v>
      </c>
      <c r="H3" t="s">
        <v>74</v>
      </c>
      <c r="I3" t="s">
        <v>110</v>
      </c>
      <c r="J3" t="s">
        <v>111</v>
      </c>
      <c r="K3" t="s">
        <v>74</v>
      </c>
      <c r="L3" t="s">
        <v>74</v>
      </c>
      <c r="M3" t="s">
        <v>78</v>
      </c>
      <c r="N3" t="s">
        <v>79</v>
      </c>
      <c r="O3" t="s">
        <v>74</v>
      </c>
      <c r="P3" t="s">
        <v>74</v>
      </c>
      <c r="Q3" t="s">
        <v>74</v>
      </c>
      <c r="R3" t="s">
        <v>74</v>
      </c>
      <c r="S3" t="s">
        <v>74</v>
      </c>
      <c r="T3" t="s">
        <v>112</v>
      </c>
      <c r="U3" t="s">
        <v>113</v>
      </c>
      <c r="V3" t="s">
        <v>114</v>
      </c>
      <c r="W3" t="s">
        <v>115</v>
      </c>
      <c r="X3" t="s">
        <v>116</v>
      </c>
      <c r="Y3" t="s">
        <v>117</v>
      </c>
      <c r="Z3" t="s">
        <v>118</v>
      </c>
      <c r="AA3" t="s">
        <v>74</v>
      </c>
      <c r="AB3" t="s">
        <v>119</v>
      </c>
      <c r="AC3" t="s">
        <v>120</v>
      </c>
      <c r="AD3" t="s">
        <v>121</v>
      </c>
      <c r="AE3" t="s">
        <v>122</v>
      </c>
      <c r="AF3" t="s">
        <v>74</v>
      </c>
      <c r="AG3">
        <v>97</v>
      </c>
      <c r="AH3">
        <v>40</v>
      </c>
      <c r="AI3">
        <v>43</v>
      </c>
      <c r="AJ3">
        <v>2</v>
      </c>
      <c r="AK3">
        <v>33</v>
      </c>
      <c r="AL3" t="s">
        <v>123</v>
      </c>
      <c r="AM3" t="s">
        <v>124</v>
      </c>
      <c r="AN3" t="s">
        <v>125</v>
      </c>
      <c r="AO3" t="s">
        <v>126</v>
      </c>
      <c r="AP3" t="s">
        <v>127</v>
      </c>
      <c r="AQ3" t="s">
        <v>74</v>
      </c>
      <c r="AR3" t="s">
        <v>128</v>
      </c>
      <c r="AS3" t="s">
        <v>129</v>
      </c>
      <c r="AT3" t="s">
        <v>130</v>
      </c>
      <c r="AU3">
        <v>2019</v>
      </c>
      <c r="AV3">
        <v>437</v>
      </c>
      <c r="AW3" t="s">
        <v>74</v>
      </c>
      <c r="AX3" t="s">
        <v>74</v>
      </c>
      <c r="AY3" t="s">
        <v>74</v>
      </c>
      <c r="AZ3" t="s">
        <v>74</v>
      </c>
      <c r="BA3" t="s">
        <v>74</v>
      </c>
      <c r="BB3">
        <v>396</v>
      </c>
      <c r="BC3">
        <v>410</v>
      </c>
      <c r="BD3" t="s">
        <v>74</v>
      </c>
      <c r="BE3" t="s">
        <v>131</v>
      </c>
      <c r="BF3" t="str">
        <f>HYPERLINK("http://dx.doi.org/10.1016/j.foreco.2019.01.040","http://dx.doi.org/10.1016/j.foreco.2019.01.040")</f>
        <v>http://dx.doi.org/10.1016/j.foreco.2019.01.040</v>
      </c>
      <c r="BG3" t="s">
        <v>74</v>
      </c>
      <c r="BH3" t="s">
        <v>74</v>
      </c>
      <c r="BI3">
        <v>15</v>
      </c>
      <c r="BJ3" t="s">
        <v>132</v>
      </c>
      <c r="BK3" t="s">
        <v>102</v>
      </c>
      <c r="BL3" t="s">
        <v>132</v>
      </c>
      <c r="BM3" t="s">
        <v>133</v>
      </c>
      <c r="BN3" t="s">
        <v>74</v>
      </c>
      <c r="BO3" t="s">
        <v>74</v>
      </c>
      <c r="BP3" t="s">
        <v>74</v>
      </c>
      <c r="BQ3" t="s">
        <v>74</v>
      </c>
      <c r="BR3" t="s">
        <v>106</v>
      </c>
      <c r="BS3" t="s">
        <v>134</v>
      </c>
      <c r="BT3" t="str">
        <f>HYPERLINK("https%3A%2F%2Fwww.webofscience.com%2Fwos%2Fwoscc%2Ffull-record%2FWOS:000461270600037","View Full Record in Web of Science")</f>
        <v>View Full Record in Web of Science</v>
      </c>
    </row>
    <row r="4" spans="1:72" x14ac:dyDescent="0.2">
      <c r="A4" t="s">
        <v>72</v>
      </c>
      <c r="B4" t="s">
        <v>135</v>
      </c>
      <c r="C4" t="s">
        <v>74</v>
      </c>
      <c r="D4" t="s">
        <v>74</v>
      </c>
      <c r="E4" t="s">
        <v>74</v>
      </c>
      <c r="F4" t="s">
        <v>136</v>
      </c>
      <c r="G4" t="s">
        <v>74</v>
      </c>
      <c r="H4" t="s">
        <v>74</v>
      </c>
      <c r="I4" t="s">
        <v>137</v>
      </c>
      <c r="J4" t="s">
        <v>138</v>
      </c>
      <c r="K4" t="s">
        <v>74</v>
      </c>
      <c r="L4" t="s">
        <v>74</v>
      </c>
      <c r="M4" t="s">
        <v>78</v>
      </c>
      <c r="N4" t="s">
        <v>79</v>
      </c>
      <c r="O4" t="s">
        <v>74</v>
      </c>
      <c r="P4" t="s">
        <v>74</v>
      </c>
      <c r="Q4" t="s">
        <v>74</v>
      </c>
      <c r="R4" t="s">
        <v>74</v>
      </c>
      <c r="S4" t="s">
        <v>74</v>
      </c>
      <c r="T4" t="s">
        <v>74</v>
      </c>
      <c r="U4" t="s">
        <v>139</v>
      </c>
      <c r="V4" t="s">
        <v>140</v>
      </c>
      <c r="W4" t="s">
        <v>141</v>
      </c>
      <c r="X4" t="s">
        <v>142</v>
      </c>
      <c r="Y4" t="s">
        <v>143</v>
      </c>
      <c r="Z4" t="s">
        <v>144</v>
      </c>
      <c r="AA4" t="s">
        <v>145</v>
      </c>
      <c r="AB4" t="s">
        <v>146</v>
      </c>
      <c r="AC4" t="s">
        <v>147</v>
      </c>
      <c r="AD4" t="s">
        <v>148</v>
      </c>
      <c r="AE4" t="s">
        <v>149</v>
      </c>
      <c r="AF4" t="s">
        <v>74</v>
      </c>
      <c r="AG4">
        <v>64</v>
      </c>
      <c r="AH4">
        <v>5</v>
      </c>
      <c r="AI4">
        <v>5</v>
      </c>
      <c r="AJ4">
        <v>11</v>
      </c>
      <c r="AK4">
        <v>68</v>
      </c>
      <c r="AL4" t="s">
        <v>150</v>
      </c>
      <c r="AM4" t="s">
        <v>151</v>
      </c>
      <c r="AN4" t="s">
        <v>152</v>
      </c>
      <c r="AO4" t="s">
        <v>153</v>
      </c>
      <c r="AP4" t="s">
        <v>74</v>
      </c>
      <c r="AQ4" t="s">
        <v>74</v>
      </c>
      <c r="AR4" t="s">
        <v>138</v>
      </c>
      <c r="AS4" t="s">
        <v>154</v>
      </c>
      <c r="AT4" t="s">
        <v>155</v>
      </c>
      <c r="AU4">
        <v>2024</v>
      </c>
      <c r="AV4">
        <v>19</v>
      </c>
      <c r="AW4">
        <v>6</v>
      </c>
      <c r="AX4" t="s">
        <v>74</v>
      </c>
      <c r="AY4" t="s">
        <v>74</v>
      </c>
      <c r="AZ4" t="s">
        <v>74</v>
      </c>
      <c r="BA4" t="s">
        <v>74</v>
      </c>
      <c r="BB4" t="s">
        <v>74</v>
      </c>
      <c r="BC4" t="s">
        <v>74</v>
      </c>
      <c r="BD4" t="s">
        <v>156</v>
      </c>
      <c r="BE4" t="s">
        <v>157</v>
      </c>
      <c r="BF4" t="str">
        <f>HYPERLINK("http://dx.doi.org/10.1371/journal.pone.0303582","http://dx.doi.org/10.1371/journal.pone.0303582")</f>
        <v>http://dx.doi.org/10.1371/journal.pone.0303582</v>
      </c>
      <c r="BG4" t="s">
        <v>74</v>
      </c>
      <c r="BH4" t="s">
        <v>74</v>
      </c>
      <c r="BI4">
        <v>22</v>
      </c>
      <c r="BJ4" t="s">
        <v>158</v>
      </c>
      <c r="BK4" t="s">
        <v>102</v>
      </c>
      <c r="BL4" t="s">
        <v>159</v>
      </c>
      <c r="BM4" t="s">
        <v>160</v>
      </c>
      <c r="BN4">
        <v>38917067</v>
      </c>
      <c r="BO4" t="s">
        <v>161</v>
      </c>
      <c r="BP4" t="s">
        <v>74</v>
      </c>
      <c r="BQ4" t="s">
        <v>74</v>
      </c>
      <c r="BR4" t="s">
        <v>106</v>
      </c>
      <c r="BS4" t="s">
        <v>162</v>
      </c>
      <c r="BT4" t="str">
        <f>HYPERLINK("https%3A%2F%2Fwww.webofscience.com%2Fwos%2Fwoscc%2Ffull-record%2FWOS:001253508900085","View Full Record in Web of Science")</f>
        <v>View Full Record in Web of Science</v>
      </c>
    </row>
    <row r="5" spans="1:72" x14ac:dyDescent="0.2">
      <c r="A5" t="s">
        <v>72</v>
      </c>
      <c r="B5" t="s">
        <v>163</v>
      </c>
      <c r="C5" t="s">
        <v>74</v>
      </c>
      <c r="D5" t="s">
        <v>74</v>
      </c>
      <c r="E5" t="s">
        <v>74</v>
      </c>
      <c r="F5" t="s">
        <v>164</v>
      </c>
      <c r="G5" t="s">
        <v>74</v>
      </c>
      <c r="H5" t="s">
        <v>74</v>
      </c>
      <c r="I5" t="s">
        <v>165</v>
      </c>
      <c r="J5" t="s">
        <v>166</v>
      </c>
      <c r="K5" t="s">
        <v>74</v>
      </c>
      <c r="L5" t="s">
        <v>74</v>
      </c>
      <c r="M5" t="s">
        <v>78</v>
      </c>
      <c r="N5" t="s">
        <v>79</v>
      </c>
      <c r="O5" t="s">
        <v>74</v>
      </c>
      <c r="P5" t="s">
        <v>74</v>
      </c>
      <c r="Q5" t="s">
        <v>74</v>
      </c>
      <c r="R5" t="s">
        <v>74</v>
      </c>
      <c r="S5" t="s">
        <v>74</v>
      </c>
      <c r="T5" t="s">
        <v>167</v>
      </c>
      <c r="U5" t="s">
        <v>168</v>
      </c>
      <c r="V5" t="s">
        <v>169</v>
      </c>
      <c r="W5" t="s">
        <v>170</v>
      </c>
      <c r="X5" t="s">
        <v>171</v>
      </c>
      <c r="Y5" t="s">
        <v>172</v>
      </c>
      <c r="Z5" t="s">
        <v>173</v>
      </c>
      <c r="AA5" t="s">
        <v>174</v>
      </c>
      <c r="AB5" t="s">
        <v>175</v>
      </c>
      <c r="AC5" t="s">
        <v>74</v>
      </c>
      <c r="AD5" t="s">
        <v>74</v>
      </c>
      <c r="AE5" t="s">
        <v>74</v>
      </c>
      <c r="AF5" t="s">
        <v>74</v>
      </c>
      <c r="AG5">
        <v>45</v>
      </c>
      <c r="AH5">
        <v>69</v>
      </c>
      <c r="AI5">
        <v>79</v>
      </c>
      <c r="AJ5">
        <v>0</v>
      </c>
      <c r="AK5">
        <v>38</v>
      </c>
      <c r="AL5" t="s">
        <v>176</v>
      </c>
      <c r="AM5" t="s">
        <v>177</v>
      </c>
      <c r="AN5" t="s">
        <v>178</v>
      </c>
      <c r="AO5" t="s">
        <v>179</v>
      </c>
      <c r="AP5" t="s">
        <v>180</v>
      </c>
      <c r="AQ5" t="s">
        <v>74</v>
      </c>
      <c r="AR5" t="s">
        <v>181</v>
      </c>
      <c r="AS5" t="s">
        <v>182</v>
      </c>
      <c r="AT5" t="s">
        <v>183</v>
      </c>
      <c r="AU5">
        <v>2015</v>
      </c>
      <c r="AV5">
        <v>33</v>
      </c>
      <c r="AW5" t="s">
        <v>74</v>
      </c>
      <c r="AX5" t="s">
        <v>74</v>
      </c>
      <c r="AY5" t="s">
        <v>74</v>
      </c>
      <c r="AZ5" t="s">
        <v>74</v>
      </c>
      <c r="BA5" t="s">
        <v>74</v>
      </c>
      <c r="BB5">
        <v>109</v>
      </c>
      <c r="BC5">
        <v>121</v>
      </c>
      <c r="BD5" t="s">
        <v>74</v>
      </c>
      <c r="BE5" t="s">
        <v>184</v>
      </c>
      <c r="BF5" t="str">
        <f>HYPERLINK("http://dx.doi.org/10.1016/j.gloenvcha.2015.04.012","http://dx.doi.org/10.1016/j.gloenvcha.2015.04.012")</f>
        <v>http://dx.doi.org/10.1016/j.gloenvcha.2015.04.012</v>
      </c>
      <c r="BG5" t="s">
        <v>74</v>
      </c>
      <c r="BH5" t="s">
        <v>74</v>
      </c>
      <c r="BI5">
        <v>13</v>
      </c>
      <c r="BJ5" t="s">
        <v>185</v>
      </c>
      <c r="BK5" t="s">
        <v>186</v>
      </c>
      <c r="BL5" t="s">
        <v>187</v>
      </c>
      <c r="BM5" t="s">
        <v>188</v>
      </c>
      <c r="BN5" t="s">
        <v>74</v>
      </c>
      <c r="BO5" t="s">
        <v>74</v>
      </c>
      <c r="BP5" t="s">
        <v>74</v>
      </c>
      <c r="BQ5" t="s">
        <v>74</v>
      </c>
      <c r="BR5" t="s">
        <v>106</v>
      </c>
      <c r="BS5" t="s">
        <v>189</v>
      </c>
      <c r="BT5" t="str">
        <f>HYPERLINK("https%3A%2F%2Fwww.webofscience.com%2Fwos%2Fwoscc%2Ffull-record%2FWOS:000357902900010","View Full Record in Web of Science")</f>
        <v>View Full Record in Web of Science</v>
      </c>
    </row>
    <row r="6" spans="1:72" x14ac:dyDescent="0.2">
      <c r="A6" t="s">
        <v>72</v>
      </c>
      <c r="B6" t="s">
        <v>190</v>
      </c>
      <c r="C6" t="s">
        <v>74</v>
      </c>
      <c r="D6" t="s">
        <v>74</v>
      </c>
      <c r="E6" t="s">
        <v>74</v>
      </c>
      <c r="F6" t="s">
        <v>191</v>
      </c>
      <c r="G6" t="s">
        <v>74</v>
      </c>
      <c r="H6" t="s">
        <v>74</v>
      </c>
      <c r="I6" t="s">
        <v>192</v>
      </c>
      <c r="J6" t="s">
        <v>138</v>
      </c>
      <c r="K6" t="s">
        <v>74</v>
      </c>
      <c r="L6" t="s">
        <v>74</v>
      </c>
      <c r="M6" t="s">
        <v>78</v>
      </c>
      <c r="N6" t="s">
        <v>79</v>
      </c>
      <c r="O6" t="s">
        <v>74</v>
      </c>
      <c r="P6" t="s">
        <v>74</v>
      </c>
      <c r="Q6" t="s">
        <v>74</v>
      </c>
      <c r="R6" t="s">
        <v>74</v>
      </c>
      <c r="S6" t="s">
        <v>74</v>
      </c>
      <c r="T6" t="s">
        <v>74</v>
      </c>
      <c r="U6" t="s">
        <v>74</v>
      </c>
      <c r="V6" t="s">
        <v>193</v>
      </c>
      <c r="W6" t="s">
        <v>194</v>
      </c>
      <c r="X6" t="s">
        <v>195</v>
      </c>
      <c r="Y6" t="s">
        <v>196</v>
      </c>
      <c r="Z6" t="s">
        <v>197</v>
      </c>
      <c r="AA6" t="s">
        <v>198</v>
      </c>
      <c r="AB6" t="s">
        <v>199</v>
      </c>
      <c r="AC6" t="s">
        <v>200</v>
      </c>
      <c r="AD6" t="s">
        <v>201</v>
      </c>
      <c r="AE6" t="s">
        <v>202</v>
      </c>
      <c r="AF6" t="s">
        <v>74</v>
      </c>
      <c r="AG6">
        <v>44</v>
      </c>
      <c r="AH6">
        <v>14</v>
      </c>
      <c r="AI6">
        <v>15</v>
      </c>
      <c r="AJ6">
        <v>11</v>
      </c>
      <c r="AK6">
        <v>67</v>
      </c>
      <c r="AL6" t="s">
        <v>150</v>
      </c>
      <c r="AM6" t="s">
        <v>151</v>
      </c>
      <c r="AN6" t="s">
        <v>152</v>
      </c>
      <c r="AO6" t="s">
        <v>153</v>
      </c>
      <c r="AP6" t="s">
        <v>74</v>
      </c>
      <c r="AQ6" t="s">
        <v>74</v>
      </c>
      <c r="AR6" t="s">
        <v>138</v>
      </c>
      <c r="AS6" t="s">
        <v>154</v>
      </c>
      <c r="AT6" t="s">
        <v>203</v>
      </c>
      <c r="AU6">
        <v>2023</v>
      </c>
      <c r="AV6">
        <v>18</v>
      </c>
      <c r="AW6">
        <v>11</v>
      </c>
      <c r="AX6" t="s">
        <v>74</v>
      </c>
      <c r="AY6" t="s">
        <v>74</v>
      </c>
      <c r="AZ6" t="s">
        <v>74</v>
      </c>
      <c r="BA6" t="s">
        <v>74</v>
      </c>
      <c r="BB6" t="s">
        <v>74</v>
      </c>
      <c r="BC6" t="s">
        <v>74</v>
      </c>
      <c r="BD6" t="s">
        <v>204</v>
      </c>
      <c r="BE6" t="s">
        <v>205</v>
      </c>
      <c r="BF6" t="str">
        <f>HYPERLINK("http://dx.doi.org/10.1371/journal.pone.0293910","http://dx.doi.org/10.1371/journal.pone.0293910")</f>
        <v>http://dx.doi.org/10.1371/journal.pone.0293910</v>
      </c>
      <c r="BG6" t="s">
        <v>74</v>
      </c>
      <c r="BH6" t="s">
        <v>74</v>
      </c>
      <c r="BI6">
        <v>21</v>
      </c>
      <c r="BJ6" t="s">
        <v>158</v>
      </c>
      <c r="BK6" t="s">
        <v>102</v>
      </c>
      <c r="BL6" t="s">
        <v>159</v>
      </c>
      <c r="BM6" t="s">
        <v>206</v>
      </c>
      <c r="BN6">
        <v>37917774</v>
      </c>
      <c r="BO6" t="s">
        <v>161</v>
      </c>
      <c r="BP6" t="s">
        <v>74</v>
      </c>
      <c r="BQ6" t="s">
        <v>74</v>
      </c>
      <c r="BR6" t="s">
        <v>106</v>
      </c>
      <c r="BS6" t="s">
        <v>207</v>
      </c>
      <c r="BT6" t="str">
        <f>HYPERLINK("https%3A%2F%2Fwww.webofscience.com%2Fwos%2Fwoscc%2Ffull-record%2FWOS:001158614800029","View Full Record in Web of Science")</f>
        <v>View Full Record in Web of Science</v>
      </c>
    </row>
    <row r="7" spans="1:72" x14ac:dyDescent="0.2">
      <c r="A7" t="s">
        <v>72</v>
      </c>
      <c r="B7" t="s">
        <v>208</v>
      </c>
      <c r="C7" t="s">
        <v>74</v>
      </c>
      <c r="D7" t="s">
        <v>74</v>
      </c>
      <c r="E7" t="s">
        <v>74</v>
      </c>
      <c r="F7" t="s">
        <v>209</v>
      </c>
      <c r="G7" t="s">
        <v>74</v>
      </c>
      <c r="H7" t="s">
        <v>74</v>
      </c>
      <c r="I7" t="s">
        <v>210</v>
      </c>
      <c r="J7" t="s">
        <v>211</v>
      </c>
      <c r="K7" t="s">
        <v>74</v>
      </c>
      <c r="L7" t="s">
        <v>74</v>
      </c>
      <c r="M7" t="s">
        <v>78</v>
      </c>
      <c r="N7" t="s">
        <v>79</v>
      </c>
      <c r="O7" t="s">
        <v>74</v>
      </c>
      <c r="P7" t="s">
        <v>74</v>
      </c>
      <c r="Q7" t="s">
        <v>74</v>
      </c>
      <c r="R7" t="s">
        <v>74</v>
      </c>
      <c r="S7" t="s">
        <v>74</v>
      </c>
      <c r="T7" t="s">
        <v>212</v>
      </c>
      <c r="U7" t="s">
        <v>213</v>
      </c>
      <c r="V7" t="s">
        <v>214</v>
      </c>
      <c r="W7" t="s">
        <v>215</v>
      </c>
      <c r="X7" t="s">
        <v>216</v>
      </c>
      <c r="Y7" t="s">
        <v>217</v>
      </c>
      <c r="Z7" t="s">
        <v>218</v>
      </c>
      <c r="AA7" t="s">
        <v>74</v>
      </c>
      <c r="AB7" t="s">
        <v>74</v>
      </c>
      <c r="AC7" t="s">
        <v>219</v>
      </c>
      <c r="AD7" t="s">
        <v>220</v>
      </c>
      <c r="AE7" t="s">
        <v>221</v>
      </c>
      <c r="AF7" t="s">
        <v>74</v>
      </c>
      <c r="AG7">
        <v>40</v>
      </c>
      <c r="AH7">
        <v>0</v>
      </c>
      <c r="AI7">
        <v>0</v>
      </c>
      <c r="AJ7">
        <v>9</v>
      </c>
      <c r="AK7">
        <v>13</v>
      </c>
      <c r="AL7" t="s">
        <v>222</v>
      </c>
      <c r="AM7" t="s">
        <v>223</v>
      </c>
      <c r="AN7" t="s">
        <v>224</v>
      </c>
      <c r="AO7" t="s">
        <v>74</v>
      </c>
      <c r="AP7" t="s">
        <v>225</v>
      </c>
      <c r="AQ7" t="s">
        <v>74</v>
      </c>
      <c r="AR7" t="s">
        <v>211</v>
      </c>
      <c r="AS7" t="s">
        <v>226</v>
      </c>
      <c r="AT7" t="s">
        <v>227</v>
      </c>
      <c r="AU7">
        <v>2025</v>
      </c>
      <c r="AV7">
        <v>18</v>
      </c>
      <c r="AW7">
        <v>2</v>
      </c>
      <c r="AX7" t="s">
        <v>74</v>
      </c>
      <c r="AY7" t="s">
        <v>74</v>
      </c>
      <c r="AZ7" t="s">
        <v>74</v>
      </c>
      <c r="BA7" t="s">
        <v>74</v>
      </c>
      <c r="BB7" t="s">
        <v>74</v>
      </c>
      <c r="BC7" t="s">
        <v>74</v>
      </c>
      <c r="BD7">
        <v>277</v>
      </c>
      <c r="BE7" t="s">
        <v>228</v>
      </c>
      <c r="BF7" t="str">
        <f>HYPERLINK("http://dx.doi.org/10.3390/en18020277","http://dx.doi.org/10.3390/en18020277")</f>
        <v>http://dx.doi.org/10.3390/en18020277</v>
      </c>
      <c r="BG7" t="s">
        <v>74</v>
      </c>
      <c r="BH7" t="s">
        <v>74</v>
      </c>
      <c r="BI7">
        <v>22</v>
      </c>
      <c r="BJ7" t="s">
        <v>229</v>
      </c>
      <c r="BK7" t="s">
        <v>102</v>
      </c>
      <c r="BL7" t="s">
        <v>229</v>
      </c>
      <c r="BM7" t="s">
        <v>230</v>
      </c>
      <c r="BN7" t="s">
        <v>74</v>
      </c>
      <c r="BO7" t="s">
        <v>231</v>
      </c>
      <c r="BP7" t="s">
        <v>74</v>
      </c>
      <c r="BQ7" t="s">
        <v>74</v>
      </c>
      <c r="BR7" t="s">
        <v>106</v>
      </c>
      <c r="BS7" t="s">
        <v>232</v>
      </c>
      <c r="BT7" t="str">
        <f>HYPERLINK("https%3A%2F%2Fwww.webofscience.com%2Fwos%2Fwoscc%2Ffull-record%2FWOS:001405386400001","View Full Record in Web of Science")</f>
        <v>View Full Record in Web of Science</v>
      </c>
    </row>
    <row r="8" spans="1:72" x14ac:dyDescent="0.2">
      <c r="A8" t="s">
        <v>72</v>
      </c>
      <c r="B8" t="s">
        <v>233</v>
      </c>
      <c r="C8" t="s">
        <v>74</v>
      </c>
      <c r="D8" t="s">
        <v>74</v>
      </c>
      <c r="E8" t="s">
        <v>74</v>
      </c>
      <c r="F8" t="s">
        <v>234</v>
      </c>
      <c r="G8" t="s">
        <v>74</v>
      </c>
      <c r="H8" t="s">
        <v>74</v>
      </c>
      <c r="I8" t="s">
        <v>235</v>
      </c>
      <c r="J8" t="s">
        <v>236</v>
      </c>
      <c r="K8" t="s">
        <v>74</v>
      </c>
      <c r="L8" t="s">
        <v>74</v>
      </c>
      <c r="M8" t="s">
        <v>78</v>
      </c>
      <c r="N8" t="s">
        <v>79</v>
      </c>
      <c r="O8" t="s">
        <v>74</v>
      </c>
      <c r="P8" t="s">
        <v>74</v>
      </c>
      <c r="Q8" t="s">
        <v>74</v>
      </c>
      <c r="R8" t="s">
        <v>74</v>
      </c>
      <c r="S8" t="s">
        <v>74</v>
      </c>
      <c r="T8" t="s">
        <v>74</v>
      </c>
      <c r="U8" t="s">
        <v>237</v>
      </c>
      <c r="V8" t="s">
        <v>238</v>
      </c>
      <c r="W8" t="s">
        <v>239</v>
      </c>
      <c r="X8" t="s">
        <v>240</v>
      </c>
      <c r="Y8" t="s">
        <v>241</v>
      </c>
      <c r="Z8" t="s">
        <v>242</v>
      </c>
      <c r="AA8" t="s">
        <v>74</v>
      </c>
      <c r="AB8" t="s">
        <v>243</v>
      </c>
      <c r="AC8" t="s">
        <v>244</v>
      </c>
      <c r="AD8" t="s">
        <v>245</v>
      </c>
      <c r="AE8" t="s">
        <v>246</v>
      </c>
      <c r="AF8" t="s">
        <v>74</v>
      </c>
      <c r="AG8">
        <v>57</v>
      </c>
      <c r="AH8">
        <v>15</v>
      </c>
      <c r="AI8">
        <v>18</v>
      </c>
      <c r="AJ8">
        <v>3</v>
      </c>
      <c r="AK8">
        <v>92</v>
      </c>
      <c r="AL8" t="s">
        <v>247</v>
      </c>
      <c r="AM8" t="s">
        <v>248</v>
      </c>
      <c r="AN8" t="s">
        <v>249</v>
      </c>
      <c r="AO8" t="s">
        <v>250</v>
      </c>
      <c r="AP8" t="s">
        <v>251</v>
      </c>
      <c r="AQ8" t="s">
        <v>74</v>
      </c>
      <c r="AR8" t="s">
        <v>252</v>
      </c>
      <c r="AS8" t="s">
        <v>253</v>
      </c>
      <c r="AT8" t="s">
        <v>254</v>
      </c>
      <c r="AU8">
        <v>2014</v>
      </c>
      <c r="AV8">
        <v>78</v>
      </c>
      <c r="AW8">
        <v>5</v>
      </c>
      <c r="AX8" t="s">
        <v>74</v>
      </c>
      <c r="AY8" t="s">
        <v>74</v>
      </c>
      <c r="AZ8" t="s">
        <v>74</v>
      </c>
      <c r="BA8" t="s">
        <v>74</v>
      </c>
      <c r="BB8">
        <v>1694</v>
      </c>
      <c r="BC8">
        <v>1706</v>
      </c>
      <c r="BD8" t="s">
        <v>74</v>
      </c>
      <c r="BE8" t="s">
        <v>255</v>
      </c>
      <c r="BF8" t="str">
        <f>HYPERLINK("http://dx.doi.org/10.2136/sssaj2014.04.0176","http://dx.doi.org/10.2136/sssaj2014.04.0176")</f>
        <v>http://dx.doi.org/10.2136/sssaj2014.04.0176</v>
      </c>
      <c r="BG8" t="s">
        <v>74</v>
      </c>
      <c r="BH8" t="s">
        <v>74</v>
      </c>
      <c r="BI8">
        <v>13</v>
      </c>
      <c r="BJ8" t="s">
        <v>256</v>
      </c>
      <c r="BK8" t="s">
        <v>102</v>
      </c>
      <c r="BL8" t="s">
        <v>103</v>
      </c>
      <c r="BM8" t="s">
        <v>257</v>
      </c>
      <c r="BN8" t="s">
        <v>74</v>
      </c>
      <c r="BO8" t="s">
        <v>74</v>
      </c>
      <c r="BP8" t="s">
        <v>74</v>
      </c>
      <c r="BQ8" t="s">
        <v>74</v>
      </c>
      <c r="BR8" t="s">
        <v>106</v>
      </c>
      <c r="BS8" t="s">
        <v>258</v>
      </c>
      <c r="BT8" t="str">
        <f>HYPERLINK("https%3A%2F%2Fwww.webofscience.com%2Fwos%2Fwoscc%2Ffull-record%2FWOS:000343164600022","View Full Record in Web of Science")</f>
        <v>View Full Record in Web of Science</v>
      </c>
    </row>
    <row r="9" spans="1:72" x14ac:dyDescent="0.2">
      <c r="A9" t="s">
        <v>72</v>
      </c>
      <c r="B9" t="s">
        <v>259</v>
      </c>
      <c r="C9" t="s">
        <v>74</v>
      </c>
      <c r="D9" t="s">
        <v>74</v>
      </c>
      <c r="E9" t="s">
        <v>74</v>
      </c>
      <c r="F9" t="s">
        <v>260</v>
      </c>
      <c r="G9" t="s">
        <v>74</v>
      </c>
      <c r="H9" t="s">
        <v>74</v>
      </c>
      <c r="I9" t="s">
        <v>261</v>
      </c>
      <c r="J9" t="s">
        <v>262</v>
      </c>
      <c r="K9" t="s">
        <v>74</v>
      </c>
      <c r="L9" t="s">
        <v>74</v>
      </c>
      <c r="M9" t="s">
        <v>78</v>
      </c>
      <c r="N9" t="s">
        <v>79</v>
      </c>
      <c r="O9" t="s">
        <v>74</v>
      </c>
      <c r="P9" t="s">
        <v>74</v>
      </c>
      <c r="Q9" t="s">
        <v>74</v>
      </c>
      <c r="R9" t="s">
        <v>74</v>
      </c>
      <c r="S9" t="s">
        <v>74</v>
      </c>
      <c r="T9" t="s">
        <v>74</v>
      </c>
      <c r="U9" t="s">
        <v>263</v>
      </c>
      <c r="V9" t="s">
        <v>264</v>
      </c>
      <c r="W9" t="s">
        <v>265</v>
      </c>
      <c r="X9" t="s">
        <v>266</v>
      </c>
      <c r="Y9" t="s">
        <v>267</v>
      </c>
      <c r="Z9" t="s">
        <v>268</v>
      </c>
      <c r="AA9" t="s">
        <v>269</v>
      </c>
      <c r="AB9" t="s">
        <v>270</v>
      </c>
      <c r="AC9" t="s">
        <v>271</v>
      </c>
      <c r="AD9" t="s">
        <v>272</v>
      </c>
      <c r="AE9" t="s">
        <v>273</v>
      </c>
      <c r="AF9" t="s">
        <v>74</v>
      </c>
      <c r="AG9">
        <v>57</v>
      </c>
      <c r="AH9">
        <v>103</v>
      </c>
      <c r="AI9">
        <v>110</v>
      </c>
      <c r="AJ9">
        <v>3</v>
      </c>
      <c r="AK9">
        <v>108</v>
      </c>
      <c r="AL9" t="s">
        <v>274</v>
      </c>
      <c r="AM9" t="s">
        <v>275</v>
      </c>
      <c r="AN9" t="s">
        <v>276</v>
      </c>
      <c r="AO9" t="s">
        <v>277</v>
      </c>
      <c r="AP9" t="s">
        <v>278</v>
      </c>
      <c r="AQ9" t="s">
        <v>74</v>
      </c>
      <c r="AR9" t="s">
        <v>279</v>
      </c>
      <c r="AS9" t="s">
        <v>280</v>
      </c>
      <c r="AT9" t="s">
        <v>281</v>
      </c>
      <c r="AU9">
        <v>2020</v>
      </c>
      <c r="AV9">
        <v>13</v>
      </c>
      <c r="AW9">
        <v>6</v>
      </c>
      <c r="AX9" t="s">
        <v>74</v>
      </c>
      <c r="AY9" t="s">
        <v>74</v>
      </c>
      <c r="AZ9" t="s">
        <v>74</v>
      </c>
      <c r="BA9" t="s">
        <v>74</v>
      </c>
      <c r="BB9">
        <v>435</v>
      </c>
      <c r="BC9" t="s">
        <v>282</v>
      </c>
      <c r="BD9" t="s">
        <v>74</v>
      </c>
      <c r="BE9" t="s">
        <v>283</v>
      </c>
      <c r="BF9" t="str">
        <f>HYPERLINK("http://dx.doi.org/10.1038/s41561-020-0575-4","http://dx.doi.org/10.1038/s41561-020-0575-4")</f>
        <v>http://dx.doi.org/10.1038/s41561-020-0575-4</v>
      </c>
      <c r="BG9" t="s">
        <v>74</v>
      </c>
      <c r="BH9" t="s">
        <v>284</v>
      </c>
      <c r="BI9">
        <v>19</v>
      </c>
      <c r="BJ9" t="s">
        <v>285</v>
      </c>
      <c r="BK9" t="s">
        <v>102</v>
      </c>
      <c r="BL9" t="s">
        <v>286</v>
      </c>
      <c r="BM9" t="s">
        <v>287</v>
      </c>
      <c r="BN9" t="s">
        <v>74</v>
      </c>
      <c r="BO9" t="s">
        <v>74</v>
      </c>
      <c r="BP9" t="s">
        <v>74</v>
      </c>
      <c r="BQ9" t="s">
        <v>74</v>
      </c>
      <c r="BR9" t="s">
        <v>106</v>
      </c>
      <c r="BS9" t="s">
        <v>288</v>
      </c>
      <c r="BT9" t="str">
        <f>HYPERLINK("https%3A%2F%2Fwww.webofscience.com%2Fwos%2Fwoscc%2Ffull-record%2FWOS:000537994800002","View Full Record in Web of Science")</f>
        <v>View Full Record in Web of Science</v>
      </c>
    </row>
    <row r="10" spans="1:72" x14ac:dyDescent="0.2">
      <c r="A10" t="s">
        <v>72</v>
      </c>
      <c r="B10" t="s">
        <v>289</v>
      </c>
      <c r="C10" t="s">
        <v>74</v>
      </c>
      <c r="D10" t="s">
        <v>74</v>
      </c>
      <c r="E10" t="s">
        <v>74</v>
      </c>
      <c r="F10" t="s">
        <v>290</v>
      </c>
      <c r="G10" t="s">
        <v>74</v>
      </c>
      <c r="H10" t="s">
        <v>74</v>
      </c>
      <c r="I10" t="s">
        <v>291</v>
      </c>
      <c r="J10" t="s">
        <v>292</v>
      </c>
      <c r="K10" t="s">
        <v>74</v>
      </c>
      <c r="L10" t="s">
        <v>74</v>
      </c>
      <c r="M10" t="s">
        <v>78</v>
      </c>
      <c r="N10" t="s">
        <v>79</v>
      </c>
      <c r="O10" t="s">
        <v>74</v>
      </c>
      <c r="P10" t="s">
        <v>74</v>
      </c>
      <c r="Q10" t="s">
        <v>74</v>
      </c>
      <c r="R10" t="s">
        <v>74</v>
      </c>
      <c r="S10" t="s">
        <v>74</v>
      </c>
      <c r="T10" t="s">
        <v>293</v>
      </c>
      <c r="U10" t="s">
        <v>294</v>
      </c>
      <c r="V10" t="s">
        <v>295</v>
      </c>
      <c r="W10" t="s">
        <v>296</v>
      </c>
      <c r="X10" t="s">
        <v>297</v>
      </c>
      <c r="Y10" t="s">
        <v>298</v>
      </c>
      <c r="Z10" t="s">
        <v>299</v>
      </c>
      <c r="AA10" t="s">
        <v>300</v>
      </c>
      <c r="AB10" t="s">
        <v>301</v>
      </c>
      <c r="AC10" t="s">
        <v>302</v>
      </c>
      <c r="AD10" t="s">
        <v>303</v>
      </c>
      <c r="AE10" t="s">
        <v>304</v>
      </c>
      <c r="AF10" t="s">
        <v>74</v>
      </c>
      <c r="AG10">
        <v>44</v>
      </c>
      <c r="AH10">
        <v>15</v>
      </c>
      <c r="AI10">
        <v>16</v>
      </c>
      <c r="AJ10">
        <v>2</v>
      </c>
      <c r="AK10">
        <v>44</v>
      </c>
      <c r="AL10" t="s">
        <v>305</v>
      </c>
      <c r="AM10" t="s">
        <v>306</v>
      </c>
      <c r="AN10" t="s">
        <v>307</v>
      </c>
      <c r="AO10" t="s">
        <v>308</v>
      </c>
      <c r="AP10" t="s">
        <v>309</v>
      </c>
      <c r="AQ10" t="s">
        <v>74</v>
      </c>
      <c r="AR10" t="s">
        <v>292</v>
      </c>
      <c r="AS10" t="s">
        <v>310</v>
      </c>
      <c r="AT10" t="s">
        <v>311</v>
      </c>
      <c r="AU10">
        <v>2019</v>
      </c>
      <c r="AV10">
        <v>58</v>
      </c>
      <c r="AW10">
        <v>3</v>
      </c>
      <c r="AX10" t="s">
        <v>74</v>
      </c>
      <c r="AY10" t="s">
        <v>74</v>
      </c>
      <c r="AZ10" t="s">
        <v>74</v>
      </c>
      <c r="BA10" t="s">
        <v>74</v>
      </c>
      <c r="BB10">
        <v>354</v>
      </c>
      <c r="BC10">
        <v>368</v>
      </c>
      <c r="BD10" t="s">
        <v>74</v>
      </c>
      <c r="BE10" t="s">
        <v>312</v>
      </c>
      <c r="BF10" t="str">
        <f>HYPERLINK("http://dx.doi.org/10.1080/03031853.2019.1589544","http://dx.doi.org/10.1080/03031853.2019.1589544")</f>
        <v>http://dx.doi.org/10.1080/03031853.2019.1589544</v>
      </c>
      <c r="BG10" t="s">
        <v>74</v>
      </c>
      <c r="BH10" t="s">
        <v>313</v>
      </c>
      <c r="BI10">
        <v>15</v>
      </c>
      <c r="BJ10" t="s">
        <v>314</v>
      </c>
      <c r="BK10" t="s">
        <v>102</v>
      </c>
      <c r="BL10" t="s">
        <v>103</v>
      </c>
      <c r="BM10" t="s">
        <v>315</v>
      </c>
      <c r="BN10" t="s">
        <v>74</v>
      </c>
      <c r="BO10" t="s">
        <v>74</v>
      </c>
      <c r="BP10" t="s">
        <v>74</v>
      </c>
      <c r="BQ10" t="s">
        <v>74</v>
      </c>
      <c r="BR10" t="s">
        <v>106</v>
      </c>
      <c r="BS10" t="s">
        <v>316</v>
      </c>
      <c r="BT10" t="str">
        <f>HYPERLINK("https%3A%2F%2Fwww.webofscience.com%2Fwos%2Fwoscc%2Ffull-record%2FWOS:000466211900001","View Full Record in Web of Science")</f>
        <v>View Full Record in Web of Science</v>
      </c>
    </row>
    <row r="11" spans="1:72" x14ac:dyDescent="0.2">
      <c r="A11" t="s">
        <v>72</v>
      </c>
      <c r="B11" t="s">
        <v>317</v>
      </c>
      <c r="C11" t="s">
        <v>74</v>
      </c>
      <c r="D11" t="s">
        <v>74</v>
      </c>
      <c r="E11" t="s">
        <v>74</v>
      </c>
      <c r="F11" t="s">
        <v>318</v>
      </c>
      <c r="G11" t="s">
        <v>74</v>
      </c>
      <c r="H11" t="s">
        <v>74</v>
      </c>
      <c r="I11" t="s">
        <v>319</v>
      </c>
      <c r="J11" t="s">
        <v>320</v>
      </c>
      <c r="K11" t="s">
        <v>74</v>
      </c>
      <c r="L11" t="s">
        <v>74</v>
      </c>
      <c r="M11" t="s">
        <v>78</v>
      </c>
      <c r="N11" t="s">
        <v>79</v>
      </c>
      <c r="O11" t="s">
        <v>74</v>
      </c>
      <c r="P11" t="s">
        <v>74</v>
      </c>
      <c r="Q11" t="s">
        <v>74</v>
      </c>
      <c r="R11" t="s">
        <v>74</v>
      </c>
      <c r="S11" t="s">
        <v>74</v>
      </c>
      <c r="T11" t="s">
        <v>321</v>
      </c>
      <c r="U11" t="s">
        <v>322</v>
      </c>
      <c r="V11" t="s">
        <v>323</v>
      </c>
      <c r="W11" t="s">
        <v>324</v>
      </c>
      <c r="X11" t="s">
        <v>325</v>
      </c>
      <c r="Y11" t="s">
        <v>326</v>
      </c>
      <c r="Z11" t="s">
        <v>327</v>
      </c>
      <c r="AA11" t="s">
        <v>328</v>
      </c>
      <c r="AB11" t="s">
        <v>329</v>
      </c>
      <c r="AC11" t="s">
        <v>330</v>
      </c>
      <c r="AD11" t="s">
        <v>331</v>
      </c>
      <c r="AE11" t="s">
        <v>332</v>
      </c>
      <c r="AF11" t="s">
        <v>74</v>
      </c>
      <c r="AG11">
        <v>71</v>
      </c>
      <c r="AH11">
        <v>0</v>
      </c>
      <c r="AI11">
        <v>0</v>
      </c>
      <c r="AJ11">
        <v>24</v>
      </c>
      <c r="AK11">
        <v>29</v>
      </c>
      <c r="AL11" t="s">
        <v>123</v>
      </c>
      <c r="AM11" t="s">
        <v>124</v>
      </c>
      <c r="AN11" t="s">
        <v>125</v>
      </c>
      <c r="AO11" t="s">
        <v>333</v>
      </c>
      <c r="AP11" t="s">
        <v>334</v>
      </c>
      <c r="AQ11" t="s">
        <v>74</v>
      </c>
      <c r="AR11" t="s">
        <v>335</v>
      </c>
      <c r="AS11" t="s">
        <v>336</v>
      </c>
      <c r="AT11" t="s">
        <v>337</v>
      </c>
      <c r="AU11">
        <v>2025</v>
      </c>
      <c r="AV11">
        <v>220</v>
      </c>
      <c r="AW11" t="s">
        <v>74</v>
      </c>
      <c r="AX11" t="s">
        <v>74</v>
      </c>
      <c r="AY11" t="s">
        <v>74</v>
      </c>
      <c r="AZ11" t="s">
        <v>74</v>
      </c>
      <c r="BA11" t="s">
        <v>74</v>
      </c>
      <c r="BB11" t="s">
        <v>74</v>
      </c>
      <c r="BC11" t="s">
        <v>74</v>
      </c>
      <c r="BD11">
        <v>108386</v>
      </c>
      <c r="BE11" t="s">
        <v>338</v>
      </c>
      <c r="BF11" t="str">
        <f>HYPERLINK("http://dx.doi.org/10.1016/j.resconrec.2025.108386","http://dx.doi.org/10.1016/j.resconrec.2025.108386")</f>
        <v>http://dx.doi.org/10.1016/j.resconrec.2025.108386</v>
      </c>
      <c r="BG11" t="s">
        <v>74</v>
      </c>
      <c r="BH11" t="s">
        <v>339</v>
      </c>
      <c r="BI11">
        <v>11</v>
      </c>
      <c r="BJ11" t="s">
        <v>340</v>
      </c>
      <c r="BK11" t="s">
        <v>102</v>
      </c>
      <c r="BL11" t="s">
        <v>341</v>
      </c>
      <c r="BM11" t="s">
        <v>342</v>
      </c>
      <c r="BN11" t="s">
        <v>74</v>
      </c>
      <c r="BO11" t="s">
        <v>74</v>
      </c>
      <c r="BP11" t="s">
        <v>74</v>
      </c>
      <c r="BQ11" t="s">
        <v>74</v>
      </c>
      <c r="BR11" t="s">
        <v>106</v>
      </c>
      <c r="BS11" t="s">
        <v>343</v>
      </c>
      <c r="BT11" t="str">
        <f>HYPERLINK("https%3A%2F%2Fwww.webofscience.com%2Fwos%2Fwoscc%2Ffull-record%2FWOS:001493204000002","View Full Record in Web of Science")</f>
        <v>View Full Record in Web of Science</v>
      </c>
    </row>
    <row r="12" spans="1:72" x14ac:dyDescent="0.2">
      <c r="A12" t="s">
        <v>72</v>
      </c>
      <c r="B12" t="s">
        <v>344</v>
      </c>
      <c r="C12" t="s">
        <v>74</v>
      </c>
      <c r="D12" t="s">
        <v>74</v>
      </c>
      <c r="E12" t="s">
        <v>74</v>
      </c>
      <c r="F12" t="s">
        <v>345</v>
      </c>
      <c r="G12" t="s">
        <v>74</v>
      </c>
      <c r="H12" t="s">
        <v>74</v>
      </c>
      <c r="I12" t="s">
        <v>346</v>
      </c>
      <c r="J12" t="s">
        <v>347</v>
      </c>
      <c r="K12" t="s">
        <v>74</v>
      </c>
      <c r="L12" t="s">
        <v>74</v>
      </c>
      <c r="M12" t="s">
        <v>78</v>
      </c>
      <c r="N12" t="s">
        <v>79</v>
      </c>
      <c r="O12" t="s">
        <v>74</v>
      </c>
      <c r="P12" t="s">
        <v>74</v>
      </c>
      <c r="Q12" t="s">
        <v>74</v>
      </c>
      <c r="R12" t="s">
        <v>74</v>
      </c>
      <c r="S12" t="s">
        <v>74</v>
      </c>
      <c r="T12" t="s">
        <v>348</v>
      </c>
      <c r="U12" t="s">
        <v>74</v>
      </c>
      <c r="V12" t="s">
        <v>349</v>
      </c>
      <c r="W12" t="s">
        <v>350</v>
      </c>
      <c r="X12" t="s">
        <v>351</v>
      </c>
      <c r="Y12" t="s">
        <v>352</v>
      </c>
      <c r="Z12" t="s">
        <v>353</v>
      </c>
      <c r="AA12" t="s">
        <v>74</v>
      </c>
      <c r="AB12" t="s">
        <v>74</v>
      </c>
      <c r="AC12" t="s">
        <v>354</v>
      </c>
      <c r="AD12" t="s">
        <v>355</v>
      </c>
      <c r="AE12" t="s">
        <v>356</v>
      </c>
      <c r="AF12" t="s">
        <v>74</v>
      </c>
      <c r="AG12">
        <v>70</v>
      </c>
      <c r="AH12">
        <v>0</v>
      </c>
      <c r="AI12">
        <v>0</v>
      </c>
      <c r="AJ12">
        <v>0</v>
      </c>
      <c r="AK12">
        <v>0</v>
      </c>
      <c r="AL12" t="s">
        <v>274</v>
      </c>
      <c r="AM12" t="s">
        <v>275</v>
      </c>
      <c r="AN12" t="s">
        <v>276</v>
      </c>
      <c r="AO12" t="s">
        <v>357</v>
      </c>
      <c r="AP12" t="s">
        <v>74</v>
      </c>
      <c r="AQ12" t="s">
        <v>74</v>
      </c>
      <c r="AR12" t="s">
        <v>358</v>
      </c>
      <c r="AS12" t="s">
        <v>359</v>
      </c>
      <c r="AT12" t="s">
        <v>360</v>
      </c>
      <c r="AU12">
        <v>2025</v>
      </c>
      <c r="AV12">
        <v>15</v>
      </c>
      <c r="AW12">
        <v>1</v>
      </c>
      <c r="AX12" t="s">
        <v>74</v>
      </c>
      <c r="AY12" t="s">
        <v>74</v>
      </c>
      <c r="AZ12" t="s">
        <v>74</v>
      </c>
      <c r="BA12" t="s">
        <v>74</v>
      </c>
      <c r="BB12" t="s">
        <v>74</v>
      </c>
      <c r="BC12" t="s">
        <v>74</v>
      </c>
      <c r="BD12">
        <v>42811</v>
      </c>
      <c r="BE12" t="s">
        <v>361</v>
      </c>
      <c r="BF12" t="str">
        <f>HYPERLINK("http://dx.doi.org/10.1038/s41598-025-29655-2","http://dx.doi.org/10.1038/s41598-025-29655-2")</f>
        <v>http://dx.doi.org/10.1038/s41598-025-29655-2</v>
      </c>
      <c r="BG12" t="s">
        <v>74</v>
      </c>
      <c r="BH12" t="s">
        <v>74</v>
      </c>
      <c r="BI12">
        <v>17</v>
      </c>
      <c r="BJ12" t="s">
        <v>158</v>
      </c>
      <c r="BK12" t="s">
        <v>102</v>
      </c>
      <c r="BL12" t="s">
        <v>159</v>
      </c>
      <c r="BM12" t="s">
        <v>362</v>
      </c>
      <c r="BN12">
        <v>41276680</v>
      </c>
      <c r="BO12" t="s">
        <v>161</v>
      </c>
      <c r="BP12" t="s">
        <v>74</v>
      </c>
      <c r="BQ12" t="s">
        <v>74</v>
      </c>
      <c r="BR12" t="s">
        <v>106</v>
      </c>
      <c r="BS12" t="s">
        <v>363</v>
      </c>
      <c r="BT12" t="str">
        <f>HYPERLINK("https%3A%2F%2Fwww.webofscience.com%2Fwos%2Fwoscc%2Ffull-record%2FWOS:001628840800001","View Full Record in Web of Science")</f>
        <v>View Full Record in Web of Science</v>
      </c>
    </row>
    <row r="13" spans="1:72" x14ac:dyDescent="0.2">
      <c r="A13" t="s">
        <v>72</v>
      </c>
      <c r="B13" t="s">
        <v>364</v>
      </c>
      <c r="C13" t="s">
        <v>74</v>
      </c>
      <c r="D13" t="s">
        <v>74</v>
      </c>
      <c r="E13" t="s">
        <v>74</v>
      </c>
      <c r="F13" t="s">
        <v>365</v>
      </c>
      <c r="G13" t="s">
        <v>74</v>
      </c>
      <c r="H13" t="s">
        <v>74</v>
      </c>
      <c r="I13" t="s">
        <v>366</v>
      </c>
      <c r="J13" t="s">
        <v>367</v>
      </c>
      <c r="K13" t="s">
        <v>74</v>
      </c>
      <c r="L13" t="s">
        <v>74</v>
      </c>
      <c r="M13" t="s">
        <v>78</v>
      </c>
      <c r="N13" t="s">
        <v>79</v>
      </c>
      <c r="O13" t="s">
        <v>74</v>
      </c>
      <c r="P13" t="s">
        <v>74</v>
      </c>
      <c r="Q13" t="s">
        <v>74</v>
      </c>
      <c r="R13" t="s">
        <v>74</v>
      </c>
      <c r="S13" t="s">
        <v>74</v>
      </c>
      <c r="T13" t="s">
        <v>368</v>
      </c>
      <c r="U13" t="s">
        <v>369</v>
      </c>
      <c r="V13" t="s">
        <v>370</v>
      </c>
      <c r="W13" t="s">
        <v>371</v>
      </c>
      <c r="X13" t="s">
        <v>372</v>
      </c>
      <c r="Y13" t="s">
        <v>373</v>
      </c>
      <c r="Z13" t="s">
        <v>374</v>
      </c>
      <c r="AA13" t="s">
        <v>375</v>
      </c>
      <c r="AB13" t="s">
        <v>376</v>
      </c>
      <c r="AC13" t="s">
        <v>74</v>
      </c>
      <c r="AD13" t="s">
        <v>74</v>
      </c>
      <c r="AE13" t="s">
        <v>74</v>
      </c>
      <c r="AF13" t="s">
        <v>74</v>
      </c>
      <c r="AG13">
        <v>12</v>
      </c>
      <c r="AH13">
        <v>20</v>
      </c>
      <c r="AI13">
        <v>21</v>
      </c>
      <c r="AJ13">
        <v>2</v>
      </c>
      <c r="AK13">
        <v>27</v>
      </c>
      <c r="AL13" t="s">
        <v>377</v>
      </c>
      <c r="AM13" t="s">
        <v>93</v>
      </c>
      <c r="AN13" t="s">
        <v>378</v>
      </c>
      <c r="AO13" t="s">
        <v>379</v>
      </c>
      <c r="AP13" t="s">
        <v>380</v>
      </c>
      <c r="AQ13" t="s">
        <v>74</v>
      </c>
      <c r="AR13" t="s">
        <v>381</v>
      </c>
      <c r="AS13" t="s">
        <v>382</v>
      </c>
      <c r="AT13" t="s">
        <v>74</v>
      </c>
      <c r="AU13">
        <v>2020</v>
      </c>
      <c r="AV13">
        <v>1</v>
      </c>
      <c r="AW13">
        <v>1</v>
      </c>
      <c r="AX13" t="s">
        <v>74</v>
      </c>
      <c r="AY13" t="s">
        <v>74</v>
      </c>
      <c r="AZ13" t="s">
        <v>74</v>
      </c>
      <c r="BA13" t="s">
        <v>74</v>
      </c>
      <c r="BB13" t="s">
        <v>74</v>
      </c>
      <c r="BC13" t="s">
        <v>74</v>
      </c>
      <c r="BD13">
        <v>4</v>
      </c>
      <c r="BE13" t="s">
        <v>383</v>
      </c>
      <c r="BF13" t="str">
        <f>HYPERLINK("http://dx.doi.org/10.1186/s43020-019-0002-4","http://dx.doi.org/10.1186/s43020-019-0002-4")</f>
        <v>http://dx.doi.org/10.1186/s43020-019-0002-4</v>
      </c>
      <c r="BG13" t="s">
        <v>74</v>
      </c>
      <c r="BH13" t="s">
        <v>74</v>
      </c>
      <c r="BI13">
        <v>6</v>
      </c>
      <c r="BJ13" t="s">
        <v>384</v>
      </c>
      <c r="BK13" t="s">
        <v>102</v>
      </c>
      <c r="BL13" t="s">
        <v>385</v>
      </c>
      <c r="BM13" t="s">
        <v>386</v>
      </c>
      <c r="BN13" t="s">
        <v>74</v>
      </c>
      <c r="BO13" t="s">
        <v>161</v>
      </c>
      <c r="BP13" t="s">
        <v>74</v>
      </c>
      <c r="BQ13" t="s">
        <v>74</v>
      </c>
      <c r="BR13" t="s">
        <v>106</v>
      </c>
      <c r="BS13" t="s">
        <v>387</v>
      </c>
      <c r="BT13" t="str">
        <f>HYPERLINK("https%3A%2F%2Fwww.webofscience.com%2Fwos%2Fwoscc%2Ffull-record%2FWOS:000751601600004","View Full Record in Web of Science")</f>
        <v>View Full Record in Web of Science</v>
      </c>
    </row>
    <row r="14" spans="1:72" x14ac:dyDescent="0.2">
      <c r="A14" t="s">
        <v>72</v>
      </c>
      <c r="B14" t="s">
        <v>388</v>
      </c>
      <c r="C14" t="s">
        <v>74</v>
      </c>
      <c r="D14" t="s">
        <v>74</v>
      </c>
      <c r="E14" t="s">
        <v>74</v>
      </c>
      <c r="F14" t="s">
        <v>389</v>
      </c>
      <c r="G14" t="s">
        <v>74</v>
      </c>
      <c r="H14" t="s">
        <v>74</v>
      </c>
      <c r="I14" t="s">
        <v>390</v>
      </c>
      <c r="J14" t="s">
        <v>391</v>
      </c>
      <c r="K14" t="s">
        <v>74</v>
      </c>
      <c r="L14" t="s">
        <v>74</v>
      </c>
      <c r="M14" t="s">
        <v>78</v>
      </c>
      <c r="N14" t="s">
        <v>79</v>
      </c>
      <c r="O14" t="s">
        <v>74</v>
      </c>
      <c r="P14" t="s">
        <v>74</v>
      </c>
      <c r="Q14" t="s">
        <v>74</v>
      </c>
      <c r="R14" t="s">
        <v>74</v>
      </c>
      <c r="S14" t="s">
        <v>74</v>
      </c>
      <c r="T14" t="s">
        <v>392</v>
      </c>
      <c r="U14" t="s">
        <v>393</v>
      </c>
      <c r="V14" t="s">
        <v>394</v>
      </c>
      <c r="W14" t="s">
        <v>395</v>
      </c>
      <c r="X14" t="s">
        <v>396</v>
      </c>
      <c r="Y14" t="s">
        <v>397</v>
      </c>
      <c r="Z14" t="s">
        <v>398</v>
      </c>
      <c r="AA14" t="s">
        <v>399</v>
      </c>
      <c r="AB14" t="s">
        <v>400</v>
      </c>
      <c r="AC14" t="s">
        <v>401</v>
      </c>
      <c r="AD14" t="s">
        <v>402</v>
      </c>
      <c r="AE14" t="s">
        <v>403</v>
      </c>
      <c r="AF14" t="s">
        <v>74</v>
      </c>
      <c r="AG14">
        <v>80</v>
      </c>
      <c r="AH14">
        <v>2</v>
      </c>
      <c r="AI14">
        <v>2</v>
      </c>
      <c r="AJ14">
        <v>19</v>
      </c>
      <c r="AK14">
        <v>19</v>
      </c>
      <c r="AL14" t="s">
        <v>404</v>
      </c>
      <c r="AM14" t="s">
        <v>405</v>
      </c>
      <c r="AN14" t="s">
        <v>406</v>
      </c>
      <c r="AO14" t="s">
        <v>407</v>
      </c>
      <c r="AP14" t="s">
        <v>408</v>
      </c>
      <c r="AQ14" t="s">
        <v>74</v>
      </c>
      <c r="AR14" t="s">
        <v>409</v>
      </c>
      <c r="AS14" t="s">
        <v>410</v>
      </c>
      <c r="AT14" t="s">
        <v>411</v>
      </c>
      <c r="AU14">
        <v>2025</v>
      </c>
      <c r="AV14">
        <v>343</v>
      </c>
      <c r="AW14" t="s">
        <v>74</v>
      </c>
      <c r="AX14" t="s">
        <v>74</v>
      </c>
      <c r="AY14" t="s">
        <v>74</v>
      </c>
      <c r="AZ14" t="s">
        <v>74</v>
      </c>
      <c r="BA14" t="s">
        <v>74</v>
      </c>
      <c r="BB14" t="s">
        <v>74</v>
      </c>
      <c r="BC14" t="s">
        <v>74</v>
      </c>
      <c r="BD14">
        <v>115953</v>
      </c>
      <c r="BE14" t="s">
        <v>412</v>
      </c>
      <c r="BF14" t="str">
        <f>HYPERLINK("http://dx.doi.org/10.1016/j.enbuild.2025.115953","http://dx.doi.org/10.1016/j.enbuild.2025.115953")</f>
        <v>http://dx.doi.org/10.1016/j.enbuild.2025.115953</v>
      </c>
      <c r="BG14" t="s">
        <v>74</v>
      </c>
      <c r="BH14" t="s">
        <v>413</v>
      </c>
      <c r="BI14">
        <v>18</v>
      </c>
      <c r="BJ14" t="s">
        <v>414</v>
      </c>
      <c r="BK14" t="s">
        <v>102</v>
      </c>
      <c r="BL14" t="s">
        <v>415</v>
      </c>
      <c r="BM14" t="s">
        <v>416</v>
      </c>
      <c r="BN14" t="s">
        <v>74</v>
      </c>
      <c r="BO14" t="s">
        <v>74</v>
      </c>
      <c r="BP14" t="s">
        <v>74</v>
      </c>
      <c r="BQ14" t="s">
        <v>74</v>
      </c>
      <c r="BR14" t="s">
        <v>106</v>
      </c>
      <c r="BS14" t="s">
        <v>417</v>
      </c>
      <c r="BT14" t="str">
        <f>HYPERLINK("https%3A%2F%2Fwww.webofscience.com%2Fwos%2Fwoscc%2Ffull-record%2FWOS:001506341300001","View Full Record in Web of Science")</f>
        <v>View Full Record in Web of Science</v>
      </c>
    </row>
    <row r="15" spans="1:72" x14ac:dyDescent="0.2">
      <c r="A15" t="s">
        <v>72</v>
      </c>
      <c r="B15" t="s">
        <v>418</v>
      </c>
      <c r="C15" t="s">
        <v>74</v>
      </c>
      <c r="D15" t="s">
        <v>74</v>
      </c>
      <c r="E15" t="s">
        <v>74</v>
      </c>
      <c r="F15" t="s">
        <v>419</v>
      </c>
      <c r="G15" t="s">
        <v>74</v>
      </c>
      <c r="H15" t="s">
        <v>74</v>
      </c>
      <c r="I15" t="s">
        <v>420</v>
      </c>
      <c r="J15" t="s">
        <v>421</v>
      </c>
      <c r="K15" t="s">
        <v>74</v>
      </c>
      <c r="L15" t="s">
        <v>74</v>
      </c>
      <c r="M15" t="s">
        <v>78</v>
      </c>
      <c r="N15" t="s">
        <v>79</v>
      </c>
      <c r="O15" t="s">
        <v>74</v>
      </c>
      <c r="P15" t="s">
        <v>74</v>
      </c>
      <c r="Q15" t="s">
        <v>74</v>
      </c>
      <c r="R15" t="s">
        <v>74</v>
      </c>
      <c r="S15" t="s">
        <v>74</v>
      </c>
      <c r="T15" t="s">
        <v>422</v>
      </c>
      <c r="U15" t="s">
        <v>423</v>
      </c>
      <c r="V15" t="s">
        <v>424</v>
      </c>
      <c r="W15" t="s">
        <v>425</v>
      </c>
      <c r="X15" t="s">
        <v>426</v>
      </c>
      <c r="Y15" t="s">
        <v>427</v>
      </c>
      <c r="Z15" t="s">
        <v>428</v>
      </c>
      <c r="AA15" t="s">
        <v>429</v>
      </c>
      <c r="AB15" t="s">
        <v>430</v>
      </c>
      <c r="AC15" t="s">
        <v>431</v>
      </c>
      <c r="AD15" t="s">
        <v>432</v>
      </c>
      <c r="AE15" t="s">
        <v>433</v>
      </c>
      <c r="AF15" t="s">
        <v>74</v>
      </c>
      <c r="AG15">
        <v>65</v>
      </c>
      <c r="AH15">
        <v>16</v>
      </c>
      <c r="AI15">
        <v>17</v>
      </c>
      <c r="AJ15">
        <v>3</v>
      </c>
      <c r="AK15">
        <v>57</v>
      </c>
      <c r="AL15" t="s">
        <v>123</v>
      </c>
      <c r="AM15" t="s">
        <v>124</v>
      </c>
      <c r="AN15" t="s">
        <v>125</v>
      </c>
      <c r="AO15" t="s">
        <v>434</v>
      </c>
      <c r="AP15" t="s">
        <v>435</v>
      </c>
      <c r="AQ15" t="s">
        <v>74</v>
      </c>
      <c r="AR15" t="s">
        <v>421</v>
      </c>
      <c r="AS15" t="s">
        <v>436</v>
      </c>
      <c r="AT15" t="s">
        <v>281</v>
      </c>
      <c r="AU15">
        <v>2022</v>
      </c>
      <c r="AV15">
        <v>213</v>
      </c>
      <c r="AW15" t="s">
        <v>74</v>
      </c>
      <c r="AX15" t="s">
        <v>74</v>
      </c>
      <c r="AY15" t="s">
        <v>74</v>
      </c>
      <c r="AZ15" t="s">
        <v>74</v>
      </c>
      <c r="BA15" t="s">
        <v>74</v>
      </c>
      <c r="BB15" t="s">
        <v>74</v>
      </c>
      <c r="BC15" t="s">
        <v>74</v>
      </c>
      <c r="BD15">
        <v>106196</v>
      </c>
      <c r="BE15" t="s">
        <v>437</v>
      </c>
      <c r="BF15" t="str">
        <f>HYPERLINK("http://dx.doi.org/10.1016/j.catena.2022.106196","http://dx.doi.org/10.1016/j.catena.2022.106196")</f>
        <v>http://dx.doi.org/10.1016/j.catena.2022.106196</v>
      </c>
      <c r="BG15" t="s">
        <v>74</v>
      </c>
      <c r="BH15" t="s">
        <v>438</v>
      </c>
      <c r="BI15">
        <v>10</v>
      </c>
      <c r="BJ15" t="s">
        <v>439</v>
      </c>
      <c r="BK15" t="s">
        <v>102</v>
      </c>
      <c r="BL15" t="s">
        <v>440</v>
      </c>
      <c r="BM15" t="s">
        <v>441</v>
      </c>
      <c r="BN15" t="s">
        <v>74</v>
      </c>
      <c r="BO15" t="s">
        <v>74</v>
      </c>
      <c r="BP15" t="s">
        <v>74</v>
      </c>
      <c r="BQ15" t="s">
        <v>74</v>
      </c>
      <c r="BR15" t="s">
        <v>106</v>
      </c>
      <c r="BS15" t="s">
        <v>442</v>
      </c>
      <c r="BT15" t="str">
        <f>HYPERLINK("https%3A%2F%2Fwww.webofscience.com%2Fwos%2Fwoscc%2Ffull-record%2FWOS:000790445600003","View Full Record in Web of Science")</f>
        <v>View Full Record in Web of Science</v>
      </c>
    </row>
    <row r="16" spans="1:72" x14ac:dyDescent="0.2">
      <c r="A16" t="s">
        <v>72</v>
      </c>
      <c r="B16" t="s">
        <v>443</v>
      </c>
      <c r="C16" t="s">
        <v>74</v>
      </c>
      <c r="D16" t="s">
        <v>74</v>
      </c>
      <c r="E16" t="s">
        <v>74</v>
      </c>
      <c r="F16" t="s">
        <v>444</v>
      </c>
      <c r="G16" t="s">
        <v>74</v>
      </c>
      <c r="H16" t="s">
        <v>74</v>
      </c>
      <c r="I16" t="s">
        <v>445</v>
      </c>
      <c r="J16" t="s">
        <v>446</v>
      </c>
      <c r="K16" t="s">
        <v>74</v>
      </c>
      <c r="L16" t="s">
        <v>74</v>
      </c>
      <c r="M16" t="s">
        <v>78</v>
      </c>
      <c r="N16" t="s">
        <v>79</v>
      </c>
      <c r="O16" t="s">
        <v>74</v>
      </c>
      <c r="P16" t="s">
        <v>74</v>
      </c>
      <c r="Q16" t="s">
        <v>74</v>
      </c>
      <c r="R16" t="s">
        <v>74</v>
      </c>
      <c r="S16" t="s">
        <v>74</v>
      </c>
      <c r="T16" t="s">
        <v>447</v>
      </c>
      <c r="U16" t="s">
        <v>448</v>
      </c>
      <c r="V16" t="s">
        <v>449</v>
      </c>
      <c r="W16" t="s">
        <v>450</v>
      </c>
      <c r="X16" t="s">
        <v>451</v>
      </c>
      <c r="Y16" t="s">
        <v>452</v>
      </c>
      <c r="Z16" t="s">
        <v>453</v>
      </c>
      <c r="AA16" t="s">
        <v>454</v>
      </c>
      <c r="AB16" t="s">
        <v>74</v>
      </c>
      <c r="AC16" t="s">
        <v>455</v>
      </c>
      <c r="AD16" t="s">
        <v>455</v>
      </c>
      <c r="AE16" t="s">
        <v>456</v>
      </c>
      <c r="AF16" t="s">
        <v>74</v>
      </c>
      <c r="AG16">
        <v>41</v>
      </c>
      <c r="AH16">
        <v>5</v>
      </c>
      <c r="AI16">
        <v>6</v>
      </c>
      <c r="AJ16">
        <v>23</v>
      </c>
      <c r="AK16">
        <v>91</v>
      </c>
      <c r="AL16" t="s">
        <v>222</v>
      </c>
      <c r="AM16" t="s">
        <v>223</v>
      </c>
      <c r="AN16" t="s">
        <v>224</v>
      </c>
      <c r="AO16" t="s">
        <v>74</v>
      </c>
      <c r="AP16" t="s">
        <v>457</v>
      </c>
      <c r="AQ16" t="s">
        <v>74</v>
      </c>
      <c r="AR16" t="s">
        <v>446</v>
      </c>
      <c r="AS16" t="s">
        <v>458</v>
      </c>
      <c r="AT16" t="s">
        <v>459</v>
      </c>
      <c r="AU16">
        <v>2024</v>
      </c>
      <c r="AV16">
        <v>14</v>
      </c>
      <c r="AW16">
        <v>2</v>
      </c>
      <c r="AX16" t="s">
        <v>74</v>
      </c>
      <c r="AY16" t="s">
        <v>74</v>
      </c>
      <c r="AZ16" t="s">
        <v>74</v>
      </c>
      <c r="BA16" t="s">
        <v>74</v>
      </c>
      <c r="BB16" t="s">
        <v>74</v>
      </c>
      <c r="BC16" t="s">
        <v>74</v>
      </c>
      <c r="BD16">
        <v>395</v>
      </c>
      <c r="BE16" t="s">
        <v>460</v>
      </c>
      <c r="BF16" t="str">
        <f>HYPERLINK("http://dx.doi.org/10.3390/agronomy14020395","http://dx.doi.org/10.3390/agronomy14020395")</f>
        <v>http://dx.doi.org/10.3390/agronomy14020395</v>
      </c>
      <c r="BG16" t="s">
        <v>74</v>
      </c>
      <c r="BH16" t="s">
        <v>74</v>
      </c>
      <c r="BI16">
        <v>13</v>
      </c>
      <c r="BJ16" t="s">
        <v>461</v>
      </c>
      <c r="BK16" t="s">
        <v>102</v>
      </c>
      <c r="BL16" t="s">
        <v>462</v>
      </c>
      <c r="BM16" t="s">
        <v>463</v>
      </c>
      <c r="BN16" t="s">
        <v>74</v>
      </c>
      <c r="BO16" t="s">
        <v>231</v>
      </c>
      <c r="BP16" t="s">
        <v>74</v>
      </c>
      <c r="BQ16" t="s">
        <v>74</v>
      </c>
      <c r="BR16" t="s">
        <v>106</v>
      </c>
      <c r="BS16" t="s">
        <v>464</v>
      </c>
      <c r="BT16" t="str">
        <f>HYPERLINK("https%3A%2F%2Fwww.webofscience.com%2Fwos%2Fwoscc%2Ffull-record%2FWOS:001175077600001","View Full Record in Web of Science")</f>
        <v>View Full Record in Web of Science</v>
      </c>
    </row>
    <row r="17" spans="1:72" x14ac:dyDescent="0.2">
      <c r="A17" t="s">
        <v>72</v>
      </c>
      <c r="B17" t="s">
        <v>465</v>
      </c>
      <c r="C17" t="s">
        <v>74</v>
      </c>
      <c r="D17" t="s">
        <v>74</v>
      </c>
      <c r="E17" t="s">
        <v>74</v>
      </c>
      <c r="F17" t="s">
        <v>466</v>
      </c>
      <c r="G17" t="s">
        <v>74</v>
      </c>
      <c r="H17" t="s">
        <v>74</v>
      </c>
      <c r="I17" t="s">
        <v>467</v>
      </c>
      <c r="J17" t="s">
        <v>468</v>
      </c>
      <c r="K17" t="s">
        <v>74</v>
      </c>
      <c r="L17" t="s">
        <v>74</v>
      </c>
      <c r="M17" t="s">
        <v>78</v>
      </c>
      <c r="N17" t="s">
        <v>79</v>
      </c>
      <c r="O17" t="s">
        <v>74</v>
      </c>
      <c r="P17" t="s">
        <v>74</v>
      </c>
      <c r="Q17" t="s">
        <v>74</v>
      </c>
      <c r="R17" t="s">
        <v>74</v>
      </c>
      <c r="S17" t="s">
        <v>74</v>
      </c>
      <c r="T17" t="s">
        <v>469</v>
      </c>
      <c r="U17" t="s">
        <v>74</v>
      </c>
      <c r="V17" t="s">
        <v>470</v>
      </c>
      <c r="W17" t="s">
        <v>471</v>
      </c>
      <c r="X17" t="s">
        <v>472</v>
      </c>
      <c r="Y17" t="s">
        <v>473</v>
      </c>
      <c r="Z17" t="s">
        <v>474</v>
      </c>
      <c r="AA17" t="s">
        <v>74</v>
      </c>
      <c r="AB17" t="s">
        <v>74</v>
      </c>
      <c r="AC17" t="s">
        <v>475</v>
      </c>
      <c r="AD17" t="s">
        <v>476</v>
      </c>
      <c r="AE17" t="s">
        <v>477</v>
      </c>
      <c r="AF17" t="s">
        <v>74</v>
      </c>
      <c r="AG17">
        <v>33</v>
      </c>
      <c r="AH17">
        <v>0</v>
      </c>
      <c r="AI17">
        <v>0</v>
      </c>
      <c r="AJ17">
        <v>9</v>
      </c>
      <c r="AK17">
        <v>9</v>
      </c>
      <c r="AL17" t="s">
        <v>222</v>
      </c>
      <c r="AM17" t="s">
        <v>223</v>
      </c>
      <c r="AN17" t="s">
        <v>478</v>
      </c>
      <c r="AO17" t="s">
        <v>74</v>
      </c>
      <c r="AP17" t="s">
        <v>479</v>
      </c>
      <c r="AQ17" t="s">
        <v>74</v>
      </c>
      <c r="AR17" t="s">
        <v>480</v>
      </c>
      <c r="AS17" t="s">
        <v>481</v>
      </c>
      <c r="AT17" t="s">
        <v>482</v>
      </c>
      <c r="AU17">
        <v>2025</v>
      </c>
      <c r="AV17">
        <v>17</v>
      </c>
      <c r="AW17">
        <v>13</v>
      </c>
      <c r="AX17" t="s">
        <v>74</v>
      </c>
      <c r="AY17" t="s">
        <v>74</v>
      </c>
      <c r="AZ17" t="s">
        <v>74</v>
      </c>
      <c r="BA17" t="s">
        <v>74</v>
      </c>
      <c r="BB17" t="s">
        <v>74</v>
      </c>
      <c r="BC17" t="s">
        <v>74</v>
      </c>
      <c r="BD17">
        <v>6224</v>
      </c>
      <c r="BE17" t="s">
        <v>483</v>
      </c>
      <c r="BF17" t="str">
        <f>HYPERLINK("http://dx.doi.org/10.3390/su17136224","http://dx.doi.org/10.3390/su17136224")</f>
        <v>http://dx.doi.org/10.3390/su17136224</v>
      </c>
      <c r="BG17" t="s">
        <v>74</v>
      </c>
      <c r="BH17" t="s">
        <v>74</v>
      </c>
      <c r="BI17">
        <v>15</v>
      </c>
      <c r="BJ17" t="s">
        <v>484</v>
      </c>
      <c r="BK17" t="s">
        <v>186</v>
      </c>
      <c r="BL17" t="s">
        <v>485</v>
      </c>
      <c r="BM17" t="s">
        <v>486</v>
      </c>
      <c r="BN17" t="s">
        <v>74</v>
      </c>
      <c r="BO17" t="s">
        <v>231</v>
      </c>
      <c r="BP17" t="s">
        <v>74</v>
      </c>
      <c r="BQ17" t="s">
        <v>74</v>
      </c>
      <c r="BR17" t="s">
        <v>106</v>
      </c>
      <c r="BS17" t="s">
        <v>487</v>
      </c>
      <c r="BT17" t="str">
        <f>HYPERLINK("https%3A%2F%2Fwww.webofscience.com%2Fwos%2Fwoscc%2Ffull-record%2FWOS:001527585000001","View Full Record in Web of Science")</f>
        <v>View Full Record in Web of Science</v>
      </c>
    </row>
    <row r="18" spans="1:72" x14ac:dyDescent="0.2">
      <c r="A18" t="s">
        <v>72</v>
      </c>
      <c r="B18" t="s">
        <v>488</v>
      </c>
      <c r="C18" t="s">
        <v>74</v>
      </c>
      <c r="D18" t="s">
        <v>74</v>
      </c>
      <c r="E18" t="s">
        <v>74</v>
      </c>
      <c r="F18" t="s">
        <v>489</v>
      </c>
      <c r="G18" t="s">
        <v>74</v>
      </c>
      <c r="H18" t="s">
        <v>74</v>
      </c>
      <c r="I18" t="s">
        <v>490</v>
      </c>
      <c r="J18" t="s">
        <v>491</v>
      </c>
      <c r="K18" t="s">
        <v>74</v>
      </c>
      <c r="L18" t="s">
        <v>74</v>
      </c>
      <c r="M18" t="s">
        <v>78</v>
      </c>
      <c r="N18" t="s">
        <v>492</v>
      </c>
      <c r="O18" t="s">
        <v>74</v>
      </c>
      <c r="P18" t="s">
        <v>74</v>
      </c>
      <c r="Q18" t="s">
        <v>74</v>
      </c>
      <c r="R18" t="s">
        <v>74</v>
      </c>
      <c r="S18" t="s">
        <v>74</v>
      </c>
      <c r="T18" t="s">
        <v>493</v>
      </c>
      <c r="U18" t="s">
        <v>494</v>
      </c>
      <c r="V18" t="s">
        <v>495</v>
      </c>
      <c r="W18" t="s">
        <v>496</v>
      </c>
      <c r="X18" t="s">
        <v>497</v>
      </c>
      <c r="Y18" t="s">
        <v>498</v>
      </c>
      <c r="Z18" t="s">
        <v>499</v>
      </c>
      <c r="AA18" t="s">
        <v>500</v>
      </c>
      <c r="AB18" t="s">
        <v>74</v>
      </c>
      <c r="AC18" t="s">
        <v>501</v>
      </c>
      <c r="AD18" t="s">
        <v>502</v>
      </c>
      <c r="AE18" t="s">
        <v>503</v>
      </c>
      <c r="AF18" t="s">
        <v>74</v>
      </c>
      <c r="AG18">
        <v>70</v>
      </c>
      <c r="AH18">
        <v>1</v>
      </c>
      <c r="AI18">
        <v>1</v>
      </c>
      <c r="AJ18">
        <v>9</v>
      </c>
      <c r="AK18">
        <v>9</v>
      </c>
      <c r="AL18" t="s">
        <v>504</v>
      </c>
      <c r="AM18" t="s">
        <v>505</v>
      </c>
      <c r="AN18" t="s">
        <v>506</v>
      </c>
      <c r="AO18" t="s">
        <v>507</v>
      </c>
      <c r="AP18" t="s">
        <v>508</v>
      </c>
      <c r="AQ18" t="s">
        <v>74</v>
      </c>
      <c r="AR18" t="s">
        <v>509</v>
      </c>
      <c r="AS18" t="s">
        <v>510</v>
      </c>
      <c r="AT18" t="s">
        <v>511</v>
      </c>
      <c r="AU18">
        <v>2025</v>
      </c>
      <c r="AV18" t="s">
        <v>74</v>
      </c>
      <c r="AW18" t="s">
        <v>74</v>
      </c>
      <c r="AX18" t="s">
        <v>74</v>
      </c>
      <c r="AY18" t="s">
        <v>74</v>
      </c>
      <c r="AZ18" t="s">
        <v>74</v>
      </c>
      <c r="BA18" t="s">
        <v>74</v>
      </c>
      <c r="BB18" t="s">
        <v>74</v>
      </c>
      <c r="BC18" t="s">
        <v>74</v>
      </c>
      <c r="BD18" t="s">
        <v>74</v>
      </c>
      <c r="BE18" t="s">
        <v>512</v>
      </c>
      <c r="BF18" t="str">
        <f>HYPERLINK("http://dx.doi.org/10.1007/s10668-025-06699-y","http://dx.doi.org/10.1007/s10668-025-06699-y")</f>
        <v>http://dx.doi.org/10.1007/s10668-025-06699-y</v>
      </c>
      <c r="BG18" t="s">
        <v>74</v>
      </c>
      <c r="BH18" t="s">
        <v>513</v>
      </c>
      <c r="BI18">
        <v>24</v>
      </c>
      <c r="BJ18" t="s">
        <v>514</v>
      </c>
      <c r="BK18" t="s">
        <v>102</v>
      </c>
      <c r="BL18" t="s">
        <v>485</v>
      </c>
      <c r="BM18" t="s">
        <v>515</v>
      </c>
      <c r="BN18" t="s">
        <v>74</v>
      </c>
      <c r="BO18" t="s">
        <v>74</v>
      </c>
      <c r="BP18" t="s">
        <v>74</v>
      </c>
      <c r="BQ18" t="s">
        <v>74</v>
      </c>
      <c r="BR18" t="s">
        <v>106</v>
      </c>
      <c r="BS18" t="s">
        <v>516</v>
      </c>
      <c r="BT18" t="str">
        <f>HYPERLINK("https%3A%2F%2Fwww.webofscience.com%2Fwos%2Fwoscc%2Ffull-record%2FWOS:001560526200001","View Full Record in Web of Science")</f>
        <v>View Full Record in Web of Science</v>
      </c>
    </row>
    <row r="19" spans="1:72" x14ac:dyDescent="0.2">
      <c r="A19" t="s">
        <v>72</v>
      </c>
      <c r="B19" t="s">
        <v>517</v>
      </c>
      <c r="C19" t="s">
        <v>74</v>
      </c>
      <c r="D19" t="s">
        <v>74</v>
      </c>
      <c r="E19" t="s">
        <v>74</v>
      </c>
      <c r="F19" t="s">
        <v>518</v>
      </c>
      <c r="G19" t="s">
        <v>74</v>
      </c>
      <c r="H19" t="s">
        <v>74</v>
      </c>
      <c r="I19" t="s">
        <v>519</v>
      </c>
      <c r="J19" t="s">
        <v>520</v>
      </c>
      <c r="K19" t="s">
        <v>74</v>
      </c>
      <c r="L19" t="s">
        <v>74</v>
      </c>
      <c r="M19" t="s">
        <v>78</v>
      </c>
      <c r="N19" t="s">
        <v>79</v>
      </c>
      <c r="O19" t="s">
        <v>74</v>
      </c>
      <c r="P19" t="s">
        <v>74</v>
      </c>
      <c r="Q19" t="s">
        <v>74</v>
      </c>
      <c r="R19" t="s">
        <v>74</v>
      </c>
      <c r="S19" t="s">
        <v>74</v>
      </c>
      <c r="T19" t="s">
        <v>521</v>
      </c>
      <c r="U19" t="s">
        <v>522</v>
      </c>
      <c r="V19" t="s">
        <v>523</v>
      </c>
      <c r="W19" t="s">
        <v>524</v>
      </c>
      <c r="X19" t="s">
        <v>525</v>
      </c>
      <c r="Y19" t="s">
        <v>526</v>
      </c>
      <c r="Z19" t="s">
        <v>527</v>
      </c>
      <c r="AA19" t="s">
        <v>74</v>
      </c>
      <c r="AB19" t="s">
        <v>74</v>
      </c>
      <c r="AC19" t="s">
        <v>528</v>
      </c>
      <c r="AD19" t="s">
        <v>529</v>
      </c>
      <c r="AE19" t="s">
        <v>74</v>
      </c>
      <c r="AF19" t="s">
        <v>74</v>
      </c>
      <c r="AG19">
        <v>39</v>
      </c>
      <c r="AH19">
        <v>18</v>
      </c>
      <c r="AI19">
        <v>25</v>
      </c>
      <c r="AJ19">
        <v>4</v>
      </c>
      <c r="AK19">
        <v>23</v>
      </c>
      <c r="AL19" t="s">
        <v>530</v>
      </c>
      <c r="AM19" t="s">
        <v>531</v>
      </c>
      <c r="AN19" t="s">
        <v>532</v>
      </c>
      <c r="AO19" t="s">
        <v>533</v>
      </c>
      <c r="AP19" t="s">
        <v>534</v>
      </c>
      <c r="AQ19" t="s">
        <v>74</v>
      </c>
      <c r="AR19" t="s">
        <v>535</v>
      </c>
      <c r="AS19" t="s">
        <v>536</v>
      </c>
      <c r="AT19" t="s">
        <v>537</v>
      </c>
      <c r="AU19">
        <v>2023</v>
      </c>
      <c r="AV19">
        <v>120</v>
      </c>
      <c r="AW19">
        <v>16</v>
      </c>
      <c r="AX19" t="s">
        <v>74</v>
      </c>
      <c r="AY19" t="s">
        <v>74</v>
      </c>
      <c r="AZ19" t="s">
        <v>74</v>
      </c>
      <c r="BA19" t="s">
        <v>74</v>
      </c>
      <c r="BB19" t="s">
        <v>74</v>
      </c>
      <c r="BC19" t="s">
        <v>74</v>
      </c>
      <c r="BD19" t="s">
        <v>538</v>
      </c>
      <c r="BE19" t="s">
        <v>539</v>
      </c>
      <c r="BF19" t="str">
        <f>HYPERLINK("http://dx.doi.org/10.1073/pnas.2217695120","http://dx.doi.org/10.1073/pnas.2217695120")</f>
        <v>http://dx.doi.org/10.1073/pnas.2217695120</v>
      </c>
      <c r="BG19" t="s">
        <v>74</v>
      </c>
      <c r="BH19" t="s">
        <v>74</v>
      </c>
      <c r="BI19">
        <v>6</v>
      </c>
      <c r="BJ19" t="s">
        <v>158</v>
      </c>
      <c r="BK19" t="s">
        <v>102</v>
      </c>
      <c r="BL19" t="s">
        <v>159</v>
      </c>
      <c r="BM19" t="s">
        <v>540</v>
      </c>
      <c r="BN19">
        <v>37040411</v>
      </c>
      <c r="BO19" t="s">
        <v>541</v>
      </c>
      <c r="BP19" t="s">
        <v>74</v>
      </c>
      <c r="BQ19" t="s">
        <v>74</v>
      </c>
      <c r="BR19" t="s">
        <v>106</v>
      </c>
      <c r="BS19" t="s">
        <v>542</v>
      </c>
      <c r="BT19" t="str">
        <f>HYPERLINK("https%3A%2F%2Fwww.webofscience.com%2Fwos%2Fwoscc%2Ffull-record%2FWOS:001038854400005","View Full Record in Web of Science")</f>
        <v>View Full Record in Web of Science</v>
      </c>
    </row>
    <row r="20" spans="1:72" x14ac:dyDescent="0.2">
      <c r="A20" t="s">
        <v>72</v>
      </c>
      <c r="B20" t="s">
        <v>543</v>
      </c>
      <c r="C20" t="s">
        <v>74</v>
      </c>
      <c r="D20" t="s">
        <v>74</v>
      </c>
      <c r="E20" t="s">
        <v>74</v>
      </c>
      <c r="F20" t="s">
        <v>544</v>
      </c>
      <c r="G20" t="s">
        <v>74</v>
      </c>
      <c r="H20" t="s">
        <v>74</v>
      </c>
      <c r="I20" t="s">
        <v>545</v>
      </c>
      <c r="J20" t="s">
        <v>546</v>
      </c>
      <c r="K20" t="s">
        <v>74</v>
      </c>
      <c r="L20" t="s">
        <v>74</v>
      </c>
      <c r="M20" t="s">
        <v>78</v>
      </c>
      <c r="N20" t="s">
        <v>79</v>
      </c>
      <c r="O20" t="s">
        <v>74</v>
      </c>
      <c r="P20" t="s">
        <v>74</v>
      </c>
      <c r="Q20" t="s">
        <v>74</v>
      </c>
      <c r="R20" t="s">
        <v>74</v>
      </c>
      <c r="S20" t="s">
        <v>74</v>
      </c>
      <c r="T20" t="s">
        <v>547</v>
      </c>
      <c r="U20" t="s">
        <v>548</v>
      </c>
      <c r="V20" t="s">
        <v>549</v>
      </c>
      <c r="W20" t="s">
        <v>550</v>
      </c>
      <c r="X20" t="s">
        <v>551</v>
      </c>
      <c r="Y20" t="s">
        <v>552</v>
      </c>
      <c r="Z20" t="s">
        <v>553</v>
      </c>
      <c r="AA20" t="s">
        <v>554</v>
      </c>
      <c r="AB20" t="s">
        <v>555</v>
      </c>
      <c r="AC20" t="s">
        <v>556</v>
      </c>
      <c r="AD20" t="s">
        <v>557</v>
      </c>
      <c r="AE20" t="s">
        <v>558</v>
      </c>
      <c r="AF20" t="s">
        <v>74</v>
      </c>
      <c r="AG20">
        <v>49</v>
      </c>
      <c r="AH20">
        <v>2</v>
      </c>
      <c r="AI20">
        <v>2</v>
      </c>
      <c r="AJ20">
        <v>10</v>
      </c>
      <c r="AK20">
        <v>35</v>
      </c>
      <c r="AL20" t="s">
        <v>559</v>
      </c>
      <c r="AM20" t="s">
        <v>93</v>
      </c>
      <c r="AN20" t="s">
        <v>560</v>
      </c>
      <c r="AO20" t="s">
        <v>561</v>
      </c>
      <c r="AP20" t="s">
        <v>562</v>
      </c>
      <c r="AQ20" t="s">
        <v>74</v>
      </c>
      <c r="AR20" t="s">
        <v>563</v>
      </c>
      <c r="AS20" t="s">
        <v>564</v>
      </c>
      <c r="AT20" t="s">
        <v>281</v>
      </c>
      <c r="AU20">
        <v>2024</v>
      </c>
      <c r="AV20">
        <v>361</v>
      </c>
      <c r="AW20" t="s">
        <v>74</v>
      </c>
      <c r="AX20" t="s">
        <v>74</v>
      </c>
      <c r="AY20" t="s">
        <v>74</v>
      </c>
      <c r="AZ20" t="s">
        <v>74</v>
      </c>
      <c r="BA20" t="s">
        <v>74</v>
      </c>
      <c r="BB20" t="s">
        <v>74</v>
      </c>
      <c r="BC20" t="s">
        <v>74</v>
      </c>
      <c r="BD20">
        <v>121268</v>
      </c>
      <c r="BE20" t="s">
        <v>565</v>
      </c>
      <c r="BF20" t="str">
        <f>HYPERLINK("http://dx.doi.org/10.1016/j.jenvman.2024.121268","http://dx.doi.org/10.1016/j.jenvman.2024.121268")</f>
        <v>http://dx.doi.org/10.1016/j.jenvman.2024.121268</v>
      </c>
      <c r="BG20" t="s">
        <v>74</v>
      </c>
      <c r="BH20" t="s">
        <v>566</v>
      </c>
      <c r="BI20">
        <v>10</v>
      </c>
      <c r="BJ20" t="s">
        <v>567</v>
      </c>
      <c r="BK20" t="s">
        <v>102</v>
      </c>
      <c r="BL20" t="s">
        <v>568</v>
      </c>
      <c r="BM20" t="s">
        <v>569</v>
      </c>
      <c r="BN20">
        <v>38820787</v>
      </c>
      <c r="BO20" t="s">
        <v>74</v>
      </c>
      <c r="BP20" t="s">
        <v>74</v>
      </c>
      <c r="BQ20" t="s">
        <v>74</v>
      </c>
      <c r="BR20" t="s">
        <v>106</v>
      </c>
      <c r="BS20" t="s">
        <v>570</v>
      </c>
      <c r="BT20" t="str">
        <f>HYPERLINK("https%3A%2F%2Fwww.webofscience.com%2Fwos%2Fwoscc%2Ffull-record%2FWOS:001248648600003","View Full Record in Web of Science")</f>
        <v>View Full Record in Web of Science</v>
      </c>
    </row>
    <row r="21" spans="1:72" x14ac:dyDescent="0.2">
      <c r="A21" t="s">
        <v>72</v>
      </c>
      <c r="B21" t="s">
        <v>571</v>
      </c>
      <c r="C21" t="s">
        <v>74</v>
      </c>
      <c r="D21" t="s">
        <v>74</v>
      </c>
      <c r="E21" t="s">
        <v>74</v>
      </c>
      <c r="F21" t="s">
        <v>572</v>
      </c>
      <c r="G21" t="s">
        <v>74</v>
      </c>
      <c r="H21" t="s">
        <v>74</v>
      </c>
      <c r="I21" t="s">
        <v>573</v>
      </c>
      <c r="J21" t="s">
        <v>574</v>
      </c>
      <c r="K21" t="s">
        <v>74</v>
      </c>
      <c r="L21" t="s">
        <v>74</v>
      </c>
      <c r="M21" t="s">
        <v>78</v>
      </c>
      <c r="N21" t="s">
        <v>79</v>
      </c>
      <c r="O21" t="s">
        <v>74</v>
      </c>
      <c r="P21" t="s">
        <v>74</v>
      </c>
      <c r="Q21" t="s">
        <v>74</v>
      </c>
      <c r="R21" t="s">
        <v>74</v>
      </c>
      <c r="S21" t="s">
        <v>74</v>
      </c>
      <c r="T21" t="s">
        <v>575</v>
      </c>
      <c r="U21" t="s">
        <v>576</v>
      </c>
      <c r="V21" t="s">
        <v>577</v>
      </c>
      <c r="W21" t="s">
        <v>578</v>
      </c>
      <c r="X21" t="s">
        <v>579</v>
      </c>
      <c r="Y21" t="s">
        <v>580</v>
      </c>
      <c r="Z21" t="s">
        <v>581</v>
      </c>
      <c r="AA21" t="s">
        <v>74</v>
      </c>
      <c r="AB21" t="s">
        <v>582</v>
      </c>
      <c r="AC21" t="s">
        <v>583</v>
      </c>
      <c r="AD21" t="s">
        <v>583</v>
      </c>
      <c r="AE21" t="s">
        <v>584</v>
      </c>
      <c r="AF21" t="s">
        <v>74</v>
      </c>
      <c r="AG21">
        <v>80</v>
      </c>
      <c r="AH21">
        <v>5</v>
      </c>
      <c r="AI21">
        <v>5</v>
      </c>
      <c r="AJ21">
        <v>25</v>
      </c>
      <c r="AK21">
        <v>50</v>
      </c>
      <c r="AL21" t="s">
        <v>585</v>
      </c>
      <c r="AM21" t="s">
        <v>306</v>
      </c>
      <c r="AN21" t="s">
        <v>586</v>
      </c>
      <c r="AO21" t="s">
        <v>587</v>
      </c>
      <c r="AP21" t="s">
        <v>588</v>
      </c>
      <c r="AQ21" t="s">
        <v>74</v>
      </c>
      <c r="AR21" t="s">
        <v>589</v>
      </c>
      <c r="AS21" t="s">
        <v>590</v>
      </c>
      <c r="AT21" t="s">
        <v>591</v>
      </c>
      <c r="AU21">
        <v>2025</v>
      </c>
      <c r="AV21">
        <v>16</v>
      </c>
      <c r="AW21">
        <v>1</v>
      </c>
      <c r="AX21" t="s">
        <v>74</v>
      </c>
      <c r="AY21" t="s">
        <v>74</v>
      </c>
      <c r="AZ21" t="s">
        <v>74</v>
      </c>
      <c r="BA21" t="s">
        <v>74</v>
      </c>
      <c r="BB21" t="s">
        <v>74</v>
      </c>
      <c r="BC21" t="s">
        <v>74</v>
      </c>
      <c r="BD21">
        <v>2465328</v>
      </c>
      <c r="BE21" t="s">
        <v>592</v>
      </c>
      <c r="BF21" t="str">
        <f>HYPERLINK("http://dx.doi.org/10.1080/17583004.2025.2465328","http://dx.doi.org/10.1080/17583004.2025.2465328")</f>
        <v>http://dx.doi.org/10.1080/17583004.2025.2465328</v>
      </c>
      <c r="BG21" t="s">
        <v>74</v>
      </c>
      <c r="BH21" t="s">
        <v>74</v>
      </c>
      <c r="BI21">
        <v>13</v>
      </c>
      <c r="BJ21" t="s">
        <v>593</v>
      </c>
      <c r="BK21" t="s">
        <v>186</v>
      </c>
      <c r="BL21" t="s">
        <v>568</v>
      </c>
      <c r="BM21" t="s">
        <v>594</v>
      </c>
      <c r="BN21" t="s">
        <v>74</v>
      </c>
      <c r="BO21" t="s">
        <v>161</v>
      </c>
      <c r="BP21" t="s">
        <v>74</v>
      </c>
      <c r="BQ21" t="s">
        <v>74</v>
      </c>
      <c r="BR21" t="s">
        <v>106</v>
      </c>
      <c r="BS21" t="s">
        <v>595</v>
      </c>
      <c r="BT21" t="str">
        <f>HYPERLINK("https%3A%2F%2Fwww.webofscience.com%2Fwos%2Fwoscc%2Ffull-record%2FWOS:001427505700001","View Full Record in Web of Science")</f>
        <v>View Full Record in Web of Science</v>
      </c>
    </row>
    <row r="22" spans="1:72" x14ac:dyDescent="0.2">
      <c r="A22" t="s">
        <v>72</v>
      </c>
      <c r="B22" t="s">
        <v>596</v>
      </c>
      <c r="C22" t="s">
        <v>74</v>
      </c>
      <c r="D22" t="s">
        <v>74</v>
      </c>
      <c r="E22" t="s">
        <v>74</v>
      </c>
      <c r="F22" t="s">
        <v>597</v>
      </c>
      <c r="G22" t="s">
        <v>74</v>
      </c>
      <c r="H22" t="s">
        <v>74</v>
      </c>
      <c r="I22" t="s">
        <v>598</v>
      </c>
      <c r="J22" t="s">
        <v>347</v>
      </c>
      <c r="K22" t="s">
        <v>74</v>
      </c>
      <c r="L22" t="s">
        <v>74</v>
      </c>
      <c r="M22" t="s">
        <v>78</v>
      </c>
      <c r="N22" t="s">
        <v>79</v>
      </c>
      <c r="O22" t="s">
        <v>74</v>
      </c>
      <c r="P22" t="s">
        <v>74</v>
      </c>
      <c r="Q22" t="s">
        <v>74</v>
      </c>
      <c r="R22" t="s">
        <v>74</v>
      </c>
      <c r="S22" t="s">
        <v>74</v>
      </c>
      <c r="T22" t="s">
        <v>74</v>
      </c>
      <c r="U22" t="s">
        <v>599</v>
      </c>
      <c r="V22" t="s">
        <v>600</v>
      </c>
      <c r="W22" t="s">
        <v>601</v>
      </c>
      <c r="X22" t="s">
        <v>602</v>
      </c>
      <c r="Y22" t="s">
        <v>603</v>
      </c>
      <c r="Z22" t="s">
        <v>604</v>
      </c>
      <c r="AA22" t="s">
        <v>605</v>
      </c>
      <c r="AB22" t="s">
        <v>606</v>
      </c>
      <c r="AC22" t="s">
        <v>607</v>
      </c>
      <c r="AD22" t="s">
        <v>608</v>
      </c>
      <c r="AE22" t="s">
        <v>609</v>
      </c>
      <c r="AF22" t="s">
        <v>74</v>
      </c>
      <c r="AG22">
        <v>62</v>
      </c>
      <c r="AH22">
        <v>6</v>
      </c>
      <c r="AI22">
        <v>6</v>
      </c>
      <c r="AJ22">
        <v>4</v>
      </c>
      <c r="AK22">
        <v>37</v>
      </c>
      <c r="AL22" t="s">
        <v>274</v>
      </c>
      <c r="AM22" t="s">
        <v>275</v>
      </c>
      <c r="AN22" t="s">
        <v>276</v>
      </c>
      <c r="AO22" t="s">
        <v>357</v>
      </c>
      <c r="AP22" t="s">
        <v>74</v>
      </c>
      <c r="AQ22" t="s">
        <v>74</v>
      </c>
      <c r="AR22" t="s">
        <v>358</v>
      </c>
      <c r="AS22" t="s">
        <v>359</v>
      </c>
      <c r="AT22" t="s">
        <v>610</v>
      </c>
      <c r="AU22">
        <v>2023</v>
      </c>
      <c r="AV22">
        <v>13</v>
      </c>
      <c r="AW22">
        <v>1</v>
      </c>
      <c r="AX22" t="s">
        <v>74</v>
      </c>
      <c r="AY22" t="s">
        <v>74</v>
      </c>
      <c r="AZ22" t="s">
        <v>74</v>
      </c>
      <c r="BA22" t="s">
        <v>74</v>
      </c>
      <c r="BB22" t="s">
        <v>74</v>
      </c>
      <c r="BC22" t="s">
        <v>74</v>
      </c>
      <c r="BD22">
        <v>17290</v>
      </c>
      <c r="BE22" t="s">
        <v>611</v>
      </c>
      <c r="BF22" t="str">
        <f>HYPERLINK("http://dx.doi.org/10.1038/s41598-023-44582-w","http://dx.doi.org/10.1038/s41598-023-44582-w")</f>
        <v>http://dx.doi.org/10.1038/s41598-023-44582-w</v>
      </c>
      <c r="BG22" t="s">
        <v>74</v>
      </c>
      <c r="BH22" t="s">
        <v>74</v>
      </c>
      <c r="BI22">
        <v>15</v>
      </c>
      <c r="BJ22" t="s">
        <v>158</v>
      </c>
      <c r="BK22" t="s">
        <v>102</v>
      </c>
      <c r="BL22" t="s">
        <v>159</v>
      </c>
      <c r="BM22" t="s">
        <v>612</v>
      </c>
      <c r="BN22">
        <v>37828112</v>
      </c>
      <c r="BO22" t="s">
        <v>161</v>
      </c>
      <c r="BP22" t="s">
        <v>74</v>
      </c>
      <c r="BQ22" t="s">
        <v>74</v>
      </c>
      <c r="BR22" t="s">
        <v>106</v>
      </c>
      <c r="BS22" t="s">
        <v>613</v>
      </c>
      <c r="BT22" t="str">
        <f>HYPERLINK("https%3A%2F%2Fwww.webofscience.com%2Fwos%2Fwoscc%2Ffull-record%2FWOS:001089186400064","View Full Record in Web of Science")</f>
        <v>View Full Record in Web of Science</v>
      </c>
    </row>
    <row r="23" spans="1:72" x14ac:dyDescent="0.2">
      <c r="A23" t="s">
        <v>72</v>
      </c>
      <c r="B23" t="s">
        <v>614</v>
      </c>
      <c r="C23" t="s">
        <v>74</v>
      </c>
      <c r="D23" t="s">
        <v>74</v>
      </c>
      <c r="E23" t="s">
        <v>74</v>
      </c>
      <c r="F23" t="s">
        <v>615</v>
      </c>
      <c r="G23" t="s">
        <v>74</v>
      </c>
      <c r="H23" t="s">
        <v>74</v>
      </c>
      <c r="I23" t="s">
        <v>616</v>
      </c>
      <c r="J23" t="s">
        <v>617</v>
      </c>
      <c r="K23" t="s">
        <v>74</v>
      </c>
      <c r="L23" t="s">
        <v>74</v>
      </c>
      <c r="M23" t="s">
        <v>78</v>
      </c>
      <c r="N23" t="s">
        <v>79</v>
      </c>
      <c r="O23" t="s">
        <v>74</v>
      </c>
      <c r="P23" t="s">
        <v>74</v>
      </c>
      <c r="Q23" t="s">
        <v>74</v>
      </c>
      <c r="R23" t="s">
        <v>74</v>
      </c>
      <c r="S23" t="s">
        <v>74</v>
      </c>
      <c r="T23" t="s">
        <v>618</v>
      </c>
      <c r="U23" t="s">
        <v>619</v>
      </c>
      <c r="V23" t="s">
        <v>620</v>
      </c>
      <c r="W23" t="s">
        <v>621</v>
      </c>
      <c r="X23" t="s">
        <v>622</v>
      </c>
      <c r="Y23" t="s">
        <v>623</v>
      </c>
      <c r="Z23" t="s">
        <v>624</v>
      </c>
      <c r="AA23" t="s">
        <v>625</v>
      </c>
      <c r="AB23" t="s">
        <v>74</v>
      </c>
      <c r="AC23" t="s">
        <v>626</v>
      </c>
      <c r="AD23" t="s">
        <v>627</v>
      </c>
      <c r="AE23" t="s">
        <v>628</v>
      </c>
      <c r="AF23" t="s">
        <v>74</v>
      </c>
      <c r="AG23">
        <v>51</v>
      </c>
      <c r="AH23">
        <v>72</v>
      </c>
      <c r="AI23">
        <v>86</v>
      </c>
      <c r="AJ23">
        <v>15</v>
      </c>
      <c r="AK23">
        <v>187</v>
      </c>
      <c r="AL23" t="s">
        <v>629</v>
      </c>
      <c r="AM23" t="s">
        <v>630</v>
      </c>
      <c r="AN23" t="s">
        <v>631</v>
      </c>
      <c r="AO23" t="s">
        <v>632</v>
      </c>
      <c r="AP23" t="s">
        <v>633</v>
      </c>
      <c r="AQ23" t="s">
        <v>74</v>
      </c>
      <c r="AR23" t="s">
        <v>634</v>
      </c>
      <c r="AS23" t="s">
        <v>635</v>
      </c>
      <c r="AT23" t="s">
        <v>636</v>
      </c>
      <c r="AU23">
        <v>2020</v>
      </c>
      <c r="AV23">
        <v>30</v>
      </c>
      <c r="AW23">
        <v>4</v>
      </c>
      <c r="AX23" t="s">
        <v>74</v>
      </c>
      <c r="AY23" t="s">
        <v>74</v>
      </c>
      <c r="AZ23" t="s">
        <v>74</v>
      </c>
      <c r="BA23" t="s">
        <v>74</v>
      </c>
      <c r="BB23">
        <v>535</v>
      </c>
      <c r="BC23">
        <v>552</v>
      </c>
      <c r="BD23" t="s">
        <v>74</v>
      </c>
      <c r="BE23" t="s">
        <v>637</v>
      </c>
      <c r="BF23" t="str">
        <f>HYPERLINK("http://dx.doi.org/10.1007/s11442-020-1741-8","http://dx.doi.org/10.1007/s11442-020-1741-8")</f>
        <v>http://dx.doi.org/10.1007/s11442-020-1741-8</v>
      </c>
      <c r="BG23" t="s">
        <v>74</v>
      </c>
      <c r="BH23" t="s">
        <v>74</v>
      </c>
      <c r="BI23">
        <v>18</v>
      </c>
      <c r="BJ23" t="s">
        <v>638</v>
      </c>
      <c r="BK23" t="s">
        <v>102</v>
      </c>
      <c r="BL23" t="s">
        <v>639</v>
      </c>
      <c r="BM23" t="s">
        <v>640</v>
      </c>
      <c r="BN23" t="s">
        <v>74</v>
      </c>
      <c r="BO23" t="s">
        <v>74</v>
      </c>
      <c r="BP23" t="s">
        <v>74</v>
      </c>
      <c r="BQ23" t="s">
        <v>74</v>
      </c>
      <c r="BR23" t="s">
        <v>106</v>
      </c>
      <c r="BS23" t="s">
        <v>641</v>
      </c>
      <c r="BT23" t="str">
        <f>HYPERLINK("https%3A%2F%2Fwww.webofscience.com%2Fwos%2Fwoscc%2Ffull-record%2FWOS:000528559600002","View Full Record in Web of Science")</f>
        <v>View Full Record in Web of Science</v>
      </c>
    </row>
    <row r="24" spans="1:72" x14ac:dyDescent="0.2">
      <c r="A24" t="s">
        <v>72</v>
      </c>
      <c r="B24" t="s">
        <v>642</v>
      </c>
      <c r="C24" t="s">
        <v>74</v>
      </c>
      <c r="D24" t="s">
        <v>74</v>
      </c>
      <c r="E24" t="s">
        <v>74</v>
      </c>
      <c r="F24" t="s">
        <v>643</v>
      </c>
      <c r="G24" t="s">
        <v>74</v>
      </c>
      <c r="H24" t="s">
        <v>74</v>
      </c>
      <c r="I24" t="s">
        <v>644</v>
      </c>
      <c r="J24" t="s">
        <v>645</v>
      </c>
      <c r="K24" t="s">
        <v>74</v>
      </c>
      <c r="L24" t="s">
        <v>74</v>
      </c>
      <c r="M24" t="s">
        <v>78</v>
      </c>
      <c r="N24" t="s">
        <v>79</v>
      </c>
      <c r="O24" t="s">
        <v>74</v>
      </c>
      <c r="P24" t="s">
        <v>74</v>
      </c>
      <c r="Q24" t="s">
        <v>74</v>
      </c>
      <c r="R24" t="s">
        <v>74</v>
      </c>
      <c r="S24" t="s">
        <v>74</v>
      </c>
      <c r="T24" t="s">
        <v>646</v>
      </c>
      <c r="U24" t="s">
        <v>74</v>
      </c>
      <c r="V24" t="s">
        <v>647</v>
      </c>
      <c r="W24" t="s">
        <v>648</v>
      </c>
      <c r="X24" t="s">
        <v>74</v>
      </c>
      <c r="Y24" t="s">
        <v>649</v>
      </c>
      <c r="Z24" t="s">
        <v>650</v>
      </c>
      <c r="AA24" t="s">
        <v>651</v>
      </c>
      <c r="AB24" t="s">
        <v>74</v>
      </c>
      <c r="AC24" t="s">
        <v>652</v>
      </c>
      <c r="AD24" t="s">
        <v>653</v>
      </c>
      <c r="AE24" t="s">
        <v>654</v>
      </c>
      <c r="AF24" t="s">
        <v>74</v>
      </c>
      <c r="AG24">
        <v>28</v>
      </c>
      <c r="AH24">
        <v>0</v>
      </c>
      <c r="AI24">
        <v>0</v>
      </c>
      <c r="AJ24">
        <v>10</v>
      </c>
      <c r="AK24">
        <v>23</v>
      </c>
      <c r="AL24" t="s">
        <v>655</v>
      </c>
      <c r="AM24" t="s">
        <v>405</v>
      </c>
      <c r="AN24" t="s">
        <v>656</v>
      </c>
      <c r="AO24" t="s">
        <v>74</v>
      </c>
      <c r="AP24" t="s">
        <v>657</v>
      </c>
      <c r="AQ24" t="s">
        <v>74</v>
      </c>
      <c r="AR24" t="s">
        <v>658</v>
      </c>
      <c r="AS24" t="s">
        <v>659</v>
      </c>
      <c r="AT24" t="s">
        <v>660</v>
      </c>
      <c r="AU24">
        <v>2024</v>
      </c>
      <c r="AV24">
        <v>12</v>
      </c>
      <c r="AW24" t="s">
        <v>74</v>
      </c>
      <c r="AX24" t="s">
        <v>74</v>
      </c>
      <c r="AY24" t="s">
        <v>74</v>
      </c>
      <c r="AZ24" t="s">
        <v>74</v>
      </c>
      <c r="BA24" t="s">
        <v>74</v>
      </c>
      <c r="BB24" t="s">
        <v>74</v>
      </c>
      <c r="BC24" t="s">
        <v>74</v>
      </c>
      <c r="BD24">
        <v>1427250</v>
      </c>
      <c r="BE24" t="s">
        <v>661</v>
      </c>
      <c r="BF24" t="str">
        <f>HYPERLINK("http://dx.doi.org/10.3389/fenvs.2024.1427250","http://dx.doi.org/10.3389/fenvs.2024.1427250")</f>
        <v>http://dx.doi.org/10.3389/fenvs.2024.1427250</v>
      </c>
      <c r="BG24" t="s">
        <v>74</v>
      </c>
      <c r="BH24" t="s">
        <v>74</v>
      </c>
      <c r="BI24">
        <v>12</v>
      </c>
      <c r="BJ24" t="s">
        <v>567</v>
      </c>
      <c r="BK24" t="s">
        <v>102</v>
      </c>
      <c r="BL24" t="s">
        <v>568</v>
      </c>
      <c r="BM24" t="s">
        <v>662</v>
      </c>
      <c r="BN24" t="s">
        <v>74</v>
      </c>
      <c r="BO24" t="s">
        <v>231</v>
      </c>
      <c r="BP24" t="s">
        <v>74</v>
      </c>
      <c r="BQ24" t="s">
        <v>74</v>
      </c>
      <c r="BR24" t="s">
        <v>106</v>
      </c>
      <c r="BS24" t="s">
        <v>663</v>
      </c>
      <c r="BT24" t="str">
        <f>HYPERLINK("https%3A%2F%2Fwww.webofscience.com%2Fwos%2Fwoscc%2Ffull-record%2FWOS:001281886200001","View Full Record in Web of Science")</f>
        <v>View Full Record in Web of Science</v>
      </c>
    </row>
    <row r="25" spans="1:72" x14ac:dyDescent="0.2">
      <c r="A25" t="s">
        <v>72</v>
      </c>
      <c r="B25" t="s">
        <v>664</v>
      </c>
      <c r="C25" t="s">
        <v>74</v>
      </c>
      <c r="D25" t="s">
        <v>74</v>
      </c>
      <c r="E25" t="s">
        <v>74</v>
      </c>
      <c r="F25" t="s">
        <v>665</v>
      </c>
      <c r="G25" t="s">
        <v>74</v>
      </c>
      <c r="H25" t="s">
        <v>74</v>
      </c>
      <c r="I25" t="s">
        <v>666</v>
      </c>
      <c r="J25" t="s">
        <v>667</v>
      </c>
      <c r="K25" t="s">
        <v>74</v>
      </c>
      <c r="L25" t="s">
        <v>74</v>
      </c>
      <c r="M25" t="s">
        <v>78</v>
      </c>
      <c r="N25" t="s">
        <v>79</v>
      </c>
      <c r="O25" t="s">
        <v>74</v>
      </c>
      <c r="P25" t="s">
        <v>74</v>
      </c>
      <c r="Q25" t="s">
        <v>74</v>
      </c>
      <c r="R25" t="s">
        <v>74</v>
      </c>
      <c r="S25" t="s">
        <v>74</v>
      </c>
      <c r="T25" t="s">
        <v>668</v>
      </c>
      <c r="U25" t="s">
        <v>669</v>
      </c>
      <c r="V25" t="s">
        <v>670</v>
      </c>
      <c r="W25" t="s">
        <v>671</v>
      </c>
      <c r="X25" t="s">
        <v>74</v>
      </c>
      <c r="Y25" t="s">
        <v>672</v>
      </c>
      <c r="Z25" t="s">
        <v>673</v>
      </c>
      <c r="AA25" t="s">
        <v>674</v>
      </c>
      <c r="AB25" t="s">
        <v>675</v>
      </c>
      <c r="AC25" t="s">
        <v>74</v>
      </c>
      <c r="AD25" t="s">
        <v>74</v>
      </c>
      <c r="AE25" t="s">
        <v>74</v>
      </c>
      <c r="AF25" t="s">
        <v>74</v>
      </c>
      <c r="AG25">
        <v>84</v>
      </c>
      <c r="AH25">
        <v>6</v>
      </c>
      <c r="AI25">
        <v>7</v>
      </c>
      <c r="AJ25">
        <v>5</v>
      </c>
      <c r="AK25">
        <v>116</v>
      </c>
      <c r="AL25" t="s">
        <v>504</v>
      </c>
      <c r="AM25" t="s">
        <v>676</v>
      </c>
      <c r="AN25" t="s">
        <v>677</v>
      </c>
      <c r="AO25" t="s">
        <v>678</v>
      </c>
      <c r="AP25" t="s">
        <v>679</v>
      </c>
      <c r="AQ25" t="s">
        <v>74</v>
      </c>
      <c r="AR25" t="s">
        <v>680</v>
      </c>
      <c r="AS25" t="s">
        <v>681</v>
      </c>
      <c r="AT25" t="s">
        <v>183</v>
      </c>
      <c r="AU25">
        <v>2018</v>
      </c>
      <c r="AV25">
        <v>77</v>
      </c>
      <c r="AW25">
        <v>14</v>
      </c>
      <c r="AX25" t="s">
        <v>74</v>
      </c>
      <c r="AY25" t="s">
        <v>74</v>
      </c>
      <c r="AZ25" t="s">
        <v>74</v>
      </c>
      <c r="BA25" t="s">
        <v>74</v>
      </c>
      <c r="BB25" t="s">
        <v>74</v>
      </c>
      <c r="BC25" t="s">
        <v>74</v>
      </c>
      <c r="BD25">
        <v>530</v>
      </c>
      <c r="BE25" t="s">
        <v>682</v>
      </c>
      <c r="BF25" t="str">
        <f>HYPERLINK("http://dx.doi.org/10.1007/s12665-018-7600-6","http://dx.doi.org/10.1007/s12665-018-7600-6")</f>
        <v>http://dx.doi.org/10.1007/s12665-018-7600-6</v>
      </c>
      <c r="BG25" t="s">
        <v>74</v>
      </c>
      <c r="BH25" t="s">
        <v>74</v>
      </c>
      <c r="BI25">
        <v>10</v>
      </c>
      <c r="BJ25" t="s">
        <v>683</v>
      </c>
      <c r="BK25" t="s">
        <v>102</v>
      </c>
      <c r="BL25" t="s">
        <v>684</v>
      </c>
      <c r="BM25" t="s">
        <v>685</v>
      </c>
      <c r="BN25" t="s">
        <v>74</v>
      </c>
      <c r="BO25" t="s">
        <v>74</v>
      </c>
      <c r="BP25" t="s">
        <v>74</v>
      </c>
      <c r="BQ25" t="s">
        <v>74</v>
      </c>
      <c r="BR25" t="s">
        <v>106</v>
      </c>
      <c r="BS25" t="s">
        <v>686</v>
      </c>
      <c r="BT25" t="str">
        <f>HYPERLINK("https%3A%2F%2Fwww.webofscience.com%2Fwos%2Fwoscc%2Ffull-record%2FWOS:000438572000002","View Full Record in Web of Science")</f>
        <v>View Full Record in Web of Science</v>
      </c>
    </row>
    <row r="26" spans="1:72" x14ac:dyDescent="0.2">
      <c r="A26" t="s">
        <v>72</v>
      </c>
      <c r="B26" t="s">
        <v>687</v>
      </c>
      <c r="C26" t="s">
        <v>74</v>
      </c>
      <c r="D26" t="s">
        <v>74</v>
      </c>
      <c r="E26" t="s">
        <v>74</v>
      </c>
      <c r="F26" t="s">
        <v>688</v>
      </c>
      <c r="G26" t="s">
        <v>74</v>
      </c>
      <c r="H26" t="s">
        <v>74</v>
      </c>
      <c r="I26" t="s">
        <v>689</v>
      </c>
      <c r="J26" t="s">
        <v>690</v>
      </c>
      <c r="K26" t="s">
        <v>74</v>
      </c>
      <c r="L26" t="s">
        <v>74</v>
      </c>
      <c r="M26" t="s">
        <v>78</v>
      </c>
      <c r="N26" t="s">
        <v>79</v>
      </c>
      <c r="O26" t="s">
        <v>74</v>
      </c>
      <c r="P26" t="s">
        <v>74</v>
      </c>
      <c r="Q26" t="s">
        <v>74</v>
      </c>
      <c r="R26" t="s">
        <v>74</v>
      </c>
      <c r="S26" t="s">
        <v>74</v>
      </c>
      <c r="T26" t="s">
        <v>691</v>
      </c>
      <c r="U26" t="s">
        <v>692</v>
      </c>
      <c r="V26" t="s">
        <v>693</v>
      </c>
      <c r="W26" t="s">
        <v>694</v>
      </c>
      <c r="X26" t="s">
        <v>695</v>
      </c>
      <c r="Y26" t="s">
        <v>696</v>
      </c>
      <c r="Z26" t="s">
        <v>697</v>
      </c>
      <c r="AA26" t="s">
        <v>698</v>
      </c>
      <c r="AB26" t="s">
        <v>699</v>
      </c>
      <c r="AC26" t="s">
        <v>700</v>
      </c>
      <c r="AD26" t="s">
        <v>701</v>
      </c>
      <c r="AE26" t="s">
        <v>702</v>
      </c>
      <c r="AF26" t="s">
        <v>74</v>
      </c>
      <c r="AG26">
        <v>35</v>
      </c>
      <c r="AH26">
        <v>3</v>
      </c>
      <c r="AI26">
        <v>3</v>
      </c>
      <c r="AJ26">
        <v>0</v>
      </c>
      <c r="AK26">
        <v>11</v>
      </c>
      <c r="AL26" t="s">
        <v>703</v>
      </c>
      <c r="AM26" t="s">
        <v>704</v>
      </c>
      <c r="AN26" t="s">
        <v>705</v>
      </c>
      <c r="AO26" t="s">
        <v>706</v>
      </c>
      <c r="AP26" t="s">
        <v>74</v>
      </c>
      <c r="AQ26" t="s">
        <v>74</v>
      </c>
      <c r="AR26" t="s">
        <v>707</v>
      </c>
      <c r="AS26" t="s">
        <v>708</v>
      </c>
      <c r="AT26" t="s">
        <v>709</v>
      </c>
      <c r="AU26">
        <v>2019</v>
      </c>
      <c r="AV26">
        <v>79</v>
      </c>
      <c r="AW26">
        <v>3</v>
      </c>
      <c r="AX26" t="s">
        <v>74</v>
      </c>
      <c r="AY26" t="s">
        <v>74</v>
      </c>
      <c r="AZ26" t="s">
        <v>74</v>
      </c>
      <c r="BA26" t="s">
        <v>74</v>
      </c>
      <c r="BB26">
        <v>366</v>
      </c>
      <c r="BC26">
        <v>375</v>
      </c>
      <c r="BD26" t="s">
        <v>74</v>
      </c>
      <c r="BE26" t="s">
        <v>710</v>
      </c>
      <c r="BF26" t="str">
        <f>HYPERLINK("http://dx.doi.org/10.4067/S0718-58392019000300366","http://dx.doi.org/10.4067/S0718-58392019000300366")</f>
        <v>http://dx.doi.org/10.4067/S0718-58392019000300366</v>
      </c>
      <c r="BG26" t="s">
        <v>74</v>
      </c>
      <c r="BH26" t="s">
        <v>74</v>
      </c>
      <c r="BI26">
        <v>10</v>
      </c>
      <c r="BJ26" t="s">
        <v>711</v>
      </c>
      <c r="BK26" t="s">
        <v>102</v>
      </c>
      <c r="BL26" t="s">
        <v>103</v>
      </c>
      <c r="BM26" t="s">
        <v>712</v>
      </c>
      <c r="BN26" t="s">
        <v>74</v>
      </c>
      <c r="BO26" t="s">
        <v>231</v>
      </c>
      <c r="BP26" t="s">
        <v>74</v>
      </c>
      <c r="BQ26" t="s">
        <v>74</v>
      </c>
      <c r="BR26" t="s">
        <v>106</v>
      </c>
      <c r="BS26" t="s">
        <v>713</v>
      </c>
      <c r="BT26" t="str">
        <f>HYPERLINK("https%3A%2F%2Fwww.webofscience.com%2Fwos%2Fwoscc%2Ffull-record%2FWOS:000472720900004","View Full Record in Web of Science")</f>
        <v>View Full Record in Web of Science</v>
      </c>
    </row>
    <row r="27" spans="1:72" x14ac:dyDescent="0.2">
      <c r="A27" t="s">
        <v>72</v>
      </c>
      <c r="B27" t="s">
        <v>714</v>
      </c>
      <c r="C27" t="s">
        <v>74</v>
      </c>
      <c r="D27" t="s">
        <v>74</v>
      </c>
      <c r="E27" t="s">
        <v>74</v>
      </c>
      <c r="F27" t="s">
        <v>715</v>
      </c>
      <c r="G27" t="s">
        <v>74</v>
      </c>
      <c r="H27" t="s">
        <v>74</v>
      </c>
      <c r="I27" t="s">
        <v>716</v>
      </c>
      <c r="J27" t="s">
        <v>717</v>
      </c>
      <c r="K27" t="s">
        <v>74</v>
      </c>
      <c r="L27" t="s">
        <v>74</v>
      </c>
      <c r="M27" t="s">
        <v>78</v>
      </c>
      <c r="N27" t="s">
        <v>79</v>
      </c>
      <c r="O27" t="s">
        <v>74</v>
      </c>
      <c r="P27" t="s">
        <v>74</v>
      </c>
      <c r="Q27" t="s">
        <v>74</v>
      </c>
      <c r="R27" t="s">
        <v>74</v>
      </c>
      <c r="S27" t="s">
        <v>74</v>
      </c>
      <c r="T27" t="s">
        <v>74</v>
      </c>
      <c r="U27" t="s">
        <v>718</v>
      </c>
      <c r="V27" t="s">
        <v>719</v>
      </c>
      <c r="W27" t="s">
        <v>720</v>
      </c>
      <c r="X27" t="s">
        <v>721</v>
      </c>
      <c r="Y27" t="s">
        <v>722</v>
      </c>
      <c r="Z27" t="s">
        <v>723</v>
      </c>
      <c r="AA27" t="s">
        <v>724</v>
      </c>
      <c r="AB27" t="s">
        <v>725</v>
      </c>
      <c r="AC27" t="s">
        <v>74</v>
      </c>
      <c r="AD27" t="s">
        <v>74</v>
      </c>
      <c r="AE27" t="s">
        <v>74</v>
      </c>
      <c r="AF27" t="s">
        <v>74</v>
      </c>
      <c r="AG27">
        <v>42</v>
      </c>
      <c r="AH27">
        <v>3</v>
      </c>
      <c r="AI27">
        <v>4</v>
      </c>
      <c r="AJ27">
        <v>8</v>
      </c>
      <c r="AK27">
        <v>36</v>
      </c>
      <c r="AL27" t="s">
        <v>726</v>
      </c>
      <c r="AM27" t="s">
        <v>93</v>
      </c>
      <c r="AN27" t="s">
        <v>727</v>
      </c>
      <c r="AO27" t="s">
        <v>728</v>
      </c>
      <c r="AP27" t="s">
        <v>729</v>
      </c>
      <c r="AQ27" t="s">
        <v>74</v>
      </c>
      <c r="AR27" t="s">
        <v>717</v>
      </c>
      <c r="AS27" t="s">
        <v>730</v>
      </c>
      <c r="AT27" t="s">
        <v>731</v>
      </c>
      <c r="AU27">
        <v>2021</v>
      </c>
      <c r="AV27">
        <v>2021</v>
      </c>
      <c r="AW27" t="s">
        <v>74</v>
      </c>
      <c r="AX27" t="s">
        <v>74</v>
      </c>
      <c r="AY27" t="s">
        <v>74</v>
      </c>
      <c r="AZ27" t="s">
        <v>74</v>
      </c>
      <c r="BA27" t="s">
        <v>74</v>
      </c>
      <c r="BB27" t="s">
        <v>74</v>
      </c>
      <c r="BC27" t="s">
        <v>74</v>
      </c>
      <c r="BD27">
        <v>9518135</v>
      </c>
      <c r="BE27" t="s">
        <v>732</v>
      </c>
      <c r="BF27" t="str">
        <f>HYPERLINK("http://dx.doi.org/10.1155/2021/9518135","http://dx.doi.org/10.1155/2021/9518135")</f>
        <v>http://dx.doi.org/10.1155/2021/9518135</v>
      </c>
      <c r="BG27" t="s">
        <v>74</v>
      </c>
      <c r="BH27" t="s">
        <v>74</v>
      </c>
      <c r="BI27">
        <v>17</v>
      </c>
      <c r="BJ27" t="s">
        <v>733</v>
      </c>
      <c r="BK27" t="s">
        <v>186</v>
      </c>
      <c r="BL27" t="s">
        <v>734</v>
      </c>
      <c r="BM27" t="s">
        <v>735</v>
      </c>
      <c r="BN27" t="s">
        <v>74</v>
      </c>
      <c r="BO27" t="s">
        <v>161</v>
      </c>
      <c r="BP27" t="s">
        <v>74</v>
      </c>
      <c r="BQ27" t="s">
        <v>74</v>
      </c>
      <c r="BR27" t="s">
        <v>106</v>
      </c>
      <c r="BS27" t="s">
        <v>736</v>
      </c>
      <c r="BT27" t="str">
        <f>HYPERLINK("https%3A%2F%2Fwww.webofscience.com%2Fwos%2Fwoscc%2Ffull-record%2FWOS:000680519200006","View Full Record in Web of Science")</f>
        <v>View Full Record in Web of Science</v>
      </c>
    </row>
    <row r="28" spans="1:72" x14ac:dyDescent="0.2">
      <c r="A28" t="s">
        <v>72</v>
      </c>
      <c r="B28" t="s">
        <v>737</v>
      </c>
      <c r="C28" t="s">
        <v>74</v>
      </c>
      <c r="D28" t="s">
        <v>74</v>
      </c>
      <c r="E28" t="s">
        <v>74</v>
      </c>
      <c r="F28" t="s">
        <v>738</v>
      </c>
      <c r="G28" t="s">
        <v>74</v>
      </c>
      <c r="H28" t="s">
        <v>74</v>
      </c>
      <c r="I28" t="s">
        <v>739</v>
      </c>
      <c r="J28" t="s">
        <v>740</v>
      </c>
      <c r="K28" t="s">
        <v>74</v>
      </c>
      <c r="L28" t="s">
        <v>74</v>
      </c>
      <c r="M28" t="s">
        <v>78</v>
      </c>
      <c r="N28" t="s">
        <v>79</v>
      </c>
      <c r="O28" t="s">
        <v>74</v>
      </c>
      <c r="P28" t="s">
        <v>74</v>
      </c>
      <c r="Q28" t="s">
        <v>74</v>
      </c>
      <c r="R28" t="s">
        <v>74</v>
      </c>
      <c r="S28" t="s">
        <v>74</v>
      </c>
      <c r="T28" t="s">
        <v>741</v>
      </c>
      <c r="U28" t="s">
        <v>742</v>
      </c>
      <c r="V28" t="s">
        <v>743</v>
      </c>
      <c r="W28" t="s">
        <v>744</v>
      </c>
      <c r="X28" t="s">
        <v>745</v>
      </c>
      <c r="Y28" t="s">
        <v>746</v>
      </c>
      <c r="Z28" t="s">
        <v>747</v>
      </c>
      <c r="AA28" t="s">
        <v>748</v>
      </c>
      <c r="AB28" t="s">
        <v>749</v>
      </c>
      <c r="AC28" t="s">
        <v>74</v>
      </c>
      <c r="AD28" t="s">
        <v>74</v>
      </c>
      <c r="AE28" t="s">
        <v>74</v>
      </c>
      <c r="AF28" t="s">
        <v>74</v>
      </c>
      <c r="AG28">
        <v>65</v>
      </c>
      <c r="AH28">
        <v>195</v>
      </c>
      <c r="AI28">
        <v>208</v>
      </c>
      <c r="AJ28">
        <v>4</v>
      </c>
      <c r="AK28">
        <v>173</v>
      </c>
      <c r="AL28" t="s">
        <v>247</v>
      </c>
      <c r="AM28" t="s">
        <v>248</v>
      </c>
      <c r="AN28" t="s">
        <v>249</v>
      </c>
      <c r="AO28" t="s">
        <v>750</v>
      </c>
      <c r="AP28" t="s">
        <v>751</v>
      </c>
      <c r="AQ28" t="s">
        <v>74</v>
      </c>
      <c r="AR28" t="s">
        <v>752</v>
      </c>
      <c r="AS28" t="s">
        <v>753</v>
      </c>
      <c r="AT28" t="s">
        <v>227</v>
      </c>
      <c r="AU28">
        <v>2014</v>
      </c>
      <c r="AV28">
        <v>20</v>
      </c>
      <c r="AW28">
        <v>1</v>
      </c>
      <c r="AX28" t="s">
        <v>74</v>
      </c>
      <c r="AY28" t="s">
        <v>74</v>
      </c>
      <c r="AZ28" t="s">
        <v>74</v>
      </c>
      <c r="BA28" t="s">
        <v>74</v>
      </c>
      <c r="BB28">
        <v>313</v>
      </c>
      <c r="BC28">
        <v>326</v>
      </c>
      <c r="BD28" t="s">
        <v>74</v>
      </c>
      <c r="BE28" t="s">
        <v>754</v>
      </c>
      <c r="BF28" t="str">
        <f>HYPERLINK("http://dx.doi.org/10.1111/gcb.12292","http://dx.doi.org/10.1111/gcb.12292")</f>
        <v>http://dx.doi.org/10.1111/gcb.12292</v>
      </c>
      <c r="BG28" t="s">
        <v>74</v>
      </c>
      <c r="BH28" t="s">
        <v>74</v>
      </c>
      <c r="BI28">
        <v>14</v>
      </c>
      <c r="BJ28" t="s">
        <v>755</v>
      </c>
      <c r="BK28" t="s">
        <v>102</v>
      </c>
      <c r="BL28" t="s">
        <v>756</v>
      </c>
      <c r="BM28" t="s">
        <v>757</v>
      </c>
      <c r="BN28">
        <v>23765562</v>
      </c>
      <c r="BO28" t="s">
        <v>74</v>
      </c>
      <c r="BP28" t="s">
        <v>74</v>
      </c>
      <c r="BQ28" t="s">
        <v>74</v>
      </c>
      <c r="BR28" t="s">
        <v>106</v>
      </c>
      <c r="BS28" t="s">
        <v>758</v>
      </c>
      <c r="BT28" t="str">
        <f>HYPERLINK("https%3A%2F%2Fwww.webofscience.com%2Fwos%2Fwoscc%2Ffull-record%2FWOS:000327998600028","View Full Record in Web of Science")</f>
        <v>View Full Record in Web of Science</v>
      </c>
    </row>
    <row r="29" spans="1:72" x14ac:dyDescent="0.2">
      <c r="A29" t="s">
        <v>72</v>
      </c>
      <c r="B29" t="s">
        <v>759</v>
      </c>
      <c r="C29" t="s">
        <v>74</v>
      </c>
      <c r="D29" t="s">
        <v>74</v>
      </c>
      <c r="E29" t="s">
        <v>74</v>
      </c>
      <c r="F29" t="s">
        <v>760</v>
      </c>
      <c r="G29" t="s">
        <v>74</v>
      </c>
      <c r="H29" t="s">
        <v>74</v>
      </c>
      <c r="I29" t="s">
        <v>761</v>
      </c>
      <c r="J29" t="s">
        <v>762</v>
      </c>
      <c r="K29" t="s">
        <v>74</v>
      </c>
      <c r="L29" t="s">
        <v>74</v>
      </c>
      <c r="M29" t="s">
        <v>78</v>
      </c>
      <c r="N29" t="s">
        <v>79</v>
      </c>
      <c r="O29" t="s">
        <v>74</v>
      </c>
      <c r="P29" t="s">
        <v>74</v>
      </c>
      <c r="Q29" t="s">
        <v>74</v>
      </c>
      <c r="R29" t="s">
        <v>74</v>
      </c>
      <c r="S29" t="s">
        <v>74</v>
      </c>
      <c r="T29" t="s">
        <v>763</v>
      </c>
      <c r="U29" t="s">
        <v>764</v>
      </c>
      <c r="V29" t="s">
        <v>765</v>
      </c>
      <c r="W29" t="s">
        <v>766</v>
      </c>
      <c r="X29" t="s">
        <v>767</v>
      </c>
      <c r="Y29" t="s">
        <v>768</v>
      </c>
      <c r="Z29" t="s">
        <v>769</v>
      </c>
      <c r="AA29" t="s">
        <v>770</v>
      </c>
      <c r="AB29" t="s">
        <v>771</v>
      </c>
      <c r="AC29" t="s">
        <v>772</v>
      </c>
      <c r="AD29" t="s">
        <v>773</v>
      </c>
      <c r="AE29" t="s">
        <v>774</v>
      </c>
      <c r="AF29" t="s">
        <v>74</v>
      </c>
      <c r="AG29">
        <v>53</v>
      </c>
      <c r="AH29">
        <v>94</v>
      </c>
      <c r="AI29">
        <v>108</v>
      </c>
      <c r="AJ29">
        <v>8</v>
      </c>
      <c r="AK29">
        <v>83</v>
      </c>
      <c r="AL29" t="s">
        <v>775</v>
      </c>
      <c r="AM29" t="s">
        <v>776</v>
      </c>
      <c r="AN29" t="s">
        <v>777</v>
      </c>
      <c r="AO29" t="s">
        <v>778</v>
      </c>
      <c r="AP29" t="s">
        <v>74</v>
      </c>
      <c r="AQ29" t="s">
        <v>74</v>
      </c>
      <c r="AR29" t="s">
        <v>779</v>
      </c>
      <c r="AS29" t="s">
        <v>780</v>
      </c>
      <c r="AT29" t="s">
        <v>459</v>
      </c>
      <c r="AU29">
        <v>2017</v>
      </c>
      <c r="AV29">
        <v>12</v>
      </c>
      <c r="AW29">
        <v>2</v>
      </c>
      <c r="AX29" t="s">
        <v>74</v>
      </c>
      <c r="AY29" t="s">
        <v>74</v>
      </c>
      <c r="AZ29" t="s">
        <v>74</v>
      </c>
      <c r="BA29" t="s">
        <v>74</v>
      </c>
      <c r="BB29" t="s">
        <v>74</v>
      </c>
      <c r="BC29" t="s">
        <v>74</v>
      </c>
      <c r="BD29">
        <v>25004</v>
      </c>
      <c r="BE29" t="s">
        <v>781</v>
      </c>
      <c r="BF29" t="str">
        <f>HYPERLINK("http://dx.doi.org/10.1088/1748-9326/aa5986","http://dx.doi.org/10.1088/1748-9326/aa5986")</f>
        <v>http://dx.doi.org/10.1088/1748-9326/aa5986</v>
      </c>
      <c r="BG29" t="s">
        <v>74</v>
      </c>
      <c r="BH29" t="s">
        <v>74</v>
      </c>
      <c r="BI29">
        <v>11</v>
      </c>
      <c r="BJ29" t="s">
        <v>782</v>
      </c>
      <c r="BK29" t="s">
        <v>102</v>
      </c>
      <c r="BL29" t="s">
        <v>783</v>
      </c>
      <c r="BM29" t="s">
        <v>784</v>
      </c>
      <c r="BN29" t="s">
        <v>74</v>
      </c>
      <c r="BO29" t="s">
        <v>161</v>
      </c>
      <c r="BP29" t="s">
        <v>74</v>
      </c>
      <c r="BQ29" t="s">
        <v>74</v>
      </c>
      <c r="BR29" t="s">
        <v>106</v>
      </c>
      <c r="BS29" t="s">
        <v>785</v>
      </c>
      <c r="BT29" t="str">
        <f>HYPERLINK("https%3A%2F%2Fwww.webofscience.com%2Fwos%2Fwoscc%2Ffull-record%2FWOS:000410375900001","View Full Record in Web of Science")</f>
        <v>View Full Record in Web of Science</v>
      </c>
    </row>
    <row r="30" spans="1:72" x14ac:dyDescent="0.2">
      <c r="A30" t="s">
        <v>72</v>
      </c>
      <c r="B30" t="s">
        <v>786</v>
      </c>
      <c r="C30" t="s">
        <v>74</v>
      </c>
      <c r="D30" t="s">
        <v>74</v>
      </c>
      <c r="E30" t="s">
        <v>74</v>
      </c>
      <c r="F30" t="s">
        <v>787</v>
      </c>
      <c r="G30" t="s">
        <v>74</v>
      </c>
      <c r="H30" t="s">
        <v>74</v>
      </c>
      <c r="I30" t="s">
        <v>788</v>
      </c>
      <c r="J30" t="s">
        <v>789</v>
      </c>
      <c r="K30" t="s">
        <v>74</v>
      </c>
      <c r="L30" t="s">
        <v>74</v>
      </c>
      <c r="M30" t="s">
        <v>78</v>
      </c>
      <c r="N30" t="s">
        <v>79</v>
      </c>
      <c r="O30" t="s">
        <v>74</v>
      </c>
      <c r="P30" t="s">
        <v>74</v>
      </c>
      <c r="Q30" t="s">
        <v>74</v>
      </c>
      <c r="R30" t="s">
        <v>74</v>
      </c>
      <c r="S30" t="s">
        <v>74</v>
      </c>
      <c r="T30" t="s">
        <v>790</v>
      </c>
      <c r="U30" t="s">
        <v>791</v>
      </c>
      <c r="V30" t="s">
        <v>792</v>
      </c>
      <c r="W30" t="s">
        <v>793</v>
      </c>
      <c r="X30" t="s">
        <v>794</v>
      </c>
      <c r="Y30" t="s">
        <v>795</v>
      </c>
      <c r="Z30" t="s">
        <v>796</v>
      </c>
      <c r="AA30" t="s">
        <v>797</v>
      </c>
      <c r="AB30" t="s">
        <v>74</v>
      </c>
      <c r="AC30" t="s">
        <v>798</v>
      </c>
      <c r="AD30" t="s">
        <v>799</v>
      </c>
      <c r="AE30" t="s">
        <v>800</v>
      </c>
      <c r="AF30" t="s">
        <v>74</v>
      </c>
      <c r="AG30">
        <v>54</v>
      </c>
      <c r="AH30">
        <v>15</v>
      </c>
      <c r="AI30">
        <v>17</v>
      </c>
      <c r="AJ30">
        <v>6</v>
      </c>
      <c r="AK30">
        <v>57</v>
      </c>
      <c r="AL30" t="s">
        <v>504</v>
      </c>
      <c r="AM30" t="s">
        <v>505</v>
      </c>
      <c r="AN30" t="s">
        <v>506</v>
      </c>
      <c r="AO30" t="s">
        <v>801</v>
      </c>
      <c r="AP30" t="s">
        <v>802</v>
      </c>
      <c r="AQ30" t="s">
        <v>74</v>
      </c>
      <c r="AR30" t="s">
        <v>803</v>
      </c>
      <c r="AS30" t="s">
        <v>804</v>
      </c>
      <c r="AT30" t="s">
        <v>805</v>
      </c>
      <c r="AU30">
        <v>2023</v>
      </c>
      <c r="AV30">
        <v>195</v>
      </c>
      <c r="AW30">
        <v>11</v>
      </c>
      <c r="AX30" t="s">
        <v>74</v>
      </c>
      <c r="AY30" t="s">
        <v>74</v>
      </c>
      <c r="AZ30" t="s">
        <v>74</v>
      </c>
      <c r="BA30" t="s">
        <v>74</v>
      </c>
      <c r="BB30" t="s">
        <v>74</v>
      </c>
      <c r="BC30" t="s">
        <v>74</v>
      </c>
      <c r="BD30">
        <v>1391</v>
      </c>
      <c r="BE30" t="s">
        <v>806</v>
      </c>
      <c r="BF30" t="str">
        <f>HYPERLINK("http://dx.doi.org/10.1007/s10661-023-11998-w","http://dx.doi.org/10.1007/s10661-023-11998-w")</f>
        <v>http://dx.doi.org/10.1007/s10661-023-11998-w</v>
      </c>
      <c r="BG30" t="s">
        <v>74</v>
      </c>
      <c r="BH30" t="s">
        <v>74</v>
      </c>
      <c r="BI30">
        <v>17</v>
      </c>
      <c r="BJ30" t="s">
        <v>567</v>
      </c>
      <c r="BK30" t="s">
        <v>102</v>
      </c>
      <c r="BL30" t="s">
        <v>568</v>
      </c>
      <c r="BM30" t="s">
        <v>807</v>
      </c>
      <c r="BN30">
        <v>37903960</v>
      </c>
      <c r="BO30" t="s">
        <v>74</v>
      </c>
      <c r="BP30" t="s">
        <v>74</v>
      </c>
      <c r="BQ30" t="s">
        <v>74</v>
      </c>
      <c r="BR30" t="s">
        <v>106</v>
      </c>
      <c r="BS30" t="s">
        <v>808</v>
      </c>
      <c r="BT30" t="str">
        <f>HYPERLINK("https%3A%2F%2Fwww.webofscience.com%2Fwos%2Fwoscc%2Ffull-record%2FWOS:001090376700001","View Full Record in Web of Science")</f>
        <v>View Full Record in Web of Science</v>
      </c>
    </row>
    <row r="31" spans="1:72" x14ac:dyDescent="0.2">
      <c r="A31" t="s">
        <v>72</v>
      </c>
      <c r="B31" t="s">
        <v>809</v>
      </c>
      <c r="C31" t="s">
        <v>74</v>
      </c>
      <c r="D31" t="s">
        <v>74</v>
      </c>
      <c r="E31" t="s">
        <v>74</v>
      </c>
      <c r="F31" t="s">
        <v>810</v>
      </c>
      <c r="G31" t="s">
        <v>74</v>
      </c>
      <c r="H31" t="s">
        <v>74</v>
      </c>
      <c r="I31" t="s">
        <v>811</v>
      </c>
      <c r="J31" t="s">
        <v>468</v>
      </c>
      <c r="K31" t="s">
        <v>74</v>
      </c>
      <c r="L31" t="s">
        <v>74</v>
      </c>
      <c r="M31" t="s">
        <v>78</v>
      </c>
      <c r="N31" t="s">
        <v>79</v>
      </c>
      <c r="O31" t="s">
        <v>74</v>
      </c>
      <c r="P31" t="s">
        <v>74</v>
      </c>
      <c r="Q31" t="s">
        <v>74</v>
      </c>
      <c r="R31" t="s">
        <v>74</v>
      </c>
      <c r="S31" t="s">
        <v>74</v>
      </c>
      <c r="T31" t="s">
        <v>812</v>
      </c>
      <c r="U31" t="s">
        <v>813</v>
      </c>
      <c r="V31" t="s">
        <v>814</v>
      </c>
      <c r="W31" t="s">
        <v>815</v>
      </c>
      <c r="X31" t="s">
        <v>816</v>
      </c>
      <c r="Y31" t="s">
        <v>817</v>
      </c>
      <c r="Z31" t="s">
        <v>818</v>
      </c>
      <c r="AA31" t="s">
        <v>74</v>
      </c>
      <c r="AB31" t="s">
        <v>74</v>
      </c>
      <c r="AC31" t="s">
        <v>819</v>
      </c>
      <c r="AD31" t="s">
        <v>820</v>
      </c>
      <c r="AE31" t="s">
        <v>821</v>
      </c>
      <c r="AF31" t="s">
        <v>74</v>
      </c>
      <c r="AG31">
        <v>30</v>
      </c>
      <c r="AH31">
        <v>1</v>
      </c>
      <c r="AI31">
        <v>1</v>
      </c>
      <c r="AJ31">
        <v>4</v>
      </c>
      <c r="AK31">
        <v>12</v>
      </c>
      <c r="AL31" t="s">
        <v>222</v>
      </c>
      <c r="AM31" t="s">
        <v>223</v>
      </c>
      <c r="AN31" t="s">
        <v>478</v>
      </c>
      <c r="AO31" t="s">
        <v>74</v>
      </c>
      <c r="AP31" t="s">
        <v>479</v>
      </c>
      <c r="AQ31" t="s">
        <v>74</v>
      </c>
      <c r="AR31" t="s">
        <v>480</v>
      </c>
      <c r="AS31" t="s">
        <v>481</v>
      </c>
      <c r="AT31" t="s">
        <v>805</v>
      </c>
      <c r="AU31">
        <v>2024</v>
      </c>
      <c r="AV31">
        <v>16</v>
      </c>
      <c r="AW31">
        <v>22</v>
      </c>
      <c r="AX31" t="s">
        <v>74</v>
      </c>
      <c r="AY31" t="s">
        <v>74</v>
      </c>
      <c r="AZ31" t="s">
        <v>74</v>
      </c>
      <c r="BA31" t="s">
        <v>74</v>
      </c>
      <c r="BB31" t="s">
        <v>74</v>
      </c>
      <c r="BC31" t="s">
        <v>74</v>
      </c>
      <c r="BD31">
        <v>9700</v>
      </c>
      <c r="BE31" t="s">
        <v>822</v>
      </c>
      <c r="BF31" t="str">
        <f>HYPERLINK("http://dx.doi.org/10.3390/su16229700","http://dx.doi.org/10.3390/su16229700")</f>
        <v>http://dx.doi.org/10.3390/su16229700</v>
      </c>
      <c r="BG31" t="s">
        <v>74</v>
      </c>
      <c r="BH31" t="s">
        <v>74</v>
      </c>
      <c r="BI31">
        <v>13</v>
      </c>
      <c r="BJ31" t="s">
        <v>484</v>
      </c>
      <c r="BK31" t="s">
        <v>186</v>
      </c>
      <c r="BL31" t="s">
        <v>485</v>
      </c>
      <c r="BM31" t="s">
        <v>823</v>
      </c>
      <c r="BN31" t="s">
        <v>74</v>
      </c>
      <c r="BO31" t="s">
        <v>231</v>
      </c>
      <c r="BP31" t="s">
        <v>74</v>
      </c>
      <c r="BQ31" t="s">
        <v>74</v>
      </c>
      <c r="BR31" t="s">
        <v>106</v>
      </c>
      <c r="BS31" t="s">
        <v>824</v>
      </c>
      <c r="BT31" t="str">
        <f>HYPERLINK("https%3A%2F%2Fwww.webofscience.com%2Fwos%2Fwoscc%2Ffull-record%2FWOS:001367262400001","View Full Record in Web of Science")</f>
        <v>View Full Record in Web of Science</v>
      </c>
    </row>
    <row r="32" spans="1:72" x14ac:dyDescent="0.2">
      <c r="A32" t="s">
        <v>72</v>
      </c>
      <c r="B32" t="s">
        <v>825</v>
      </c>
      <c r="C32" t="s">
        <v>74</v>
      </c>
      <c r="D32" t="s">
        <v>74</v>
      </c>
      <c r="E32" t="s">
        <v>74</v>
      </c>
      <c r="F32" t="s">
        <v>826</v>
      </c>
      <c r="G32" t="s">
        <v>74</v>
      </c>
      <c r="H32" t="s">
        <v>74</v>
      </c>
      <c r="I32" t="s">
        <v>827</v>
      </c>
      <c r="J32" t="s">
        <v>828</v>
      </c>
      <c r="K32" t="s">
        <v>74</v>
      </c>
      <c r="L32" t="s">
        <v>74</v>
      </c>
      <c r="M32" t="s">
        <v>78</v>
      </c>
      <c r="N32" t="s">
        <v>79</v>
      </c>
      <c r="O32" t="s">
        <v>74</v>
      </c>
      <c r="P32" t="s">
        <v>74</v>
      </c>
      <c r="Q32" t="s">
        <v>74</v>
      </c>
      <c r="R32" t="s">
        <v>74</v>
      </c>
      <c r="S32" t="s">
        <v>74</v>
      </c>
      <c r="T32" t="s">
        <v>74</v>
      </c>
      <c r="U32" t="s">
        <v>74</v>
      </c>
      <c r="V32" t="s">
        <v>829</v>
      </c>
      <c r="W32" t="s">
        <v>830</v>
      </c>
      <c r="X32" t="s">
        <v>831</v>
      </c>
      <c r="Y32" t="s">
        <v>832</v>
      </c>
      <c r="Z32" t="s">
        <v>833</v>
      </c>
      <c r="AA32" t="s">
        <v>834</v>
      </c>
      <c r="AB32" t="s">
        <v>74</v>
      </c>
      <c r="AC32" t="s">
        <v>74</v>
      </c>
      <c r="AD32" t="s">
        <v>74</v>
      </c>
      <c r="AE32" t="s">
        <v>74</v>
      </c>
      <c r="AF32" t="s">
        <v>74</v>
      </c>
      <c r="AG32">
        <v>11</v>
      </c>
      <c r="AH32">
        <v>0</v>
      </c>
      <c r="AI32">
        <v>0</v>
      </c>
      <c r="AJ32">
        <v>1</v>
      </c>
      <c r="AK32">
        <v>3</v>
      </c>
      <c r="AL32" t="s">
        <v>835</v>
      </c>
      <c r="AM32" t="s">
        <v>836</v>
      </c>
      <c r="AN32" t="s">
        <v>837</v>
      </c>
      <c r="AO32" t="s">
        <v>838</v>
      </c>
      <c r="AP32" t="s">
        <v>74</v>
      </c>
      <c r="AQ32" t="s">
        <v>74</v>
      </c>
      <c r="AR32" t="s">
        <v>839</v>
      </c>
      <c r="AS32" t="s">
        <v>840</v>
      </c>
      <c r="AT32" t="s">
        <v>841</v>
      </c>
      <c r="AU32">
        <v>2021</v>
      </c>
      <c r="AV32">
        <v>52</v>
      </c>
      <c r="AW32">
        <v>1</v>
      </c>
      <c r="AX32" t="s">
        <v>74</v>
      </c>
      <c r="AY32" t="s">
        <v>74</v>
      </c>
      <c r="AZ32" t="s">
        <v>74</v>
      </c>
      <c r="BA32" t="s">
        <v>74</v>
      </c>
      <c r="BB32">
        <v>13</v>
      </c>
      <c r="BC32">
        <v>16</v>
      </c>
      <c r="BD32" t="s">
        <v>74</v>
      </c>
      <c r="BE32" t="s">
        <v>74</v>
      </c>
      <c r="BF32" t="s">
        <v>74</v>
      </c>
      <c r="BG32" t="s">
        <v>74</v>
      </c>
      <c r="BH32" t="s">
        <v>74</v>
      </c>
      <c r="BI32">
        <v>4</v>
      </c>
      <c r="BJ32" t="s">
        <v>842</v>
      </c>
      <c r="BK32" t="s">
        <v>102</v>
      </c>
      <c r="BL32" t="s">
        <v>103</v>
      </c>
      <c r="BM32" t="s">
        <v>843</v>
      </c>
      <c r="BN32" t="s">
        <v>74</v>
      </c>
      <c r="BO32" t="s">
        <v>74</v>
      </c>
      <c r="BP32" t="s">
        <v>74</v>
      </c>
      <c r="BQ32" t="s">
        <v>74</v>
      </c>
      <c r="BR32" t="s">
        <v>106</v>
      </c>
      <c r="BS32" t="s">
        <v>844</v>
      </c>
      <c r="BT32" t="str">
        <f>HYPERLINK("https%3A%2F%2Fwww.webofscience.com%2Fwos%2Fwoscc%2Ffull-record%2FWOS:000755822100003","View Full Record in Web of Science")</f>
        <v>View Full Record in Web of Science</v>
      </c>
    </row>
    <row r="33" spans="1:72" x14ac:dyDescent="0.2">
      <c r="A33" t="s">
        <v>72</v>
      </c>
      <c r="B33" t="s">
        <v>845</v>
      </c>
      <c r="C33" t="s">
        <v>74</v>
      </c>
      <c r="D33" t="s">
        <v>74</v>
      </c>
      <c r="E33" t="s">
        <v>74</v>
      </c>
      <c r="F33" t="s">
        <v>846</v>
      </c>
      <c r="G33" t="s">
        <v>74</v>
      </c>
      <c r="H33" t="s">
        <v>74</v>
      </c>
      <c r="I33" t="s">
        <v>847</v>
      </c>
      <c r="J33" t="s">
        <v>848</v>
      </c>
      <c r="K33" t="s">
        <v>74</v>
      </c>
      <c r="L33" t="s">
        <v>74</v>
      </c>
      <c r="M33" t="s">
        <v>78</v>
      </c>
      <c r="N33" t="s">
        <v>79</v>
      </c>
      <c r="O33" t="s">
        <v>74</v>
      </c>
      <c r="P33" t="s">
        <v>74</v>
      </c>
      <c r="Q33" t="s">
        <v>74</v>
      </c>
      <c r="R33" t="s">
        <v>74</v>
      </c>
      <c r="S33" t="s">
        <v>74</v>
      </c>
      <c r="T33" t="s">
        <v>849</v>
      </c>
      <c r="U33" t="s">
        <v>850</v>
      </c>
      <c r="V33" t="s">
        <v>851</v>
      </c>
      <c r="W33" t="s">
        <v>852</v>
      </c>
      <c r="X33" t="s">
        <v>853</v>
      </c>
      <c r="Y33" t="s">
        <v>854</v>
      </c>
      <c r="Z33" t="s">
        <v>855</v>
      </c>
      <c r="AA33" t="s">
        <v>74</v>
      </c>
      <c r="AB33" t="s">
        <v>856</v>
      </c>
      <c r="AC33" t="s">
        <v>857</v>
      </c>
      <c r="AD33" t="s">
        <v>857</v>
      </c>
      <c r="AE33" t="s">
        <v>858</v>
      </c>
      <c r="AF33" t="s">
        <v>74</v>
      </c>
      <c r="AG33">
        <v>76</v>
      </c>
      <c r="AH33">
        <v>4</v>
      </c>
      <c r="AI33">
        <v>4</v>
      </c>
      <c r="AJ33">
        <v>3</v>
      </c>
      <c r="AK33">
        <v>8</v>
      </c>
      <c r="AL33" t="s">
        <v>655</v>
      </c>
      <c r="AM33" t="s">
        <v>405</v>
      </c>
      <c r="AN33" t="s">
        <v>656</v>
      </c>
      <c r="AO33" t="s">
        <v>74</v>
      </c>
      <c r="AP33" t="s">
        <v>859</v>
      </c>
      <c r="AQ33" t="s">
        <v>74</v>
      </c>
      <c r="AR33" t="s">
        <v>860</v>
      </c>
      <c r="AS33" t="s">
        <v>861</v>
      </c>
      <c r="AT33" t="s">
        <v>862</v>
      </c>
      <c r="AU33">
        <v>2024</v>
      </c>
      <c r="AV33">
        <v>8</v>
      </c>
      <c r="AW33" t="s">
        <v>74</v>
      </c>
      <c r="AX33" t="s">
        <v>74</v>
      </c>
      <c r="AY33" t="s">
        <v>74</v>
      </c>
      <c r="AZ33" t="s">
        <v>74</v>
      </c>
      <c r="BA33" t="s">
        <v>74</v>
      </c>
      <c r="BB33" t="s">
        <v>74</v>
      </c>
      <c r="BC33" t="s">
        <v>74</v>
      </c>
      <c r="BD33">
        <v>1414912</v>
      </c>
      <c r="BE33" t="s">
        <v>863</v>
      </c>
      <c r="BF33" t="str">
        <f>HYPERLINK("http://dx.doi.org/10.3389/fsufs.2024.1414912","http://dx.doi.org/10.3389/fsufs.2024.1414912")</f>
        <v>http://dx.doi.org/10.3389/fsufs.2024.1414912</v>
      </c>
      <c r="BG33" t="s">
        <v>74</v>
      </c>
      <c r="BH33" t="s">
        <v>74</v>
      </c>
      <c r="BI33">
        <v>13</v>
      </c>
      <c r="BJ33" t="s">
        <v>864</v>
      </c>
      <c r="BK33" t="s">
        <v>102</v>
      </c>
      <c r="BL33" t="s">
        <v>864</v>
      </c>
      <c r="BM33" t="s">
        <v>865</v>
      </c>
      <c r="BN33" t="s">
        <v>74</v>
      </c>
      <c r="BO33" t="s">
        <v>231</v>
      </c>
      <c r="BP33" t="s">
        <v>74</v>
      </c>
      <c r="BQ33" t="s">
        <v>74</v>
      </c>
      <c r="BR33" t="s">
        <v>106</v>
      </c>
      <c r="BS33" t="s">
        <v>866</v>
      </c>
      <c r="BT33" t="str">
        <f>HYPERLINK("https%3A%2F%2Fwww.webofscience.com%2Fwos%2Fwoscc%2Ffull-record%2FWOS:001364041100001","View Full Record in Web of Science")</f>
        <v>View Full Record in Web of Science</v>
      </c>
    </row>
    <row r="34" spans="1:72" x14ac:dyDescent="0.2">
      <c r="A34" t="s">
        <v>72</v>
      </c>
      <c r="B34" t="s">
        <v>867</v>
      </c>
      <c r="C34" t="s">
        <v>74</v>
      </c>
      <c r="D34" t="s">
        <v>74</v>
      </c>
      <c r="E34" t="s">
        <v>74</v>
      </c>
      <c r="F34" t="s">
        <v>868</v>
      </c>
      <c r="G34" t="s">
        <v>74</v>
      </c>
      <c r="H34" t="s">
        <v>74</v>
      </c>
      <c r="I34" t="s">
        <v>869</v>
      </c>
      <c r="J34" t="s">
        <v>870</v>
      </c>
      <c r="K34" t="s">
        <v>74</v>
      </c>
      <c r="L34" t="s">
        <v>74</v>
      </c>
      <c r="M34" t="s">
        <v>78</v>
      </c>
      <c r="N34" t="s">
        <v>79</v>
      </c>
      <c r="O34" t="s">
        <v>74</v>
      </c>
      <c r="P34" t="s">
        <v>74</v>
      </c>
      <c r="Q34" t="s">
        <v>74</v>
      </c>
      <c r="R34" t="s">
        <v>74</v>
      </c>
      <c r="S34" t="s">
        <v>74</v>
      </c>
      <c r="T34" t="s">
        <v>871</v>
      </c>
      <c r="U34" t="s">
        <v>872</v>
      </c>
      <c r="V34" t="s">
        <v>873</v>
      </c>
      <c r="W34" t="s">
        <v>874</v>
      </c>
      <c r="X34" t="s">
        <v>875</v>
      </c>
      <c r="Y34" t="s">
        <v>876</v>
      </c>
      <c r="Z34" t="s">
        <v>877</v>
      </c>
      <c r="AA34" t="s">
        <v>878</v>
      </c>
      <c r="AB34" t="s">
        <v>879</v>
      </c>
      <c r="AC34" t="s">
        <v>880</v>
      </c>
      <c r="AD34" t="s">
        <v>881</v>
      </c>
      <c r="AE34" t="s">
        <v>882</v>
      </c>
      <c r="AF34" t="s">
        <v>74</v>
      </c>
      <c r="AG34">
        <v>74</v>
      </c>
      <c r="AH34">
        <v>12</v>
      </c>
      <c r="AI34">
        <v>12</v>
      </c>
      <c r="AJ34">
        <v>1</v>
      </c>
      <c r="AK34">
        <v>26</v>
      </c>
      <c r="AL34" t="s">
        <v>247</v>
      </c>
      <c r="AM34" t="s">
        <v>248</v>
      </c>
      <c r="AN34" t="s">
        <v>249</v>
      </c>
      <c r="AO34" t="s">
        <v>883</v>
      </c>
      <c r="AP34" t="s">
        <v>884</v>
      </c>
      <c r="AQ34" t="s">
        <v>74</v>
      </c>
      <c r="AR34" t="s">
        <v>885</v>
      </c>
      <c r="AS34" t="s">
        <v>886</v>
      </c>
      <c r="AT34" t="s">
        <v>459</v>
      </c>
      <c r="AU34">
        <v>2022</v>
      </c>
      <c r="AV34">
        <v>14</v>
      </c>
      <c r="AW34">
        <v>2</v>
      </c>
      <c r="AX34" t="s">
        <v>74</v>
      </c>
      <c r="AY34" t="s">
        <v>74</v>
      </c>
      <c r="AZ34" t="s">
        <v>74</v>
      </c>
      <c r="BA34" t="s">
        <v>74</v>
      </c>
      <c r="BB34">
        <v>110</v>
      </c>
      <c r="BC34">
        <v>131</v>
      </c>
      <c r="BD34" t="s">
        <v>74</v>
      </c>
      <c r="BE34" t="s">
        <v>887</v>
      </c>
      <c r="BF34" t="str">
        <f>HYPERLINK("http://dx.doi.org/10.1111/gcbb.12901","http://dx.doi.org/10.1111/gcbb.12901")</f>
        <v>http://dx.doi.org/10.1111/gcbb.12901</v>
      </c>
      <c r="BG34" t="s">
        <v>74</v>
      </c>
      <c r="BH34" t="s">
        <v>888</v>
      </c>
      <c r="BI34">
        <v>22</v>
      </c>
      <c r="BJ34" t="s">
        <v>889</v>
      </c>
      <c r="BK34" t="s">
        <v>186</v>
      </c>
      <c r="BL34" t="s">
        <v>890</v>
      </c>
      <c r="BM34" t="s">
        <v>891</v>
      </c>
      <c r="BN34" t="s">
        <v>74</v>
      </c>
      <c r="BO34" t="s">
        <v>892</v>
      </c>
      <c r="BP34" t="s">
        <v>74</v>
      </c>
      <c r="BQ34" t="s">
        <v>74</v>
      </c>
      <c r="BR34" t="s">
        <v>106</v>
      </c>
      <c r="BS34" t="s">
        <v>893</v>
      </c>
      <c r="BT34" t="str">
        <f>HYPERLINK("https%3A%2F%2Fwww.webofscience.com%2Fwos%2Fwoscc%2Ffull-record%2FWOS:000723823500001","View Full Record in Web of Science")</f>
        <v>View Full Record in Web of Science</v>
      </c>
    </row>
    <row r="35" spans="1:72" x14ac:dyDescent="0.2">
      <c r="A35" t="s">
        <v>72</v>
      </c>
      <c r="B35" t="s">
        <v>894</v>
      </c>
      <c r="C35" t="s">
        <v>74</v>
      </c>
      <c r="D35" t="s">
        <v>74</v>
      </c>
      <c r="E35" t="s">
        <v>74</v>
      </c>
      <c r="F35" t="s">
        <v>895</v>
      </c>
      <c r="G35" t="s">
        <v>74</v>
      </c>
      <c r="H35" t="s">
        <v>74</v>
      </c>
      <c r="I35" t="s">
        <v>896</v>
      </c>
      <c r="J35" t="s">
        <v>897</v>
      </c>
      <c r="K35" t="s">
        <v>74</v>
      </c>
      <c r="L35" t="s">
        <v>74</v>
      </c>
      <c r="M35" t="s">
        <v>78</v>
      </c>
      <c r="N35" t="s">
        <v>79</v>
      </c>
      <c r="O35" t="s">
        <v>74</v>
      </c>
      <c r="P35" t="s">
        <v>74</v>
      </c>
      <c r="Q35" t="s">
        <v>74</v>
      </c>
      <c r="R35" t="s">
        <v>74</v>
      </c>
      <c r="S35" t="s">
        <v>74</v>
      </c>
      <c r="T35" t="s">
        <v>74</v>
      </c>
      <c r="U35" t="s">
        <v>898</v>
      </c>
      <c r="V35" t="s">
        <v>899</v>
      </c>
      <c r="W35" t="s">
        <v>900</v>
      </c>
      <c r="X35" t="s">
        <v>901</v>
      </c>
      <c r="Y35" t="s">
        <v>902</v>
      </c>
      <c r="Z35" t="s">
        <v>903</v>
      </c>
      <c r="AA35" t="s">
        <v>904</v>
      </c>
      <c r="AB35" t="s">
        <v>905</v>
      </c>
      <c r="AC35" t="s">
        <v>906</v>
      </c>
      <c r="AD35" t="s">
        <v>907</v>
      </c>
      <c r="AE35" t="s">
        <v>908</v>
      </c>
      <c r="AF35" t="s">
        <v>74</v>
      </c>
      <c r="AG35">
        <v>32</v>
      </c>
      <c r="AH35">
        <v>36</v>
      </c>
      <c r="AI35">
        <v>42</v>
      </c>
      <c r="AJ35">
        <v>2</v>
      </c>
      <c r="AK35">
        <v>33</v>
      </c>
      <c r="AL35" t="s">
        <v>504</v>
      </c>
      <c r="AM35" t="s">
        <v>505</v>
      </c>
      <c r="AN35" t="s">
        <v>506</v>
      </c>
      <c r="AO35" t="s">
        <v>909</v>
      </c>
      <c r="AP35" t="s">
        <v>910</v>
      </c>
      <c r="AQ35" t="s">
        <v>74</v>
      </c>
      <c r="AR35" t="s">
        <v>897</v>
      </c>
      <c r="AS35" t="s">
        <v>911</v>
      </c>
      <c r="AT35" t="s">
        <v>912</v>
      </c>
      <c r="AU35">
        <v>2018</v>
      </c>
      <c r="AV35">
        <v>148</v>
      </c>
      <c r="AW35" t="s">
        <v>913</v>
      </c>
      <c r="AX35" t="s">
        <v>74</v>
      </c>
      <c r="AY35" t="s">
        <v>74</v>
      </c>
      <c r="AZ35" t="s">
        <v>74</v>
      </c>
      <c r="BA35" t="s">
        <v>74</v>
      </c>
      <c r="BB35">
        <v>1</v>
      </c>
      <c r="BC35">
        <v>10</v>
      </c>
      <c r="BD35" t="s">
        <v>74</v>
      </c>
      <c r="BE35" t="s">
        <v>914</v>
      </c>
      <c r="BF35" t="str">
        <f>HYPERLINK("http://dx.doi.org/10.1007/s10584-018-2189-z","http://dx.doi.org/10.1007/s10584-018-2189-z")</f>
        <v>http://dx.doi.org/10.1007/s10584-018-2189-z</v>
      </c>
      <c r="BG35" t="s">
        <v>74</v>
      </c>
      <c r="BH35" t="s">
        <v>74</v>
      </c>
      <c r="BI35">
        <v>10</v>
      </c>
      <c r="BJ35" t="s">
        <v>782</v>
      </c>
      <c r="BK35" t="s">
        <v>102</v>
      </c>
      <c r="BL35" t="s">
        <v>783</v>
      </c>
      <c r="BM35" t="s">
        <v>915</v>
      </c>
      <c r="BN35" t="s">
        <v>74</v>
      </c>
      <c r="BO35" t="s">
        <v>916</v>
      </c>
      <c r="BP35" t="s">
        <v>74</v>
      </c>
      <c r="BQ35" t="s">
        <v>74</v>
      </c>
      <c r="BR35" t="s">
        <v>106</v>
      </c>
      <c r="BS35" t="s">
        <v>917</v>
      </c>
      <c r="BT35" t="str">
        <f>HYPERLINK("https%3A%2F%2Fwww.webofscience.com%2Fwos%2Fwoscc%2Ffull-record%2FWOS:000431788500001","View Full Record in Web of Science")</f>
        <v>View Full Record in Web of Science</v>
      </c>
    </row>
    <row r="36" spans="1:72" x14ac:dyDescent="0.2">
      <c r="A36" t="s">
        <v>72</v>
      </c>
      <c r="B36" t="s">
        <v>918</v>
      </c>
      <c r="C36" t="s">
        <v>74</v>
      </c>
      <c r="D36" t="s">
        <v>74</v>
      </c>
      <c r="E36" t="s">
        <v>74</v>
      </c>
      <c r="F36" t="s">
        <v>919</v>
      </c>
      <c r="G36" t="s">
        <v>74</v>
      </c>
      <c r="H36" t="s">
        <v>74</v>
      </c>
      <c r="I36" t="s">
        <v>920</v>
      </c>
      <c r="J36" t="s">
        <v>921</v>
      </c>
      <c r="K36" t="s">
        <v>74</v>
      </c>
      <c r="L36" t="s">
        <v>74</v>
      </c>
      <c r="M36" t="s">
        <v>78</v>
      </c>
      <c r="N36" t="s">
        <v>79</v>
      </c>
      <c r="O36" t="s">
        <v>74</v>
      </c>
      <c r="P36" t="s">
        <v>74</v>
      </c>
      <c r="Q36" t="s">
        <v>74</v>
      </c>
      <c r="R36" t="s">
        <v>74</v>
      </c>
      <c r="S36" t="s">
        <v>74</v>
      </c>
      <c r="T36" t="s">
        <v>922</v>
      </c>
      <c r="U36" t="s">
        <v>923</v>
      </c>
      <c r="V36" t="s">
        <v>924</v>
      </c>
      <c r="W36" t="s">
        <v>925</v>
      </c>
      <c r="X36" t="s">
        <v>926</v>
      </c>
      <c r="Y36" t="s">
        <v>927</v>
      </c>
      <c r="Z36" t="s">
        <v>928</v>
      </c>
      <c r="AA36" t="s">
        <v>929</v>
      </c>
      <c r="AB36" t="s">
        <v>930</v>
      </c>
      <c r="AC36" t="s">
        <v>931</v>
      </c>
      <c r="AD36" t="s">
        <v>932</v>
      </c>
      <c r="AE36" t="s">
        <v>933</v>
      </c>
      <c r="AF36" t="s">
        <v>74</v>
      </c>
      <c r="AG36">
        <v>79</v>
      </c>
      <c r="AH36">
        <v>56</v>
      </c>
      <c r="AI36">
        <v>59</v>
      </c>
      <c r="AJ36">
        <v>9</v>
      </c>
      <c r="AK36">
        <v>202</v>
      </c>
      <c r="AL36" t="s">
        <v>934</v>
      </c>
      <c r="AM36" t="s">
        <v>177</v>
      </c>
      <c r="AN36" t="s">
        <v>935</v>
      </c>
      <c r="AO36" t="s">
        <v>936</v>
      </c>
      <c r="AP36" t="s">
        <v>937</v>
      </c>
      <c r="AQ36" t="s">
        <v>74</v>
      </c>
      <c r="AR36" t="s">
        <v>938</v>
      </c>
      <c r="AS36" t="s">
        <v>939</v>
      </c>
      <c r="AT36" t="s">
        <v>459</v>
      </c>
      <c r="AU36">
        <v>2021</v>
      </c>
      <c r="AV36">
        <v>153</v>
      </c>
      <c r="AW36" t="s">
        <v>74</v>
      </c>
      <c r="AX36" t="s">
        <v>74</v>
      </c>
      <c r="AY36" t="s">
        <v>74</v>
      </c>
      <c r="AZ36" t="s">
        <v>74</v>
      </c>
      <c r="BA36" t="s">
        <v>74</v>
      </c>
      <c r="BB36" t="s">
        <v>74</v>
      </c>
      <c r="BC36" t="s">
        <v>74</v>
      </c>
      <c r="BD36">
        <v>108103</v>
      </c>
      <c r="BE36" t="s">
        <v>940</v>
      </c>
      <c r="BF36" t="str">
        <f>HYPERLINK("http://dx.doi.org/10.1016/j.soilbio.2020.108103","http://dx.doi.org/10.1016/j.soilbio.2020.108103")</f>
        <v>http://dx.doi.org/10.1016/j.soilbio.2020.108103</v>
      </c>
      <c r="BG36" t="s">
        <v>74</v>
      </c>
      <c r="BH36" t="s">
        <v>74</v>
      </c>
      <c r="BI36">
        <v>9</v>
      </c>
      <c r="BJ36" t="s">
        <v>256</v>
      </c>
      <c r="BK36" t="s">
        <v>102</v>
      </c>
      <c r="BL36" t="s">
        <v>103</v>
      </c>
      <c r="BM36" t="s">
        <v>941</v>
      </c>
      <c r="BN36" t="s">
        <v>74</v>
      </c>
      <c r="BO36" t="s">
        <v>541</v>
      </c>
      <c r="BP36" t="s">
        <v>74</v>
      </c>
      <c r="BQ36" t="s">
        <v>74</v>
      </c>
      <c r="BR36" t="s">
        <v>106</v>
      </c>
      <c r="BS36" t="s">
        <v>942</v>
      </c>
      <c r="BT36" t="str">
        <f>HYPERLINK("https%3A%2F%2Fwww.webofscience.com%2Fwos%2Fwoscc%2Ffull-record%2FWOS:000608177400012","View Full Record in Web of Science")</f>
        <v>View Full Record in Web of Science</v>
      </c>
    </row>
    <row r="37" spans="1:72" x14ac:dyDescent="0.2">
      <c r="A37" t="s">
        <v>72</v>
      </c>
      <c r="B37" t="s">
        <v>943</v>
      </c>
      <c r="C37" t="s">
        <v>74</v>
      </c>
      <c r="D37" t="s">
        <v>74</v>
      </c>
      <c r="E37" t="s">
        <v>74</v>
      </c>
      <c r="F37" t="s">
        <v>944</v>
      </c>
      <c r="G37" t="s">
        <v>74</v>
      </c>
      <c r="H37" t="s">
        <v>74</v>
      </c>
      <c r="I37" t="s">
        <v>945</v>
      </c>
      <c r="J37" t="s">
        <v>946</v>
      </c>
      <c r="K37" t="s">
        <v>74</v>
      </c>
      <c r="L37" t="s">
        <v>74</v>
      </c>
      <c r="M37" t="s">
        <v>78</v>
      </c>
      <c r="N37" t="s">
        <v>79</v>
      </c>
      <c r="O37" t="s">
        <v>74</v>
      </c>
      <c r="P37" t="s">
        <v>74</v>
      </c>
      <c r="Q37" t="s">
        <v>74</v>
      </c>
      <c r="R37" t="s">
        <v>74</v>
      </c>
      <c r="S37" t="s">
        <v>74</v>
      </c>
      <c r="T37" t="s">
        <v>947</v>
      </c>
      <c r="U37" t="s">
        <v>948</v>
      </c>
      <c r="V37" t="s">
        <v>949</v>
      </c>
      <c r="W37" t="s">
        <v>950</v>
      </c>
      <c r="X37" t="s">
        <v>74</v>
      </c>
      <c r="Y37" t="s">
        <v>951</v>
      </c>
      <c r="Z37" t="s">
        <v>952</v>
      </c>
      <c r="AA37" t="s">
        <v>74</v>
      </c>
      <c r="AB37" t="s">
        <v>74</v>
      </c>
      <c r="AC37" t="s">
        <v>953</v>
      </c>
      <c r="AD37" t="s">
        <v>954</v>
      </c>
      <c r="AE37" t="s">
        <v>955</v>
      </c>
      <c r="AF37" t="s">
        <v>74</v>
      </c>
      <c r="AG37">
        <v>54</v>
      </c>
      <c r="AH37">
        <v>0</v>
      </c>
      <c r="AI37">
        <v>0</v>
      </c>
      <c r="AJ37">
        <v>0</v>
      </c>
      <c r="AK37">
        <v>0</v>
      </c>
      <c r="AL37" t="s">
        <v>934</v>
      </c>
      <c r="AM37" t="s">
        <v>177</v>
      </c>
      <c r="AN37" t="s">
        <v>935</v>
      </c>
      <c r="AO37" t="s">
        <v>956</v>
      </c>
      <c r="AP37" t="s">
        <v>957</v>
      </c>
      <c r="AQ37" t="s">
        <v>74</v>
      </c>
      <c r="AR37" t="s">
        <v>958</v>
      </c>
      <c r="AS37" t="s">
        <v>959</v>
      </c>
      <c r="AT37" t="s">
        <v>960</v>
      </c>
      <c r="AU37">
        <v>2026</v>
      </c>
      <c r="AV37">
        <v>205</v>
      </c>
      <c r="AW37" t="s">
        <v>74</v>
      </c>
      <c r="AX37">
        <v>1</v>
      </c>
      <c r="AY37" t="s">
        <v>74</v>
      </c>
      <c r="AZ37" t="s">
        <v>74</v>
      </c>
      <c r="BA37" t="s">
        <v>74</v>
      </c>
      <c r="BB37" t="s">
        <v>74</v>
      </c>
      <c r="BC37" t="s">
        <v>74</v>
      </c>
      <c r="BD37">
        <v>109468</v>
      </c>
      <c r="BE37" t="s">
        <v>961</v>
      </c>
      <c r="BF37" t="str">
        <f>HYPERLINK("http://dx.doi.org/10.1016/j.compchemeng.2025.109468","http://dx.doi.org/10.1016/j.compchemeng.2025.109468")</f>
        <v>http://dx.doi.org/10.1016/j.compchemeng.2025.109468</v>
      </c>
      <c r="BG37" t="s">
        <v>74</v>
      </c>
      <c r="BH37" t="s">
        <v>962</v>
      </c>
      <c r="BI37">
        <v>12</v>
      </c>
      <c r="BJ37" t="s">
        <v>963</v>
      </c>
      <c r="BK37" t="s">
        <v>102</v>
      </c>
      <c r="BL37" t="s">
        <v>964</v>
      </c>
      <c r="BM37" t="s">
        <v>965</v>
      </c>
      <c r="BN37" t="s">
        <v>74</v>
      </c>
      <c r="BO37" t="s">
        <v>74</v>
      </c>
      <c r="BP37" t="s">
        <v>74</v>
      </c>
      <c r="BQ37" t="s">
        <v>74</v>
      </c>
      <c r="BR37" t="s">
        <v>106</v>
      </c>
      <c r="BS37" t="s">
        <v>966</v>
      </c>
      <c r="BT37" t="str">
        <f>HYPERLINK("https%3A%2F%2Fwww.webofscience.com%2Fwos%2Fwoscc%2Ffull-record%2FWOS:001611357900001","View Full Record in Web of Science")</f>
        <v>View Full Record in Web of Science</v>
      </c>
    </row>
    <row r="38" spans="1:72" x14ac:dyDescent="0.2">
      <c r="A38" t="s">
        <v>72</v>
      </c>
      <c r="B38" t="s">
        <v>967</v>
      </c>
      <c r="C38" t="s">
        <v>74</v>
      </c>
      <c r="D38" t="s">
        <v>74</v>
      </c>
      <c r="E38" t="s">
        <v>74</v>
      </c>
      <c r="F38" t="s">
        <v>968</v>
      </c>
      <c r="G38" t="s">
        <v>74</v>
      </c>
      <c r="H38" t="s">
        <v>74</v>
      </c>
      <c r="I38" t="s">
        <v>969</v>
      </c>
      <c r="J38" t="s">
        <v>970</v>
      </c>
      <c r="K38" t="s">
        <v>74</v>
      </c>
      <c r="L38" t="s">
        <v>74</v>
      </c>
      <c r="M38" t="s">
        <v>78</v>
      </c>
      <c r="N38" t="s">
        <v>79</v>
      </c>
      <c r="O38" t="s">
        <v>74</v>
      </c>
      <c r="P38" t="s">
        <v>74</v>
      </c>
      <c r="Q38" t="s">
        <v>74</v>
      </c>
      <c r="R38" t="s">
        <v>74</v>
      </c>
      <c r="S38" t="s">
        <v>74</v>
      </c>
      <c r="T38" t="s">
        <v>971</v>
      </c>
      <c r="U38" t="s">
        <v>972</v>
      </c>
      <c r="V38" t="s">
        <v>973</v>
      </c>
      <c r="W38" t="s">
        <v>974</v>
      </c>
      <c r="X38" t="s">
        <v>975</v>
      </c>
      <c r="Y38" t="s">
        <v>976</v>
      </c>
      <c r="Z38" t="s">
        <v>977</v>
      </c>
      <c r="AA38" t="s">
        <v>978</v>
      </c>
      <c r="AB38" t="s">
        <v>979</v>
      </c>
      <c r="AC38" t="s">
        <v>980</v>
      </c>
      <c r="AD38" t="s">
        <v>981</v>
      </c>
      <c r="AE38" t="s">
        <v>982</v>
      </c>
      <c r="AF38" t="s">
        <v>74</v>
      </c>
      <c r="AG38">
        <v>74</v>
      </c>
      <c r="AH38">
        <v>36</v>
      </c>
      <c r="AI38">
        <v>39</v>
      </c>
      <c r="AJ38">
        <v>9</v>
      </c>
      <c r="AK38">
        <v>110</v>
      </c>
      <c r="AL38" t="s">
        <v>123</v>
      </c>
      <c r="AM38" t="s">
        <v>124</v>
      </c>
      <c r="AN38" t="s">
        <v>125</v>
      </c>
      <c r="AO38" t="s">
        <v>983</v>
      </c>
      <c r="AP38" t="s">
        <v>984</v>
      </c>
      <c r="AQ38" t="s">
        <v>74</v>
      </c>
      <c r="AR38" t="s">
        <v>985</v>
      </c>
      <c r="AS38" t="s">
        <v>986</v>
      </c>
      <c r="AT38" t="s">
        <v>281</v>
      </c>
      <c r="AU38">
        <v>2020</v>
      </c>
      <c r="AV38">
        <v>115</v>
      </c>
      <c r="AW38" t="s">
        <v>74</v>
      </c>
      <c r="AX38" t="s">
        <v>74</v>
      </c>
      <c r="AY38" t="s">
        <v>74</v>
      </c>
      <c r="AZ38" t="s">
        <v>74</v>
      </c>
      <c r="BA38" t="s">
        <v>74</v>
      </c>
      <c r="BB38" t="s">
        <v>74</v>
      </c>
      <c r="BC38" t="s">
        <v>74</v>
      </c>
      <c r="BD38">
        <v>102161</v>
      </c>
      <c r="BE38" t="s">
        <v>987</v>
      </c>
      <c r="BF38" t="str">
        <f>HYPERLINK("http://dx.doi.org/10.1016/j.forpol.2020.102161","http://dx.doi.org/10.1016/j.forpol.2020.102161")</f>
        <v>http://dx.doi.org/10.1016/j.forpol.2020.102161</v>
      </c>
      <c r="BG38" t="s">
        <v>74</v>
      </c>
      <c r="BH38" t="s">
        <v>74</v>
      </c>
      <c r="BI38">
        <v>9</v>
      </c>
      <c r="BJ38" t="s">
        <v>988</v>
      </c>
      <c r="BK38" t="s">
        <v>186</v>
      </c>
      <c r="BL38" t="s">
        <v>989</v>
      </c>
      <c r="BM38" t="s">
        <v>990</v>
      </c>
      <c r="BN38" t="s">
        <v>74</v>
      </c>
      <c r="BO38" t="s">
        <v>74</v>
      </c>
      <c r="BP38" t="s">
        <v>74</v>
      </c>
      <c r="BQ38" t="s">
        <v>74</v>
      </c>
      <c r="BR38" t="s">
        <v>106</v>
      </c>
      <c r="BS38" t="s">
        <v>991</v>
      </c>
      <c r="BT38" t="str">
        <f>HYPERLINK("https%3A%2F%2Fwww.webofscience.com%2Fwos%2Fwoscc%2Ffull-record%2FWOS:000533575500010","View Full Record in Web of Science")</f>
        <v>View Full Record in Web of Science</v>
      </c>
    </row>
    <row r="39" spans="1:72" x14ac:dyDescent="0.2">
      <c r="A39" t="s">
        <v>72</v>
      </c>
      <c r="B39" t="s">
        <v>992</v>
      </c>
      <c r="C39" t="s">
        <v>74</v>
      </c>
      <c r="D39" t="s">
        <v>74</v>
      </c>
      <c r="E39" t="s">
        <v>74</v>
      </c>
      <c r="F39" t="s">
        <v>993</v>
      </c>
      <c r="G39" t="s">
        <v>74</v>
      </c>
      <c r="H39" t="s">
        <v>74</v>
      </c>
      <c r="I39" t="s">
        <v>994</v>
      </c>
      <c r="J39" t="s">
        <v>995</v>
      </c>
      <c r="K39" t="s">
        <v>74</v>
      </c>
      <c r="L39" t="s">
        <v>74</v>
      </c>
      <c r="M39" t="s">
        <v>78</v>
      </c>
      <c r="N39" t="s">
        <v>79</v>
      </c>
      <c r="O39" t="s">
        <v>74</v>
      </c>
      <c r="P39" t="s">
        <v>74</v>
      </c>
      <c r="Q39" t="s">
        <v>74</v>
      </c>
      <c r="R39" t="s">
        <v>74</v>
      </c>
      <c r="S39" t="s">
        <v>74</v>
      </c>
      <c r="T39" t="s">
        <v>996</v>
      </c>
      <c r="U39" t="s">
        <v>997</v>
      </c>
      <c r="V39" t="s">
        <v>998</v>
      </c>
      <c r="W39" t="s">
        <v>999</v>
      </c>
      <c r="X39" t="s">
        <v>1000</v>
      </c>
      <c r="Y39" t="s">
        <v>1001</v>
      </c>
      <c r="Z39" t="s">
        <v>1002</v>
      </c>
      <c r="AA39" t="s">
        <v>1003</v>
      </c>
      <c r="AB39" t="s">
        <v>1004</v>
      </c>
      <c r="AC39" t="s">
        <v>1005</v>
      </c>
      <c r="AD39" t="s">
        <v>1006</v>
      </c>
      <c r="AE39" t="s">
        <v>1007</v>
      </c>
      <c r="AF39" t="s">
        <v>74</v>
      </c>
      <c r="AG39">
        <v>119</v>
      </c>
      <c r="AH39">
        <v>92</v>
      </c>
      <c r="AI39">
        <v>107</v>
      </c>
      <c r="AJ39">
        <v>21</v>
      </c>
      <c r="AK39">
        <v>358</v>
      </c>
      <c r="AL39" t="s">
        <v>123</v>
      </c>
      <c r="AM39" t="s">
        <v>124</v>
      </c>
      <c r="AN39" t="s">
        <v>125</v>
      </c>
      <c r="AO39" t="s">
        <v>1008</v>
      </c>
      <c r="AP39" t="s">
        <v>1009</v>
      </c>
      <c r="AQ39" t="s">
        <v>74</v>
      </c>
      <c r="AR39" t="s">
        <v>1010</v>
      </c>
      <c r="AS39" t="s">
        <v>1011</v>
      </c>
      <c r="AT39" t="s">
        <v>1012</v>
      </c>
      <c r="AU39">
        <v>2022</v>
      </c>
      <c r="AV39">
        <v>846</v>
      </c>
      <c r="AW39" t="s">
        <v>74</v>
      </c>
      <c r="AX39" t="s">
        <v>74</v>
      </c>
      <c r="AY39" t="s">
        <v>74</v>
      </c>
      <c r="AZ39" t="s">
        <v>74</v>
      </c>
      <c r="BA39" t="s">
        <v>74</v>
      </c>
      <c r="BB39" t="s">
        <v>74</v>
      </c>
      <c r="BC39" t="s">
        <v>74</v>
      </c>
      <c r="BD39">
        <v>157507</v>
      </c>
      <c r="BE39" t="s">
        <v>1013</v>
      </c>
      <c r="BF39" t="str">
        <f>HYPERLINK("http://dx.doi.org/10.1016/j.scitotenv.2022.157507","http://dx.doi.org/10.1016/j.scitotenv.2022.157507")</f>
        <v>http://dx.doi.org/10.1016/j.scitotenv.2022.157507</v>
      </c>
      <c r="BG39" t="s">
        <v>74</v>
      </c>
      <c r="BH39" t="s">
        <v>1014</v>
      </c>
      <c r="BI39">
        <v>13</v>
      </c>
      <c r="BJ39" t="s">
        <v>567</v>
      </c>
      <c r="BK39" t="s">
        <v>102</v>
      </c>
      <c r="BL39" t="s">
        <v>568</v>
      </c>
      <c r="BM39" t="s">
        <v>1015</v>
      </c>
      <c r="BN39">
        <v>35870582</v>
      </c>
      <c r="BO39" t="s">
        <v>74</v>
      </c>
      <c r="BP39" t="s">
        <v>74</v>
      </c>
      <c r="BQ39" t="s">
        <v>74</v>
      </c>
      <c r="BR39" t="s">
        <v>106</v>
      </c>
      <c r="BS39" t="s">
        <v>1016</v>
      </c>
      <c r="BT39" t="str">
        <f>HYPERLINK("https%3A%2F%2Fwww.webofscience.com%2Fwos%2Fwoscc%2Ffull-record%2FWOS:000854099100008","View Full Record in Web of Science")</f>
        <v>View Full Record in Web of Science</v>
      </c>
    </row>
    <row r="40" spans="1:72" x14ac:dyDescent="0.2">
      <c r="A40" t="s">
        <v>72</v>
      </c>
      <c r="B40" t="s">
        <v>1017</v>
      </c>
      <c r="C40" t="s">
        <v>74</v>
      </c>
      <c r="D40" t="s">
        <v>74</v>
      </c>
      <c r="E40" t="s">
        <v>74</v>
      </c>
      <c r="F40" t="s">
        <v>1018</v>
      </c>
      <c r="G40" t="s">
        <v>74</v>
      </c>
      <c r="H40" t="s">
        <v>74</v>
      </c>
      <c r="I40" t="s">
        <v>1019</v>
      </c>
      <c r="J40" t="s">
        <v>1020</v>
      </c>
      <c r="K40" t="s">
        <v>74</v>
      </c>
      <c r="L40" t="s">
        <v>74</v>
      </c>
      <c r="M40" t="s">
        <v>78</v>
      </c>
      <c r="N40" t="s">
        <v>79</v>
      </c>
      <c r="O40" t="s">
        <v>74</v>
      </c>
      <c r="P40" t="s">
        <v>74</v>
      </c>
      <c r="Q40" t="s">
        <v>74</v>
      </c>
      <c r="R40" t="s">
        <v>74</v>
      </c>
      <c r="S40" t="s">
        <v>74</v>
      </c>
      <c r="T40" t="s">
        <v>1021</v>
      </c>
      <c r="U40" t="s">
        <v>1022</v>
      </c>
      <c r="V40" t="s">
        <v>1023</v>
      </c>
      <c r="W40" t="s">
        <v>1024</v>
      </c>
      <c r="X40" t="s">
        <v>1025</v>
      </c>
      <c r="Y40" t="s">
        <v>1026</v>
      </c>
      <c r="Z40" t="s">
        <v>1027</v>
      </c>
      <c r="AA40" t="s">
        <v>1028</v>
      </c>
      <c r="AB40" t="s">
        <v>1029</v>
      </c>
      <c r="AC40" t="s">
        <v>1030</v>
      </c>
      <c r="AD40" t="s">
        <v>1031</v>
      </c>
      <c r="AE40" t="s">
        <v>1032</v>
      </c>
      <c r="AF40" t="s">
        <v>74</v>
      </c>
      <c r="AG40">
        <v>77</v>
      </c>
      <c r="AH40">
        <v>7</v>
      </c>
      <c r="AI40">
        <v>7</v>
      </c>
      <c r="AJ40">
        <v>16</v>
      </c>
      <c r="AK40">
        <v>61</v>
      </c>
      <c r="AL40" t="s">
        <v>1033</v>
      </c>
      <c r="AM40" t="s">
        <v>1034</v>
      </c>
      <c r="AN40" t="s">
        <v>1035</v>
      </c>
      <c r="AO40" t="s">
        <v>1036</v>
      </c>
      <c r="AP40" t="s">
        <v>1037</v>
      </c>
      <c r="AQ40" t="s">
        <v>74</v>
      </c>
      <c r="AR40" t="s">
        <v>1038</v>
      </c>
      <c r="AS40" t="s">
        <v>1039</v>
      </c>
      <c r="AT40" t="s">
        <v>1040</v>
      </c>
      <c r="AU40">
        <v>2024</v>
      </c>
      <c r="AV40">
        <v>255</v>
      </c>
      <c r="AW40" t="s">
        <v>74</v>
      </c>
      <c r="AX40" t="s">
        <v>74</v>
      </c>
      <c r="AY40" t="s">
        <v>74</v>
      </c>
      <c r="AZ40" t="s">
        <v>74</v>
      </c>
      <c r="BA40" t="s">
        <v>74</v>
      </c>
      <c r="BB40" t="s">
        <v>74</v>
      </c>
      <c r="BC40" t="s">
        <v>74</v>
      </c>
      <c r="BD40">
        <v>119189</v>
      </c>
      <c r="BE40" t="s">
        <v>1041</v>
      </c>
      <c r="BF40" t="str">
        <f>HYPERLINK("http://dx.doi.org/10.1016/j.envres.2024.119189","http://dx.doi.org/10.1016/j.envres.2024.119189")</f>
        <v>http://dx.doi.org/10.1016/j.envres.2024.119189</v>
      </c>
      <c r="BG40" t="s">
        <v>74</v>
      </c>
      <c r="BH40" t="s">
        <v>566</v>
      </c>
      <c r="BI40">
        <v>12</v>
      </c>
      <c r="BJ40" t="s">
        <v>1042</v>
      </c>
      <c r="BK40" t="s">
        <v>102</v>
      </c>
      <c r="BL40" t="s">
        <v>1043</v>
      </c>
      <c r="BM40" t="s">
        <v>1044</v>
      </c>
      <c r="BN40">
        <v>38777293</v>
      </c>
      <c r="BO40" t="s">
        <v>74</v>
      </c>
      <c r="BP40" t="s">
        <v>74</v>
      </c>
      <c r="BQ40" t="s">
        <v>74</v>
      </c>
      <c r="BR40" t="s">
        <v>106</v>
      </c>
      <c r="BS40" t="s">
        <v>1045</v>
      </c>
      <c r="BT40" t="str">
        <f>HYPERLINK("https%3A%2F%2Fwww.webofscience.com%2Fwos%2Fwoscc%2Ffull-record%2FWOS:001244715300001","View Full Record in Web of Science")</f>
        <v>View Full Record in Web of Science</v>
      </c>
    </row>
    <row r="41" spans="1:72" x14ac:dyDescent="0.2">
      <c r="A41" t="s">
        <v>72</v>
      </c>
      <c r="B41" t="s">
        <v>1046</v>
      </c>
      <c r="C41" t="s">
        <v>74</v>
      </c>
      <c r="D41" t="s">
        <v>74</v>
      </c>
      <c r="E41" t="s">
        <v>74</v>
      </c>
      <c r="F41" t="s">
        <v>1047</v>
      </c>
      <c r="G41" t="s">
        <v>74</v>
      </c>
      <c r="H41" t="s">
        <v>74</v>
      </c>
      <c r="I41" t="s">
        <v>1048</v>
      </c>
      <c r="J41" t="s">
        <v>1049</v>
      </c>
      <c r="K41" t="s">
        <v>74</v>
      </c>
      <c r="L41" t="s">
        <v>74</v>
      </c>
      <c r="M41" t="s">
        <v>78</v>
      </c>
      <c r="N41" t="s">
        <v>79</v>
      </c>
      <c r="O41" t="s">
        <v>74</v>
      </c>
      <c r="P41" t="s">
        <v>74</v>
      </c>
      <c r="Q41" t="s">
        <v>74</v>
      </c>
      <c r="R41" t="s">
        <v>74</v>
      </c>
      <c r="S41" t="s">
        <v>74</v>
      </c>
      <c r="T41" t="s">
        <v>1050</v>
      </c>
      <c r="U41" t="s">
        <v>1051</v>
      </c>
      <c r="V41" t="s">
        <v>1052</v>
      </c>
      <c r="W41" t="s">
        <v>1053</v>
      </c>
      <c r="X41" t="s">
        <v>1054</v>
      </c>
      <c r="Y41" t="s">
        <v>1055</v>
      </c>
      <c r="Z41" t="s">
        <v>1056</v>
      </c>
      <c r="AA41" t="s">
        <v>1057</v>
      </c>
      <c r="AB41" t="s">
        <v>1058</v>
      </c>
      <c r="AC41" t="s">
        <v>1059</v>
      </c>
      <c r="AD41" t="s">
        <v>1060</v>
      </c>
      <c r="AE41" t="s">
        <v>1061</v>
      </c>
      <c r="AF41" t="s">
        <v>74</v>
      </c>
      <c r="AG41">
        <v>60</v>
      </c>
      <c r="AH41">
        <v>5</v>
      </c>
      <c r="AI41">
        <v>6</v>
      </c>
      <c r="AJ41">
        <v>8</v>
      </c>
      <c r="AK41">
        <v>121</v>
      </c>
      <c r="AL41" t="s">
        <v>1062</v>
      </c>
      <c r="AM41" t="s">
        <v>1063</v>
      </c>
      <c r="AN41" t="s">
        <v>1064</v>
      </c>
      <c r="AO41" t="s">
        <v>1065</v>
      </c>
      <c r="AP41" t="s">
        <v>1066</v>
      </c>
      <c r="AQ41" t="s">
        <v>74</v>
      </c>
      <c r="AR41" t="s">
        <v>1067</v>
      </c>
      <c r="AS41" t="s">
        <v>1068</v>
      </c>
      <c r="AT41" t="s">
        <v>1069</v>
      </c>
      <c r="AU41">
        <v>2022</v>
      </c>
      <c r="AV41">
        <v>14</v>
      </c>
      <c r="AW41">
        <v>4</v>
      </c>
      <c r="AX41" t="s">
        <v>74</v>
      </c>
      <c r="AY41" t="s">
        <v>74</v>
      </c>
      <c r="AZ41" t="s">
        <v>1070</v>
      </c>
      <c r="BA41" t="s">
        <v>74</v>
      </c>
      <c r="BB41">
        <v>741</v>
      </c>
      <c r="BC41">
        <v>757</v>
      </c>
      <c r="BD41" t="s">
        <v>74</v>
      </c>
      <c r="BE41" t="s">
        <v>1071</v>
      </c>
      <c r="BF41" t="str">
        <f>HYPERLINK("http://dx.doi.org/10.1108/CAER-02-2022-0036","http://dx.doi.org/10.1108/CAER-02-2022-0036")</f>
        <v>http://dx.doi.org/10.1108/CAER-02-2022-0036</v>
      </c>
      <c r="BG41" t="s">
        <v>74</v>
      </c>
      <c r="BH41" t="s">
        <v>1072</v>
      </c>
      <c r="BI41">
        <v>17</v>
      </c>
      <c r="BJ41" t="s">
        <v>1073</v>
      </c>
      <c r="BK41" t="s">
        <v>186</v>
      </c>
      <c r="BL41" t="s">
        <v>1074</v>
      </c>
      <c r="BM41" t="s">
        <v>1075</v>
      </c>
      <c r="BN41" t="s">
        <v>74</v>
      </c>
      <c r="BO41" t="s">
        <v>74</v>
      </c>
      <c r="BP41" t="s">
        <v>74</v>
      </c>
      <c r="BQ41" t="s">
        <v>74</v>
      </c>
      <c r="BR41" t="s">
        <v>106</v>
      </c>
      <c r="BS41" t="s">
        <v>1076</v>
      </c>
      <c r="BT41" t="str">
        <f>HYPERLINK("https%3A%2F%2Fwww.webofscience.com%2Fwos%2Fwoscc%2Ffull-record%2FWOS:000837285200001","View Full Record in Web of Science")</f>
        <v>View Full Record in Web of Science</v>
      </c>
    </row>
    <row r="42" spans="1:72" x14ac:dyDescent="0.2">
      <c r="A42" t="s">
        <v>72</v>
      </c>
      <c r="B42" t="s">
        <v>1077</v>
      </c>
      <c r="C42" t="s">
        <v>74</v>
      </c>
      <c r="D42" t="s">
        <v>74</v>
      </c>
      <c r="E42" t="s">
        <v>74</v>
      </c>
      <c r="F42" t="s">
        <v>1078</v>
      </c>
      <c r="G42" t="s">
        <v>74</v>
      </c>
      <c r="H42" t="s">
        <v>74</v>
      </c>
      <c r="I42" t="s">
        <v>1079</v>
      </c>
      <c r="J42" t="s">
        <v>320</v>
      </c>
      <c r="K42" t="s">
        <v>74</v>
      </c>
      <c r="L42" t="s">
        <v>74</v>
      </c>
      <c r="M42" t="s">
        <v>78</v>
      </c>
      <c r="N42" t="s">
        <v>79</v>
      </c>
      <c r="O42" t="s">
        <v>74</v>
      </c>
      <c r="P42" t="s">
        <v>74</v>
      </c>
      <c r="Q42" t="s">
        <v>74</v>
      </c>
      <c r="R42" t="s">
        <v>74</v>
      </c>
      <c r="S42" t="s">
        <v>74</v>
      </c>
      <c r="T42" t="s">
        <v>1080</v>
      </c>
      <c r="U42" t="s">
        <v>1081</v>
      </c>
      <c r="V42" t="s">
        <v>1082</v>
      </c>
      <c r="W42" t="s">
        <v>1083</v>
      </c>
      <c r="X42" t="s">
        <v>1084</v>
      </c>
      <c r="Y42" t="s">
        <v>1085</v>
      </c>
      <c r="Z42" t="s">
        <v>1086</v>
      </c>
      <c r="AA42" t="s">
        <v>74</v>
      </c>
      <c r="AB42" t="s">
        <v>74</v>
      </c>
      <c r="AC42" t="s">
        <v>1087</v>
      </c>
      <c r="AD42" t="s">
        <v>1088</v>
      </c>
      <c r="AE42" t="s">
        <v>1089</v>
      </c>
      <c r="AF42" t="s">
        <v>74</v>
      </c>
      <c r="AG42">
        <v>31</v>
      </c>
      <c r="AH42">
        <v>0</v>
      </c>
      <c r="AI42">
        <v>0</v>
      </c>
      <c r="AJ42">
        <v>0</v>
      </c>
      <c r="AK42">
        <v>0</v>
      </c>
      <c r="AL42" t="s">
        <v>123</v>
      </c>
      <c r="AM42" t="s">
        <v>124</v>
      </c>
      <c r="AN42" t="s">
        <v>125</v>
      </c>
      <c r="AO42" t="s">
        <v>333</v>
      </c>
      <c r="AP42" t="s">
        <v>334</v>
      </c>
      <c r="AQ42" t="s">
        <v>74</v>
      </c>
      <c r="AR42" t="s">
        <v>335</v>
      </c>
      <c r="AS42" t="s">
        <v>336</v>
      </c>
      <c r="AT42" t="s">
        <v>459</v>
      </c>
      <c r="AU42">
        <v>2026</v>
      </c>
      <c r="AV42">
        <v>226</v>
      </c>
      <c r="AW42" t="s">
        <v>74</v>
      </c>
      <c r="AX42" t="s">
        <v>74</v>
      </c>
      <c r="AY42" t="s">
        <v>74</v>
      </c>
      <c r="AZ42" t="s">
        <v>74</v>
      </c>
      <c r="BA42" t="s">
        <v>74</v>
      </c>
      <c r="BB42" t="s">
        <v>74</v>
      </c>
      <c r="BC42" t="s">
        <v>74</v>
      </c>
      <c r="BD42">
        <v>108694</v>
      </c>
      <c r="BE42" t="s">
        <v>1090</v>
      </c>
      <c r="BF42" t="str">
        <f>HYPERLINK("http://dx.doi.org/10.1016/j.resconrec.2025.108694","http://dx.doi.org/10.1016/j.resconrec.2025.108694")</f>
        <v>http://dx.doi.org/10.1016/j.resconrec.2025.108694</v>
      </c>
      <c r="BG42" t="s">
        <v>74</v>
      </c>
      <c r="BH42" t="s">
        <v>962</v>
      </c>
      <c r="BI42">
        <v>7</v>
      </c>
      <c r="BJ42" t="s">
        <v>340</v>
      </c>
      <c r="BK42" t="s">
        <v>102</v>
      </c>
      <c r="BL42" t="s">
        <v>341</v>
      </c>
      <c r="BM42" t="s">
        <v>1091</v>
      </c>
      <c r="BN42" t="s">
        <v>74</v>
      </c>
      <c r="BO42" t="s">
        <v>916</v>
      </c>
      <c r="BP42" t="s">
        <v>74</v>
      </c>
      <c r="BQ42" t="s">
        <v>74</v>
      </c>
      <c r="BR42" t="s">
        <v>106</v>
      </c>
      <c r="BS42" t="s">
        <v>1092</v>
      </c>
      <c r="BT42" t="str">
        <f>HYPERLINK("https%3A%2F%2Fwww.webofscience.com%2Fwos%2Fwoscc%2Ffull-record%2FWOS:001628401000002","View Full Record in Web of Science")</f>
        <v>View Full Record in Web of Science</v>
      </c>
    </row>
    <row r="43" spans="1:72" x14ac:dyDescent="0.2">
      <c r="A43" t="s">
        <v>72</v>
      </c>
      <c r="B43" t="s">
        <v>1093</v>
      </c>
      <c r="C43" t="s">
        <v>74</v>
      </c>
      <c r="D43" t="s">
        <v>74</v>
      </c>
      <c r="E43" t="s">
        <v>74</v>
      </c>
      <c r="F43" t="s">
        <v>1094</v>
      </c>
      <c r="G43" t="s">
        <v>74</v>
      </c>
      <c r="H43" t="s">
        <v>74</v>
      </c>
      <c r="I43" t="s">
        <v>1095</v>
      </c>
      <c r="J43" t="s">
        <v>1096</v>
      </c>
      <c r="K43" t="s">
        <v>74</v>
      </c>
      <c r="L43" t="s">
        <v>74</v>
      </c>
      <c r="M43" t="s">
        <v>78</v>
      </c>
      <c r="N43" t="s">
        <v>79</v>
      </c>
      <c r="O43" t="s">
        <v>74</v>
      </c>
      <c r="P43" t="s">
        <v>74</v>
      </c>
      <c r="Q43" t="s">
        <v>74</v>
      </c>
      <c r="R43" t="s">
        <v>74</v>
      </c>
      <c r="S43" t="s">
        <v>74</v>
      </c>
      <c r="T43" t="s">
        <v>1097</v>
      </c>
      <c r="U43" t="s">
        <v>74</v>
      </c>
      <c r="V43" t="s">
        <v>1098</v>
      </c>
      <c r="W43" t="s">
        <v>1099</v>
      </c>
      <c r="X43" t="s">
        <v>1100</v>
      </c>
      <c r="Y43" t="s">
        <v>1101</v>
      </c>
      <c r="Z43" t="s">
        <v>1102</v>
      </c>
      <c r="AA43" t="s">
        <v>1103</v>
      </c>
      <c r="AB43" t="s">
        <v>1104</v>
      </c>
      <c r="AC43" t="s">
        <v>74</v>
      </c>
      <c r="AD43" t="s">
        <v>74</v>
      </c>
      <c r="AE43" t="s">
        <v>74</v>
      </c>
      <c r="AF43" t="s">
        <v>74</v>
      </c>
      <c r="AG43">
        <v>28</v>
      </c>
      <c r="AH43">
        <v>3</v>
      </c>
      <c r="AI43">
        <v>3</v>
      </c>
      <c r="AJ43">
        <v>6</v>
      </c>
      <c r="AK43">
        <v>22</v>
      </c>
      <c r="AL43" t="s">
        <v>504</v>
      </c>
      <c r="AM43" t="s">
        <v>676</v>
      </c>
      <c r="AN43" t="s">
        <v>677</v>
      </c>
      <c r="AO43" t="s">
        <v>1105</v>
      </c>
      <c r="AP43" t="s">
        <v>1106</v>
      </c>
      <c r="AQ43" t="s">
        <v>74</v>
      </c>
      <c r="AR43" t="s">
        <v>1107</v>
      </c>
      <c r="AS43" t="s">
        <v>1108</v>
      </c>
      <c r="AT43" t="s">
        <v>1109</v>
      </c>
      <c r="AU43">
        <v>2024</v>
      </c>
      <c r="AV43">
        <v>196</v>
      </c>
      <c r="AW43">
        <v>12</v>
      </c>
      <c r="AX43" t="s">
        <v>74</v>
      </c>
      <c r="AY43" t="s">
        <v>74</v>
      </c>
      <c r="AZ43" t="s">
        <v>74</v>
      </c>
      <c r="BA43" t="s">
        <v>74</v>
      </c>
      <c r="BB43">
        <v>9027</v>
      </c>
      <c r="BC43">
        <v>9048</v>
      </c>
      <c r="BD43" t="s">
        <v>74</v>
      </c>
      <c r="BE43" t="s">
        <v>1110</v>
      </c>
      <c r="BF43" t="str">
        <f>HYPERLINK("http://dx.doi.org/10.1007/s12010-024-05029-8","http://dx.doi.org/10.1007/s12010-024-05029-8")</f>
        <v>http://dx.doi.org/10.1007/s12010-024-05029-8</v>
      </c>
      <c r="BG43" t="s">
        <v>74</v>
      </c>
      <c r="BH43" t="s">
        <v>1111</v>
      </c>
      <c r="BI43">
        <v>22</v>
      </c>
      <c r="BJ43" t="s">
        <v>1112</v>
      </c>
      <c r="BK43" t="s">
        <v>102</v>
      </c>
      <c r="BL43" t="s">
        <v>1112</v>
      </c>
      <c r="BM43" t="s">
        <v>1113</v>
      </c>
      <c r="BN43">
        <v>39088024</v>
      </c>
      <c r="BO43" t="s">
        <v>74</v>
      </c>
      <c r="BP43" t="s">
        <v>74</v>
      </c>
      <c r="BQ43" t="s">
        <v>74</v>
      </c>
      <c r="BR43" t="s">
        <v>106</v>
      </c>
      <c r="BS43" t="s">
        <v>1114</v>
      </c>
      <c r="BT43" t="str">
        <f>HYPERLINK("https%3A%2F%2Fwww.webofscience.com%2Fwos%2Fwoscc%2Ffull-record%2FWOS:001282862800003","View Full Record in Web of Science")</f>
        <v>View Full Record in Web of Science</v>
      </c>
    </row>
    <row r="44" spans="1:72" x14ac:dyDescent="0.2">
      <c r="A44" t="s">
        <v>72</v>
      </c>
      <c r="B44" t="s">
        <v>1115</v>
      </c>
      <c r="C44" t="s">
        <v>74</v>
      </c>
      <c r="D44" t="s">
        <v>74</v>
      </c>
      <c r="E44" t="s">
        <v>74</v>
      </c>
      <c r="F44" t="s">
        <v>1116</v>
      </c>
      <c r="G44" t="s">
        <v>74</v>
      </c>
      <c r="H44" t="s">
        <v>74</v>
      </c>
      <c r="I44" t="s">
        <v>1117</v>
      </c>
      <c r="J44" t="s">
        <v>995</v>
      </c>
      <c r="K44" t="s">
        <v>74</v>
      </c>
      <c r="L44" t="s">
        <v>74</v>
      </c>
      <c r="M44" t="s">
        <v>78</v>
      </c>
      <c r="N44" t="s">
        <v>79</v>
      </c>
      <c r="O44" t="s">
        <v>74</v>
      </c>
      <c r="P44" t="s">
        <v>74</v>
      </c>
      <c r="Q44" t="s">
        <v>74</v>
      </c>
      <c r="R44" t="s">
        <v>74</v>
      </c>
      <c r="S44" t="s">
        <v>74</v>
      </c>
      <c r="T44" t="s">
        <v>1118</v>
      </c>
      <c r="U44" t="s">
        <v>74</v>
      </c>
      <c r="V44" t="s">
        <v>1119</v>
      </c>
      <c r="W44" t="s">
        <v>1120</v>
      </c>
      <c r="X44" t="s">
        <v>1121</v>
      </c>
      <c r="Y44" t="s">
        <v>1122</v>
      </c>
      <c r="Z44" t="s">
        <v>1123</v>
      </c>
      <c r="AA44" t="s">
        <v>1124</v>
      </c>
      <c r="AB44" t="s">
        <v>1125</v>
      </c>
      <c r="AC44" t="s">
        <v>1126</v>
      </c>
      <c r="AD44" t="s">
        <v>1127</v>
      </c>
      <c r="AE44" t="s">
        <v>1128</v>
      </c>
      <c r="AF44" t="s">
        <v>74</v>
      </c>
      <c r="AG44">
        <v>52</v>
      </c>
      <c r="AH44">
        <v>152</v>
      </c>
      <c r="AI44">
        <v>184</v>
      </c>
      <c r="AJ44">
        <v>44</v>
      </c>
      <c r="AK44">
        <v>593</v>
      </c>
      <c r="AL44" t="s">
        <v>123</v>
      </c>
      <c r="AM44" t="s">
        <v>124</v>
      </c>
      <c r="AN44" t="s">
        <v>125</v>
      </c>
      <c r="AO44" t="s">
        <v>1008</v>
      </c>
      <c r="AP44" t="s">
        <v>1009</v>
      </c>
      <c r="AQ44" t="s">
        <v>74</v>
      </c>
      <c r="AR44" t="s">
        <v>1010</v>
      </c>
      <c r="AS44" t="s">
        <v>1011</v>
      </c>
      <c r="AT44" t="s">
        <v>960</v>
      </c>
      <c r="AU44">
        <v>2022</v>
      </c>
      <c r="AV44">
        <v>806</v>
      </c>
      <c r="AW44" t="s">
        <v>74</v>
      </c>
      <c r="AX44" t="s">
        <v>74</v>
      </c>
      <c r="AY44" t="s">
        <v>74</v>
      </c>
      <c r="AZ44" t="s">
        <v>74</v>
      </c>
      <c r="BA44" t="s">
        <v>74</v>
      </c>
      <c r="BB44" t="s">
        <v>74</v>
      </c>
      <c r="BC44" t="s">
        <v>74</v>
      </c>
      <c r="BD44">
        <v>150714</v>
      </c>
      <c r="BE44" t="s">
        <v>1129</v>
      </c>
      <c r="BF44" t="str">
        <f>HYPERLINK("http://dx.doi.org/10.1016/j.scitotenv.2021.150714","http://dx.doi.org/10.1016/j.scitotenv.2021.150714")</f>
        <v>http://dx.doi.org/10.1016/j.scitotenv.2021.150714</v>
      </c>
      <c r="BG44" t="s">
        <v>74</v>
      </c>
      <c r="BH44" t="s">
        <v>1130</v>
      </c>
      <c r="BI44">
        <v>8</v>
      </c>
      <c r="BJ44" t="s">
        <v>567</v>
      </c>
      <c r="BK44" t="s">
        <v>102</v>
      </c>
      <c r="BL44" t="s">
        <v>568</v>
      </c>
      <c r="BM44" t="s">
        <v>1131</v>
      </c>
      <c r="BN44">
        <v>34606872</v>
      </c>
      <c r="BO44" t="s">
        <v>74</v>
      </c>
      <c r="BP44" t="s">
        <v>74</v>
      </c>
      <c r="BQ44" t="s">
        <v>74</v>
      </c>
      <c r="BR44" t="s">
        <v>106</v>
      </c>
      <c r="BS44" t="s">
        <v>1132</v>
      </c>
      <c r="BT44" t="str">
        <f>HYPERLINK("https%3A%2F%2Fwww.webofscience.com%2Fwos%2Fwoscc%2Ffull-record%2FWOS:000707655700016","View Full Record in Web of Science")</f>
        <v>View Full Record in Web of Science</v>
      </c>
    </row>
    <row r="45" spans="1:72" x14ac:dyDescent="0.2">
      <c r="A45" t="s">
        <v>72</v>
      </c>
      <c r="B45" t="s">
        <v>1133</v>
      </c>
      <c r="C45" t="s">
        <v>74</v>
      </c>
      <c r="D45" t="s">
        <v>74</v>
      </c>
      <c r="E45" t="s">
        <v>74</v>
      </c>
      <c r="F45" t="s">
        <v>1134</v>
      </c>
      <c r="G45" t="s">
        <v>74</v>
      </c>
      <c r="H45" t="s">
        <v>74</v>
      </c>
      <c r="I45" t="s">
        <v>1135</v>
      </c>
      <c r="J45" t="s">
        <v>1136</v>
      </c>
      <c r="K45" t="s">
        <v>74</v>
      </c>
      <c r="L45" t="s">
        <v>74</v>
      </c>
      <c r="M45" t="s">
        <v>78</v>
      </c>
      <c r="N45" t="s">
        <v>79</v>
      </c>
      <c r="O45" t="s">
        <v>74</v>
      </c>
      <c r="P45" t="s">
        <v>74</v>
      </c>
      <c r="Q45" t="s">
        <v>74</v>
      </c>
      <c r="R45" t="s">
        <v>74</v>
      </c>
      <c r="S45" t="s">
        <v>74</v>
      </c>
      <c r="T45" t="s">
        <v>1137</v>
      </c>
      <c r="U45" t="s">
        <v>1138</v>
      </c>
      <c r="V45" t="s">
        <v>1139</v>
      </c>
      <c r="W45" t="s">
        <v>1140</v>
      </c>
      <c r="X45" t="s">
        <v>1141</v>
      </c>
      <c r="Y45" t="s">
        <v>1142</v>
      </c>
      <c r="Z45" t="s">
        <v>1143</v>
      </c>
      <c r="AA45" t="s">
        <v>1144</v>
      </c>
      <c r="AB45" t="s">
        <v>1145</v>
      </c>
      <c r="AC45" t="s">
        <v>1146</v>
      </c>
      <c r="AD45" t="s">
        <v>1146</v>
      </c>
      <c r="AE45" t="s">
        <v>1147</v>
      </c>
      <c r="AF45" t="s">
        <v>74</v>
      </c>
      <c r="AG45">
        <v>71</v>
      </c>
      <c r="AH45">
        <v>7</v>
      </c>
      <c r="AI45">
        <v>7</v>
      </c>
      <c r="AJ45">
        <v>2</v>
      </c>
      <c r="AK45">
        <v>10</v>
      </c>
      <c r="AL45" t="s">
        <v>1148</v>
      </c>
      <c r="AM45" t="s">
        <v>93</v>
      </c>
      <c r="AN45" t="s">
        <v>1149</v>
      </c>
      <c r="AO45" t="s">
        <v>1150</v>
      </c>
      <c r="AP45" t="s">
        <v>74</v>
      </c>
      <c r="AQ45" t="s">
        <v>74</v>
      </c>
      <c r="AR45" t="s">
        <v>1151</v>
      </c>
      <c r="AS45" t="s">
        <v>1152</v>
      </c>
      <c r="AT45" t="s">
        <v>1153</v>
      </c>
      <c r="AU45">
        <v>2024</v>
      </c>
      <c r="AV45">
        <v>19</v>
      </c>
      <c r="AW45">
        <v>1</v>
      </c>
      <c r="AX45" t="s">
        <v>74</v>
      </c>
      <c r="AY45" t="s">
        <v>74</v>
      </c>
      <c r="AZ45" t="s">
        <v>74</v>
      </c>
      <c r="BA45" t="s">
        <v>74</v>
      </c>
      <c r="BB45" t="s">
        <v>74</v>
      </c>
      <c r="BC45" t="s">
        <v>74</v>
      </c>
      <c r="BD45">
        <v>23</v>
      </c>
      <c r="BE45" t="s">
        <v>1154</v>
      </c>
      <c r="BF45" t="str">
        <f>HYPERLINK("http://dx.doi.org/10.1186/s13021-024-00268-y","http://dx.doi.org/10.1186/s13021-024-00268-y")</f>
        <v>http://dx.doi.org/10.1186/s13021-024-00268-y</v>
      </c>
      <c r="BG45" t="s">
        <v>74</v>
      </c>
      <c r="BH45" t="s">
        <v>74</v>
      </c>
      <c r="BI45">
        <v>19</v>
      </c>
      <c r="BJ45" t="s">
        <v>567</v>
      </c>
      <c r="BK45" t="s">
        <v>102</v>
      </c>
      <c r="BL45" t="s">
        <v>568</v>
      </c>
      <c r="BM45" t="s">
        <v>1155</v>
      </c>
      <c r="BN45">
        <v>39085557</v>
      </c>
      <c r="BO45" t="s">
        <v>161</v>
      </c>
      <c r="BP45" t="s">
        <v>74</v>
      </c>
      <c r="BQ45" t="s">
        <v>74</v>
      </c>
      <c r="BR45" t="s">
        <v>106</v>
      </c>
      <c r="BS45" t="s">
        <v>1156</v>
      </c>
      <c r="BT45" t="str">
        <f>HYPERLINK("https%3A%2F%2Fwww.webofscience.com%2Fwos%2Fwoscc%2Ffull-record%2FWOS:001281508800001","View Full Record in Web of Science")</f>
        <v>View Full Record in Web of Science</v>
      </c>
    </row>
    <row r="46" spans="1:72" x14ac:dyDescent="0.2">
      <c r="A46" t="s">
        <v>72</v>
      </c>
      <c r="B46" t="s">
        <v>1157</v>
      </c>
      <c r="C46" t="s">
        <v>74</v>
      </c>
      <c r="D46" t="s">
        <v>74</v>
      </c>
      <c r="E46" t="s">
        <v>74</v>
      </c>
      <c r="F46" t="s">
        <v>1158</v>
      </c>
      <c r="G46" t="s">
        <v>74</v>
      </c>
      <c r="H46" t="s">
        <v>74</v>
      </c>
      <c r="I46" t="s">
        <v>1159</v>
      </c>
      <c r="J46" t="s">
        <v>1160</v>
      </c>
      <c r="K46" t="s">
        <v>74</v>
      </c>
      <c r="L46" t="s">
        <v>74</v>
      </c>
      <c r="M46" t="s">
        <v>78</v>
      </c>
      <c r="N46" t="s">
        <v>79</v>
      </c>
      <c r="O46" t="s">
        <v>74</v>
      </c>
      <c r="P46" t="s">
        <v>74</v>
      </c>
      <c r="Q46" t="s">
        <v>74</v>
      </c>
      <c r="R46" t="s">
        <v>74</v>
      </c>
      <c r="S46" t="s">
        <v>74</v>
      </c>
      <c r="T46" t="s">
        <v>1161</v>
      </c>
      <c r="U46" t="s">
        <v>1162</v>
      </c>
      <c r="V46" t="s">
        <v>1163</v>
      </c>
      <c r="W46" t="s">
        <v>1164</v>
      </c>
      <c r="X46" t="s">
        <v>1165</v>
      </c>
      <c r="Y46" t="s">
        <v>1166</v>
      </c>
      <c r="Z46" t="s">
        <v>1167</v>
      </c>
      <c r="AA46" t="s">
        <v>1168</v>
      </c>
      <c r="AB46" t="s">
        <v>1169</v>
      </c>
      <c r="AC46" t="s">
        <v>74</v>
      </c>
      <c r="AD46" t="s">
        <v>74</v>
      </c>
      <c r="AE46" t="s">
        <v>74</v>
      </c>
      <c r="AF46" t="s">
        <v>74</v>
      </c>
      <c r="AG46">
        <v>29</v>
      </c>
      <c r="AH46">
        <v>14</v>
      </c>
      <c r="AI46">
        <v>15</v>
      </c>
      <c r="AJ46">
        <v>1</v>
      </c>
      <c r="AK46">
        <v>14</v>
      </c>
      <c r="AL46" t="s">
        <v>1170</v>
      </c>
      <c r="AM46" t="s">
        <v>1171</v>
      </c>
      <c r="AN46" t="s">
        <v>1172</v>
      </c>
      <c r="AO46" t="s">
        <v>1173</v>
      </c>
      <c r="AP46" t="s">
        <v>1174</v>
      </c>
      <c r="AQ46" t="s">
        <v>74</v>
      </c>
      <c r="AR46" t="s">
        <v>1175</v>
      </c>
      <c r="AS46" t="s">
        <v>1176</v>
      </c>
      <c r="AT46" t="s">
        <v>1177</v>
      </c>
      <c r="AU46">
        <v>2017</v>
      </c>
      <c r="AV46">
        <v>60</v>
      </c>
      <c r="AW46" t="s">
        <v>74</v>
      </c>
      <c r="AX46" t="s">
        <v>74</v>
      </c>
      <c r="AY46" t="s">
        <v>74</v>
      </c>
      <c r="AZ46" t="s">
        <v>74</v>
      </c>
      <c r="BA46" t="s">
        <v>74</v>
      </c>
      <c r="BB46" t="s">
        <v>74</v>
      </c>
      <c r="BC46" t="s">
        <v>74</v>
      </c>
      <c r="BD46" t="s">
        <v>1178</v>
      </c>
      <c r="BE46" t="s">
        <v>1179</v>
      </c>
      <c r="BF46" t="str">
        <f>HYPERLINK("http://dx.doi.org/10.1590/1678-4324-2017160396","http://dx.doi.org/10.1590/1678-4324-2017160396")</f>
        <v>http://dx.doi.org/10.1590/1678-4324-2017160396</v>
      </c>
      <c r="BG46" t="s">
        <v>74</v>
      </c>
      <c r="BH46" t="s">
        <v>74</v>
      </c>
      <c r="BI46">
        <v>18</v>
      </c>
      <c r="BJ46" t="s">
        <v>1180</v>
      </c>
      <c r="BK46" t="s">
        <v>102</v>
      </c>
      <c r="BL46" t="s">
        <v>1181</v>
      </c>
      <c r="BM46" t="s">
        <v>1182</v>
      </c>
      <c r="BN46" t="s">
        <v>74</v>
      </c>
      <c r="BO46" t="s">
        <v>161</v>
      </c>
      <c r="BP46" t="s">
        <v>74</v>
      </c>
      <c r="BQ46" t="s">
        <v>74</v>
      </c>
      <c r="BR46" t="s">
        <v>106</v>
      </c>
      <c r="BS46" t="s">
        <v>1183</v>
      </c>
      <c r="BT46" t="str">
        <f>HYPERLINK("https%3A%2F%2Fwww.webofscience.com%2Fwos%2Fwoscc%2Ffull-record%2FWOS:000404477400001","View Full Record in Web of Science")</f>
        <v>View Full Record in Web of Science</v>
      </c>
    </row>
    <row r="47" spans="1:72" x14ac:dyDescent="0.2">
      <c r="A47" t="s">
        <v>72</v>
      </c>
      <c r="B47" t="s">
        <v>1184</v>
      </c>
      <c r="C47" t="s">
        <v>74</v>
      </c>
      <c r="D47" t="s">
        <v>74</v>
      </c>
      <c r="E47" t="s">
        <v>74</v>
      </c>
      <c r="F47" t="s">
        <v>1185</v>
      </c>
      <c r="G47" t="s">
        <v>74</v>
      </c>
      <c r="H47" t="s">
        <v>74</v>
      </c>
      <c r="I47" t="s">
        <v>1186</v>
      </c>
      <c r="J47" t="s">
        <v>1187</v>
      </c>
      <c r="K47" t="s">
        <v>74</v>
      </c>
      <c r="L47" t="s">
        <v>74</v>
      </c>
      <c r="M47" t="s">
        <v>78</v>
      </c>
      <c r="N47" t="s">
        <v>79</v>
      </c>
      <c r="O47" t="s">
        <v>74</v>
      </c>
      <c r="P47" t="s">
        <v>74</v>
      </c>
      <c r="Q47" t="s">
        <v>74</v>
      </c>
      <c r="R47" t="s">
        <v>74</v>
      </c>
      <c r="S47" t="s">
        <v>74</v>
      </c>
      <c r="T47" t="s">
        <v>1188</v>
      </c>
      <c r="U47" t="s">
        <v>1189</v>
      </c>
      <c r="V47" t="s">
        <v>1190</v>
      </c>
      <c r="W47" t="s">
        <v>1191</v>
      </c>
      <c r="X47" t="s">
        <v>1192</v>
      </c>
      <c r="Y47" t="s">
        <v>1193</v>
      </c>
      <c r="Z47" t="s">
        <v>1194</v>
      </c>
      <c r="AA47" t="s">
        <v>1195</v>
      </c>
      <c r="AB47" t="s">
        <v>1196</v>
      </c>
      <c r="AC47" t="s">
        <v>1197</v>
      </c>
      <c r="AD47" t="s">
        <v>1198</v>
      </c>
      <c r="AE47" t="s">
        <v>1199</v>
      </c>
      <c r="AF47" t="s">
        <v>74</v>
      </c>
      <c r="AG47">
        <v>79</v>
      </c>
      <c r="AH47">
        <v>1</v>
      </c>
      <c r="AI47">
        <v>1</v>
      </c>
      <c r="AJ47">
        <v>13</v>
      </c>
      <c r="AK47">
        <v>31</v>
      </c>
      <c r="AL47" t="s">
        <v>504</v>
      </c>
      <c r="AM47" t="s">
        <v>505</v>
      </c>
      <c r="AN47" t="s">
        <v>506</v>
      </c>
      <c r="AO47" t="s">
        <v>1200</v>
      </c>
      <c r="AP47" t="s">
        <v>1201</v>
      </c>
      <c r="AQ47" t="s">
        <v>74</v>
      </c>
      <c r="AR47" t="s">
        <v>1187</v>
      </c>
      <c r="AS47" t="s">
        <v>1202</v>
      </c>
      <c r="AT47" t="s">
        <v>1203</v>
      </c>
      <c r="AU47">
        <v>2025</v>
      </c>
      <c r="AV47">
        <v>168</v>
      </c>
      <c r="AW47">
        <v>1</v>
      </c>
      <c r="AX47" t="s">
        <v>74</v>
      </c>
      <c r="AY47" t="s">
        <v>74</v>
      </c>
      <c r="AZ47" t="s">
        <v>74</v>
      </c>
      <c r="BA47" t="s">
        <v>74</v>
      </c>
      <c r="BB47" t="s">
        <v>74</v>
      </c>
      <c r="BC47" t="s">
        <v>74</v>
      </c>
      <c r="BD47">
        <v>14</v>
      </c>
      <c r="BE47" t="s">
        <v>1204</v>
      </c>
      <c r="BF47" t="str">
        <f>HYPERLINK("http://dx.doi.org/10.1007/s10533-024-01205-4","http://dx.doi.org/10.1007/s10533-024-01205-4")</f>
        <v>http://dx.doi.org/10.1007/s10533-024-01205-4</v>
      </c>
      <c r="BG47" t="s">
        <v>74</v>
      </c>
      <c r="BH47" t="s">
        <v>74</v>
      </c>
      <c r="BI47">
        <v>21</v>
      </c>
      <c r="BJ47" t="s">
        <v>1205</v>
      </c>
      <c r="BK47" t="s">
        <v>102</v>
      </c>
      <c r="BL47" t="s">
        <v>1206</v>
      </c>
      <c r="BM47" t="s">
        <v>1207</v>
      </c>
      <c r="BN47" t="s">
        <v>74</v>
      </c>
      <c r="BO47" t="s">
        <v>1208</v>
      </c>
      <c r="BP47" t="s">
        <v>74</v>
      </c>
      <c r="BQ47" t="s">
        <v>74</v>
      </c>
      <c r="BR47" t="s">
        <v>106</v>
      </c>
      <c r="BS47" t="s">
        <v>1209</v>
      </c>
      <c r="BT47" t="str">
        <f>HYPERLINK("https%3A%2F%2Fwww.webofscience.com%2Fwos%2Fwoscc%2Ffull-record%2FWOS:001394551600001","View Full Record in Web of Science")</f>
        <v>View Full Record in Web of Science</v>
      </c>
    </row>
    <row r="48" spans="1:72" x14ac:dyDescent="0.2">
      <c r="A48" t="s">
        <v>72</v>
      </c>
      <c r="B48" t="s">
        <v>1210</v>
      </c>
      <c r="C48" t="s">
        <v>74</v>
      </c>
      <c r="D48" t="s">
        <v>74</v>
      </c>
      <c r="E48" t="s">
        <v>74</v>
      </c>
      <c r="F48" t="s">
        <v>1211</v>
      </c>
      <c r="G48" t="s">
        <v>74</v>
      </c>
      <c r="H48" t="s">
        <v>74</v>
      </c>
      <c r="I48" t="s">
        <v>1212</v>
      </c>
      <c r="J48" t="s">
        <v>995</v>
      </c>
      <c r="K48" t="s">
        <v>74</v>
      </c>
      <c r="L48" t="s">
        <v>74</v>
      </c>
      <c r="M48" t="s">
        <v>78</v>
      </c>
      <c r="N48" t="s">
        <v>79</v>
      </c>
      <c r="O48" t="s">
        <v>74</v>
      </c>
      <c r="P48" t="s">
        <v>74</v>
      </c>
      <c r="Q48" t="s">
        <v>74</v>
      </c>
      <c r="R48" t="s">
        <v>74</v>
      </c>
      <c r="S48" t="s">
        <v>74</v>
      </c>
      <c r="T48" t="s">
        <v>1213</v>
      </c>
      <c r="U48" t="s">
        <v>1214</v>
      </c>
      <c r="V48" t="s">
        <v>1215</v>
      </c>
      <c r="W48" t="s">
        <v>1216</v>
      </c>
      <c r="X48" t="s">
        <v>1217</v>
      </c>
      <c r="Y48" t="s">
        <v>1218</v>
      </c>
      <c r="Z48" t="s">
        <v>1219</v>
      </c>
      <c r="AA48" t="s">
        <v>74</v>
      </c>
      <c r="AB48" t="s">
        <v>1220</v>
      </c>
      <c r="AC48" t="s">
        <v>1221</v>
      </c>
      <c r="AD48" t="s">
        <v>1222</v>
      </c>
      <c r="AE48" t="s">
        <v>1223</v>
      </c>
      <c r="AF48" t="s">
        <v>74</v>
      </c>
      <c r="AG48">
        <v>79</v>
      </c>
      <c r="AH48">
        <v>38</v>
      </c>
      <c r="AI48">
        <v>41</v>
      </c>
      <c r="AJ48">
        <v>23</v>
      </c>
      <c r="AK48">
        <v>291</v>
      </c>
      <c r="AL48" t="s">
        <v>123</v>
      </c>
      <c r="AM48" t="s">
        <v>124</v>
      </c>
      <c r="AN48" t="s">
        <v>125</v>
      </c>
      <c r="AO48" t="s">
        <v>1008</v>
      </c>
      <c r="AP48" t="s">
        <v>1009</v>
      </c>
      <c r="AQ48" t="s">
        <v>74</v>
      </c>
      <c r="AR48" t="s">
        <v>1010</v>
      </c>
      <c r="AS48" t="s">
        <v>1011</v>
      </c>
      <c r="AT48" t="s">
        <v>1012</v>
      </c>
      <c r="AU48">
        <v>2021</v>
      </c>
      <c r="AV48">
        <v>794</v>
      </c>
      <c r="AW48" t="s">
        <v>74</v>
      </c>
      <c r="AX48" t="s">
        <v>74</v>
      </c>
      <c r="AY48" t="s">
        <v>74</v>
      </c>
      <c r="AZ48" t="s">
        <v>74</v>
      </c>
      <c r="BA48" t="s">
        <v>74</v>
      </c>
      <c r="BB48" t="s">
        <v>74</v>
      </c>
      <c r="BC48" t="s">
        <v>74</v>
      </c>
      <c r="BD48">
        <v>148590</v>
      </c>
      <c r="BE48" t="s">
        <v>1224</v>
      </c>
      <c r="BF48" t="str">
        <f>HYPERLINK("http://dx.doi.org/10.1016/j.scitotenv.2021.148590","http://dx.doi.org/10.1016/j.scitotenv.2021.148590")</f>
        <v>http://dx.doi.org/10.1016/j.scitotenv.2021.148590</v>
      </c>
      <c r="BG48" t="s">
        <v>74</v>
      </c>
      <c r="BH48" t="s">
        <v>1225</v>
      </c>
      <c r="BI48">
        <v>9</v>
      </c>
      <c r="BJ48" t="s">
        <v>567</v>
      </c>
      <c r="BK48" t="s">
        <v>102</v>
      </c>
      <c r="BL48" t="s">
        <v>568</v>
      </c>
      <c r="BM48" t="s">
        <v>1226</v>
      </c>
      <c r="BN48">
        <v>34225153</v>
      </c>
      <c r="BO48" t="s">
        <v>74</v>
      </c>
      <c r="BP48" t="s">
        <v>74</v>
      </c>
      <c r="BQ48" t="s">
        <v>74</v>
      </c>
      <c r="BR48" t="s">
        <v>106</v>
      </c>
      <c r="BS48" t="s">
        <v>1227</v>
      </c>
      <c r="BT48" t="str">
        <f>HYPERLINK("https%3A%2F%2Fwww.webofscience.com%2Fwos%2Fwoscc%2Ffull-record%2FWOS:000691672900009","View Full Record in Web of Science")</f>
        <v>View Full Record in Web of Science</v>
      </c>
    </row>
    <row r="49" spans="1:72" x14ac:dyDescent="0.2">
      <c r="A49" t="s">
        <v>72</v>
      </c>
      <c r="B49" t="s">
        <v>1228</v>
      </c>
      <c r="C49" t="s">
        <v>74</v>
      </c>
      <c r="D49" t="s">
        <v>74</v>
      </c>
      <c r="E49" t="s">
        <v>74</v>
      </c>
      <c r="F49" t="s">
        <v>1229</v>
      </c>
      <c r="G49" t="s">
        <v>74</v>
      </c>
      <c r="H49" t="s">
        <v>74</v>
      </c>
      <c r="I49" t="s">
        <v>1230</v>
      </c>
      <c r="J49" t="s">
        <v>1231</v>
      </c>
      <c r="K49" t="s">
        <v>74</v>
      </c>
      <c r="L49" t="s">
        <v>74</v>
      </c>
      <c r="M49" t="s">
        <v>78</v>
      </c>
      <c r="N49" t="s">
        <v>79</v>
      </c>
      <c r="O49" t="s">
        <v>74</v>
      </c>
      <c r="P49" t="s">
        <v>74</v>
      </c>
      <c r="Q49" t="s">
        <v>74</v>
      </c>
      <c r="R49" t="s">
        <v>74</v>
      </c>
      <c r="S49" t="s">
        <v>74</v>
      </c>
      <c r="T49" t="s">
        <v>1232</v>
      </c>
      <c r="U49" t="s">
        <v>1233</v>
      </c>
      <c r="V49" t="s">
        <v>1234</v>
      </c>
      <c r="W49" t="s">
        <v>1235</v>
      </c>
      <c r="X49" t="s">
        <v>1236</v>
      </c>
      <c r="Y49" t="s">
        <v>1237</v>
      </c>
      <c r="Z49" t="s">
        <v>1238</v>
      </c>
      <c r="AA49" t="s">
        <v>1239</v>
      </c>
      <c r="AB49" t="s">
        <v>74</v>
      </c>
      <c r="AC49" t="s">
        <v>1240</v>
      </c>
      <c r="AD49" t="s">
        <v>1241</v>
      </c>
      <c r="AE49" t="s">
        <v>74</v>
      </c>
      <c r="AF49" t="s">
        <v>74</v>
      </c>
      <c r="AG49">
        <v>72</v>
      </c>
      <c r="AH49">
        <v>22</v>
      </c>
      <c r="AI49">
        <v>26</v>
      </c>
      <c r="AJ49">
        <v>8</v>
      </c>
      <c r="AK49">
        <v>117</v>
      </c>
      <c r="AL49" t="s">
        <v>1242</v>
      </c>
      <c r="AM49" t="s">
        <v>1243</v>
      </c>
      <c r="AN49" t="s">
        <v>1244</v>
      </c>
      <c r="AO49" t="s">
        <v>1245</v>
      </c>
      <c r="AP49" t="s">
        <v>1246</v>
      </c>
      <c r="AQ49" t="s">
        <v>74</v>
      </c>
      <c r="AR49" t="s">
        <v>1247</v>
      </c>
      <c r="AS49" t="s">
        <v>1248</v>
      </c>
      <c r="AT49" t="s">
        <v>636</v>
      </c>
      <c r="AU49">
        <v>2023</v>
      </c>
      <c r="AV49">
        <v>30</v>
      </c>
      <c r="AW49">
        <v>17</v>
      </c>
      <c r="AX49" t="s">
        <v>74</v>
      </c>
      <c r="AY49" t="s">
        <v>74</v>
      </c>
      <c r="AZ49" t="s">
        <v>74</v>
      </c>
      <c r="BA49" t="s">
        <v>74</v>
      </c>
      <c r="BB49">
        <v>49470</v>
      </c>
      <c r="BC49">
        <v>49486</v>
      </c>
      <c r="BD49" t="s">
        <v>74</v>
      </c>
      <c r="BE49" t="s">
        <v>1249</v>
      </c>
      <c r="BF49" t="str">
        <f>HYPERLINK("http://dx.doi.org/10.1007/s11356-023-25821-z","http://dx.doi.org/10.1007/s11356-023-25821-z")</f>
        <v>http://dx.doi.org/10.1007/s11356-023-25821-z</v>
      </c>
      <c r="BG49" t="s">
        <v>74</v>
      </c>
      <c r="BH49" t="s">
        <v>1250</v>
      </c>
      <c r="BI49">
        <v>17</v>
      </c>
      <c r="BJ49" t="s">
        <v>567</v>
      </c>
      <c r="BK49" t="s">
        <v>102</v>
      </c>
      <c r="BL49" t="s">
        <v>568</v>
      </c>
      <c r="BM49" t="s">
        <v>1251</v>
      </c>
      <c r="BN49">
        <v>36780085</v>
      </c>
      <c r="BO49" t="s">
        <v>74</v>
      </c>
      <c r="BP49" t="s">
        <v>74</v>
      </c>
      <c r="BQ49" t="s">
        <v>74</v>
      </c>
      <c r="BR49" t="s">
        <v>106</v>
      </c>
      <c r="BS49" t="s">
        <v>1252</v>
      </c>
      <c r="BT49" t="str">
        <f>HYPERLINK("https%3A%2F%2Fwww.webofscience.com%2Fwos%2Fwoscc%2Ffull-record%2FWOS:000933315000005","View Full Record in Web of Science")</f>
        <v>View Full Record in Web of Science</v>
      </c>
    </row>
    <row r="50" spans="1:72" x14ac:dyDescent="0.2">
      <c r="A50" t="s">
        <v>72</v>
      </c>
      <c r="B50" t="s">
        <v>1253</v>
      </c>
      <c r="C50" t="s">
        <v>74</v>
      </c>
      <c r="D50" t="s">
        <v>74</v>
      </c>
      <c r="E50" t="s">
        <v>74</v>
      </c>
      <c r="F50" t="s">
        <v>1254</v>
      </c>
      <c r="G50" t="s">
        <v>74</v>
      </c>
      <c r="H50" t="s">
        <v>74</v>
      </c>
      <c r="I50" t="s">
        <v>1255</v>
      </c>
      <c r="J50" t="s">
        <v>1256</v>
      </c>
      <c r="K50" t="s">
        <v>74</v>
      </c>
      <c r="L50" t="s">
        <v>74</v>
      </c>
      <c r="M50" t="s">
        <v>78</v>
      </c>
      <c r="N50" t="s">
        <v>79</v>
      </c>
      <c r="O50" t="s">
        <v>74</v>
      </c>
      <c r="P50" t="s">
        <v>74</v>
      </c>
      <c r="Q50" t="s">
        <v>74</v>
      </c>
      <c r="R50" t="s">
        <v>74</v>
      </c>
      <c r="S50" t="s">
        <v>74</v>
      </c>
      <c r="T50" t="s">
        <v>1257</v>
      </c>
      <c r="U50" t="s">
        <v>1258</v>
      </c>
      <c r="V50" t="s">
        <v>1259</v>
      </c>
      <c r="W50" t="s">
        <v>1260</v>
      </c>
      <c r="X50" t="s">
        <v>1261</v>
      </c>
      <c r="Y50" t="s">
        <v>1262</v>
      </c>
      <c r="Z50" t="s">
        <v>1263</v>
      </c>
      <c r="AA50" t="s">
        <v>74</v>
      </c>
      <c r="AB50" t="s">
        <v>74</v>
      </c>
      <c r="AC50" t="s">
        <v>1264</v>
      </c>
      <c r="AD50" t="s">
        <v>1265</v>
      </c>
      <c r="AE50" t="s">
        <v>1266</v>
      </c>
      <c r="AF50" t="s">
        <v>74</v>
      </c>
      <c r="AG50">
        <v>40</v>
      </c>
      <c r="AH50">
        <v>0</v>
      </c>
      <c r="AI50">
        <v>0</v>
      </c>
      <c r="AJ50">
        <v>1</v>
      </c>
      <c r="AK50">
        <v>5</v>
      </c>
      <c r="AL50" t="s">
        <v>1267</v>
      </c>
      <c r="AM50" t="s">
        <v>1268</v>
      </c>
      <c r="AN50" t="s">
        <v>1269</v>
      </c>
      <c r="AO50" t="s">
        <v>1270</v>
      </c>
      <c r="AP50" t="s">
        <v>1271</v>
      </c>
      <c r="AQ50" t="s">
        <v>74</v>
      </c>
      <c r="AR50" t="s">
        <v>1272</v>
      </c>
      <c r="AS50" t="s">
        <v>1273</v>
      </c>
      <c r="AT50" t="s">
        <v>74</v>
      </c>
      <c r="AU50">
        <v>2024</v>
      </c>
      <c r="AV50">
        <v>26</v>
      </c>
      <c r="AW50">
        <v>3</v>
      </c>
      <c r="AX50" t="s">
        <v>74</v>
      </c>
      <c r="AY50" t="s">
        <v>74</v>
      </c>
      <c r="AZ50" t="s">
        <v>74</v>
      </c>
      <c r="BA50" t="s">
        <v>74</v>
      </c>
      <c r="BB50">
        <v>537</v>
      </c>
      <c r="BC50">
        <v>552</v>
      </c>
      <c r="BD50" t="s">
        <v>74</v>
      </c>
      <c r="BE50" t="s">
        <v>74</v>
      </c>
      <c r="BF50" t="s">
        <v>74</v>
      </c>
      <c r="BG50" t="s">
        <v>74</v>
      </c>
      <c r="BH50" t="s">
        <v>74</v>
      </c>
      <c r="BI50">
        <v>16</v>
      </c>
      <c r="BJ50" t="s">
        <v>101</v>
      </c>
      <c r="BK50" t="s">
        <v>102</v>
      </c>
      <c r="BL50" t="s">
        <v>103</v>
      </c>
      <c r="BM50" t="s">
        <v>1274</v>
      </c>
      <c r="BN50" t="s">
        <v>74</v>
      </c>
      <c r="BO50" t="s">
        <v>74</v>
      </c>
      <c r="BP50" t="s">
        <v>74</v>
      </c>
      <c r="BQ50" t="s">
        <v>74</v>
      </c>
      <c r="BR50" t="s">
        <v>106</v>
      </c>
      <c r="BS50" t="s">
        <v>1275</v>
      </c>
      <c r="BT50" t="str">
        <f>HYPERLINK("https%3A%2F%2Fwww.webofscience.com%2Fwos%2Fwoscc%2Ffull-record%2FWOS:001229044800015","View Full Record in Web of Science")</f>
        <v>View Full Record in Web of Science</v>
      </c>
    </row>
    <row r="51" spans="1:72" x14ac:dyDescent="0.2">
      <c r="A51" t="s">
        <v>72</v>
      </c>
      <c r="B51" t="s">
        <v>1276</v>
      </c>
      <c r="C51" t="s">
        <v>74</v>
      </c>
      <c r="D51" t="s">
        <v>74</v>
      </c>
      <c r="E51" t="s">
        <v>74</v>
      </c>
      <c r="F51" t="s">
        <v>1277</v>
      </c>
      <c r="G51" t="s">
        <v>74</v>
      </c>
      <c r="H51" t="s">
        <v>74</v>
      </c>
      <c r="I51" t="s">
        <v>1278</v>
      </c>
      <c r="J51" t="s">
        <v>645</v>
      </c>
      <c r="K51" t="s">
        <v>74</v>
      </c>
      <c r="L51" t="s">
        <v>74</v>
      </c>
      <c r="M51" t="s">
        <v>78</v>
      </c>
      <c r="N51" t="s">
        <v>79</v>
      </c>
      <c r="O51" t="s">
        <v>74</v>
      </c>
      <c r="P51" t="s">
        <v>74</v>
      </c>
      <c r="Q51" t="s">
        <v>74</v>
      </c>
      <c r="R51" t="s">
        <v>74</v>
      </c>
      <c r="S51" t="s">
        <v>74</v>
      </c>
      <c r="T51" t="s">
        <v>1279</v>
      </c>
      <c r="U51" t="s">
        <v>74</v>
      </c>
      <c r="V51" t="s">
        <v>1280</v>
      </c>
      <c r="W51" t="s">
        <v>1281</v>
      </c>
      <c r="X51" t="s">
        <v>1282</v>
      </c>
      <c r="Y51" t="s">
        <v>1283</v>
      </c>
      <c r="Z51" t="s">
        <v>1284</v>
      </c>
      <c r="AA51" t="s">
        <v>74</v>
      </c>
      <c r="AB51" t="s">
        <v>74</v>
      </c>
      <c r="AC51" t="s">
        <v>1285</v>
      </c>
      <c r="AD51" t="s">
        <v>1286</v>
      </c>
      <c r="AE51" t="s">
        <v>1287</v>
      </c>
      <c r="AF51" t="s">
        <v>74</v>
      </c>
      <c r="AG51">
        <v>52</v>
      </c>
      <c r="AH51">
        <v>1</v>
      </c>
      <c r="AI51">
        <v>1</v>
      </c>
      <c r="AJ51">
        <v>17</v>
      </c>
      <c r="AK51">
        <v>26</v>
      </c>
      <c r="AL51" t="s">
        <v>655</v>
      </c>
      <c r="AM51" t="s">
        <v>405</v>
      </c>
      <c r="AN51" t="s">
        <v>656</v>
      </c>
      <c r="AO51" t="s">
        <v>74</v>
      </c>
      <c r="AP51" t="s">
        <v>657</v>
      </c>
      <c r="AQ51" t="s">
        <v>74</v>
      </c>
      <c r="AR51" t="s">
        <v>658</v>
      </c>
      <c r="AS51" t="s">
        <v>659</v>
      </c>
      <c r="AT51" t="s">
        <v>1288</v>
      </c>
      <c r="AU51">
        <v>2025</v>
      </c>
      <c r="AV51">
        <v>13</v>
      </c>
      <c r="AW51" t="s">
        <v>74</v>
      </c>
      <c r="AX51" t="s">
        <v>74</v>
      </c>
      <c r="AY51" t="s">
        <v>74</v>
      </c>
      <c r="AZ51" t="s">
        <v>74</v>
      </c>
      <c r="BA51" t="s">
        <v>74</v>
      </c>
      <c r="BB51" t="s">
        <v>74</v>
      </c>
      <c r="BC51" t="s">
        <v>74</v>
      </c>
      <c r="BD51">
        <v>1511548</v>
      </c>
      <c r="BE51" t="s">
        <v>1289</v>
      </c>
      <c r="BF51" t="str">
        <f>HYPERLINK("http://dx.doi.org/10.3389/fenvs.2025.1511548","http://dx.doi.org/10.3389/fenvs.2025.1511548")</f>
        <v>http://dx.doi.org/10.3389/fenvs.2025.1511548</v>
      </c>
      <c r="BG51" t="s">
        <v>74</v>
      </c>
      <c r="BH51" t="s">
        <v>74</v>
      </c>
      <c r="BI51">
        <v>20</v>
      </c>
      <c r="BJ51" t="s">
        <v>567</v>
      </c>
      <c r="BK51" t="s">
        <v>102</v>
      </c>
      <c r="BL51" t="s">
        <v>568</v>
      </c>
      <c r="BM51" t="s">
        <v>1290</v>
      </c>
      <c r="BN51" t="s">
        <v>74</v>
      </c>
      <c r="BO51" t="s">
        <v>231</v>
      </c>
      <c r="BP51" t="s">
        <v>74</v>
      </c>
      <c r="BQ51" t="s">
        <v>74</v>
      </c>
      <c r="BR51" t="s">
        <v>106</v>
      </c>
      <c r="BS51" t="s">
        <v>1291</v>
      </c>
      <c r="BT51" t="str">
        <f>HYPERLINK("https%3A%2F%2Fwww.webofscience.com%2Fwos%2Fwoscc%2Ffull-record%2FWOS:001450811400001","View Full Record in Web of Science")</f>
        <v>View Full Record in Web of Science</v>
      </c>
    </row>
    <row r="52" spans="1:72" x14ac:dyDescent="0.2">
      <c r="A52" t="s">
        <v>72</v>
      </c>
      <c r="B52" t="s">
        <v>1292</v>
      </c>
      <c r="C52" t="s">
        <v>74</v>
      </c>
      <c r="D52" t="s">
        <v>74</v>
      </c>
      <c r="E52" t="s">
        <v>74</v>
      </c>
      <c r="F52" t="s">
        <v>1293</v>
      </c>
      <c r="G52" t="s">
        <v>74</v>
      </c>
      <c r="H52" t="s">
        <v>74</v>
      </c>
      <c r="I52" t="s">
        <v>1294</v>
      </c>
      <c r="J52" t="s">
        <v>1295</v>
      </c>
      <c r="K52" t="s">
        <v>74</v>
      </c>
      <c r="L52" t="s">
        <v>74</v>
      </c>
      <c r="M52" t="s">
        <v>78</v>
      </c>
      <c r="N52" t="s">
        <v>79</v>
      </c>
      <c r="O52" t="s">
        <v>74</v>
      </c>
      <c r="P52" t="s">
        <v>74</v>
      </c>
      <c r="Q52" t="s">
        <v>74</v>
      </c>
      <c r="R52" t="s">
        <v>74</v>
      </c>
      <c r="S52" t="s">
        <v>74</v>
      </c>
      <c r="T52" t="s">
        <v>1296</v>
      </c>
      <c r="U52" t="s">
        <v>1297</v>
      </c>
      <c r="V52" t="s">
        <v>1298</v>
      </c>
      <c r="W52" t="s">
        <v>1299</v>
      </c>
      <c r="X52" t="s">
        <v>1300</v>
      </c>
      <c r="Y52" t="s">
        <v>1301</v>
      </c>
      <c r="Z52" t="s">
        <v>1302</v>
      </c>
      <c r="AA52" t="s">
        <v>1303</v>
      </c>
      <c r="AB52" t="s">
        <v>1304</v>
      </c>
      <c r="AC52" t="s">
        <v>1305</v>
      </c>
      <c r="AD52" t="s">
        <v>1306</v>
      </c>
      <c r="AE52" t="s">
        <v>1307</v>
      </c>
      <c r="AF52" t="s">
        <v>74</v>
      </c>
      <c r="AG52">
        <v>30</v>
      </c>
      <c r="AH52">
        <v>2</v>
      </c>
      <c r="AI52">
        <v>4</v>
      </c>
      <c r="AJ52">
        <v>4</v>
      </c>
      <c r="AK52">
        <v>15</v>
      </c>
      <c r="AL52" t="s">
        <v>934</v>
      </c>
      <c r="AM52" t="s">
        <v>177</v>
      </c>
      <c r="AN52" t="s">
        <v>935</v>
      </c>
      <c r="AO52" t="s">
        <v>1308</v>
      </c>
      <c r="AP52" t="s">
        <v>1309</v>
      </c>
      <c r="AQ52" t="s">
        <v>74</v>
      </c>
      <c r="AR52" t="s">
        <v>1310</v>
      </c>
      <c r="AS52" t="s">
        <v>1311</v>
      </c>
      <c r="AT52" t="s">
        <v>1312</v>
      </c>
      <c r="AU52">
        <v>2024</v>
      </c>
      <c r="AV52">
        <v>320</v>
      </c>
      <c r="AW52" t="s">
        <v>74</v>
      </c>
      <c r="AX52" t="s">
        <v>74</v>
      </c>
      <c r="AY52" t="s">
        <v>74</v>
      </c>
      <c r="AZ52" t="s">
        <v>74</v>
      </c>
      <c r="BA52" t="s">
        <v>74</v>
      </c>
      <c r="BB52" t="s">
        <v>74</v>
      </c>
      <c r="BC52" t="s">
        <v>74</v>
      </c>
      <c r="BD52">
        <v>120315</v>
      </c>
      <c r="BE52" t="s">
        <v>1313</v>
      </c>
      <c r="BF52" t="str">
        <f>HYPERLINK("http://dx.doi.org/10.1016/j.atmosenv.2023.120315","http://dx.doi.org/10.1016/j.atmosenv.2023.120315")</f>
        <v>http://dx.doi.org/10.1016/j.atmosenv.2023.120315</v>
      </c>
      <c r="BG52" t="s">
        <v>74</v>
      </c>
      <c r="BH52" t="s">
        <v>1314</v>
      </c>
      <c r="BI52">
        <v>10</v>
      </c>
      <c r="BJ52" t="s">
        <v>782</v>
      </c>
      <c r="BK52" t="s">
        <v>102</v>
      </c>
      <c r="BL52" t="s">
        <v>783</v>
      </c>
      <c r="BM52" t="s">
        <v>1315</v>
      </c>
      <c r="BN52" t="s">
        <v>74</v>
      </c>
      <c r="BO52" t="s">
        <v>74</v>
      </c>
      <c r="BP52" t="s">
        <v>74</v>
      </c>
      <c r="BQ52" t="s">
        <v>74</v>
      </c>
      <c r="BR52" t="s">
        <v>106</v>
      </c>
      <c r="BS52" t="s">
        <v>1316</v>
      </c>
      <c r="BT52" t="str">
        <f>HYPERLINK("https%3A%2F%2Fwww.webofscience.com%2Fwos%2Fwoscc%2Ffull-record%2FWOS:001154148800001","View Full Record in Web of Science")</f>
        <v>View Full Record in Web of Science</v>
      </c>
    </row>
    <row r="53" spans="1:72" x14ac:dyDescent="0.2">
      <c r="A53" t="s">
        <v>72</v>
      </c>
      <c r="B53" t="s">
        <v>1317</v>
      </c>
      <c r="C53" t="s">
        <v>74</v>
      </c>
      <c r="D53" t="s">
        <v>74</v>
      </c>
      <c r="E53" t="s">
        <v>74</v>
      </c>
      <c r="F53" t="s">
        <v>1318</v>
      </c>
      <c r="G53" t="s">
        <v>74</v>
      </c>
      <c r="H53" t="s">
        <v>74</v>
      </c>
      <c r="I53" t="s">
        <v>1319</v>
      </c>
      <c r="J53" t="s">
        <v>1320</v>
      </c>
      <c r="K53" t="s">
        <v>74</v>
      </c>
      <c r="L53" t="s">
        <v>74</v>
      </c>
      <c r="M53" t="s">
        <v>78</v>
      </c>
      <c r="N53" t="s">
        <v>492</v>
      </c>
      <c r="O53" t="s">
        <v>74</v>
      </c>
      <c r="P53" t="s">
        <v>74</v>
      </c>
      <c r="Q53" t="s">
        <v>74</v>
      </c>
      <c r="R53" t="s">
        <v>74</v>
      </c>
      <c r="S53" t="s">
        <v>74</v>
      </c>
      <c r="T53" t="s">
        <v>1321</v>
      </c>
      <c r="U53" t="s">
        <v>1322</v>
      </c>
      <c r="V53" t="s">
        <v>1323</v>
      </c>
      <c r="W53" t="s">
        <v>1324</v>
      </c>
      <c r="X53" t="s">
        <v>1325</v>
      </c>
      <c r="Y53" t="s">
        <v>1326</v>
      </c>
      <c r="Z53" t="s">
        <v>1327</v>
      </c>
      <c r="AA53" t="s">
        <v>1328</v>
      </c>
      <c r="AB53" t="s">
        <v>74</v>
      </c>
      <c r="AC53" t="s">
        <v>1329</v>
      </c>
      <c r="AD53" t="s">
        <v>1330</v>
      </c>
      <c r="AE53" t="s">
        <v>1331</v>
      </c>
      <c r="AF53" t="s">
        <v>74</v>
      </c>
      <c r="AG53">
        <v>103</v>
      </c>
      <c r="AH53">
        <v>0</v>
      </c>
      <c r="AI53">
        <v>0</v>
      </c>
      <c r="AJ53">
        <v>2</v>
      </c>
      <c r="AK53">
        <v>2</v>
      </c>
      <c r="AL53" t="s">
        <v>504</v>
      </c>
      <c r="AM53" t="s">
        <v>505</v>
      </c>
      <c r="AN53" t="s">
        <v>506</v>
      </c>
      <c r="AO53" t="s">
        <v>1332</v>
      </c>
      <c r="AP53" t="s">
        <v>1333</v>
      </c>
      <c r="AQ53" t="s">
        <v>74</v>
      </c>
      <c r="AR53" t="s">
        <v>1334</v>
      </c>
      <c r="AS53" t="s">
        <v>1335</v>
      </c>
      <c r="AT53" t="s">
        <v>1336</v>
      </c>
      <c r="AU53">
        <v>2025</v>
      </c>
      <c r="AV53" t="s">
        <v>74</v>
      </c>
      <c r="AW53" t="s">
        <v>74</v>
      </c>
      <c r="AX53" t="s">
        <v>74</v>
      </c>
      <c r="AY53" t="s">
        <v>74</v>
      </c>
      <c r="AZ53" t="s">
        <v>74</v>
      </c>
      <c r="BA53" t="s">
        <v>74</v>
      </c>
      <c r="BB53" t="s">
        <v>74</v>
      </c>
      <c r="BC53" t="s">
        <v>74</v>
      </c>
      <c r="BD53" t="s">
        <v>74</v>
      </c>
      <c r="BE53" t="s">
        <v>1337</v>
      </c>
      <c r="BF53" t="str">
        <f>HYPERLINK("http://dx.doi.org/10.1007/s12649-025-03304-1","http://dx.doi.org/10.1007/s12649-025-03304-1")</f>
        <v>http://dx.doi.org/10.1007/s12649-025-03304-1</v>
      </c>
      <c r="BG53" t="s">
        <v>74</v>
      </c>
      <c r="BH53" t="s">
        <v>1338</v>
      </c>
      <c r="BI53">
        <v>20</v>
      </c>
      <c r="BJ53" t="s">
        <v>567</v>
      </c>
      <c r="BK53" t="s">
        <v>102</v>
      </c>
      <c r="BL53" t="s">
        <v>568</v>
      </c>
      <c r="BM53" t="s">
        <v>1339</v>
      </c>
      <c r="BN53" t="s">
        <v>74</v>
      </c>
      <c r="BO53" t="s">
        <v>74</v>
      </c>
      <c r="BP53" t="s">
        <v>74</v>
      </c>
      <c r="BQ53" t="s">
        <v>74</v>
      </c>
      <c r="BR53" t="s">
        <v>106</v>
      </c>
      <c r="BS53" t="s">
        <v>1340</v>
      </c>
      <c r="BT53" t="str">
        <f>HYPERLINK("https%3A%2F%2Fwww.webofscience.com%2Fwos%2Fwoscc%2Ffull-record%2FWOS:001574632100001","View Full Record in Web of Science")</f>
        <v>View Full Record in Web of Science</v>
      </c>
    </row>
    <row r="54" spans="1:72" x14ac:dyDescent="0.2">
      <c r="A54" t="s">
        <v>72</v>
      </c>
      <c r="B54" t="s">
        <v>1341</v>
      </c>
      <c r="C54" t="s">
        <v>74</v>
      </c>
      <c r="D54" t="s">
        <v>74</v>
      </c>
      <c r="E54" t="s">
        <v>74</v>
      </c>
      <c r="F54" t="s">
        <v>1342</v>
      </c>
      <c r="G54" t="s">
        <v>74</v>
      </c>
      <c r="H54" t="s">
        <v>74</v>
      </c>
      <c r="I54" t="s">
        <v>1343</v>
      </c>
      <c r="J54" t="s">
        <v>1344</v>
      </c>
      <c r="K54" t="s">
        <v>74</v>
      </c>
      <c r="L54" t="s">
        <v>74</v>
      </c>
      <c r="M54" t="s">
        <v>78</v>
      </c>
      <c r="N54" t="s">
        <v>79</v>
      </c>
      <c r="O54" t="s">
        <v>74</v>
      </c>
      <c r="P54" t="s">
        <v>74</v>
      </c>
      <c r="Q54" t="s">
        <v>74</v>
      </c>
      <c r="R54" t="s">
        <v>74</v>
      </c>
      <c r="S54" t="s">
        <v>74</v>
      </c>
      <c r="T54" t="s">
        <v>1345</v>
      </c>
      <c r="U54" t="s">
        <v>1346</v>
      </c>
      <c r="V54" t="s">
        <v>1347</v>
      </c>
      <c r="W54" t="s">
        <v>1348</v>
      </c>
      <c r="X54" t="s">
        <v>1349</v>
      </c>
      <c r="Y54" t="s">
        <v>1350</v>
      </c>
      <c r="Z54" t="s">
        <v>1351</v>
      </c>
      <c r="AA54" t="s">
        <v>1352</v>
      </c>
      <c r="AB54" t="s">
        <v>1353</v>
      </c>
      <c r="AC54" t="s">
        <v>74</v>
      </c>
      <c r="AD54" t="s">
        <v>74</v>
      </c>
      <c r="AE54" t="s">
        <v>74</v>
      </c>
      <c r="AF54" t="s">
        <v>74</v>
      </c>
      <c r="AG54">
        <v>69</v>
      </c>
      <c r="AH54">
        <v>16</v>
      </c>
      <c r="AI54">
        <v>16</v>
      </c>
      <c r="AJ54">
        <v>5</v>
      </c>
      <c r="AK54">
        <v>27</v>
      </c>
      <c r="AL54" t="s">
        <v>222</v>
      </c>
      <c r="AM54" t="s">
        <v>223</v>
      </c>
      <c r="AN54" t="s">
        <v>478</v>
      </c>
      <c r="AO54" t="s">
        <v>74</v>
      </c>
      <c r="AP54" t="s">
        <v>1354</v>
      </c>
      <c r="AQ54" t="s">
        <v>74</v>
      </c>
      <c r="AR54" t="s">
        <v>1344</v>
      </c>
      <c r="AS54" t="s">
        <v>1355</v>
      </c>
      <c r="AT54" t="s">
        <v>281</v>
      </c>
      <c r="AU54">
        <v>2022</v>
      </c>
      <c r="AV54">
        <v>12</v>
      </c>
      <c r="AW54">
        <v>6</v>
      </c>
      <c r="AX54" t="s">
        <v>74</v>
      </c>
      <c r="AY54" t="s">
        <v>74</v>
      </c>
      <c r="AZ54" t="s">
        <v>74</v>
      </c>
      <c r="BA54" t="s">
        <v>74</v>
      </c>
      <c r="BB54" t="s">
        <v>74</v>
      </c>
      <c r="BC54" t="s">
        <v>74</v>
      </c>
      <c r="BD54">
        <v>751</v>
      </c>
      <c r="BE54" t="s">
        <v>1356</v>
      </c>
      <c r="BF54" t="str">
        <f>HYPERLINK("http://dx.doi.org/10.3390/agriculture12060751","http://dx.doi.org/10.3390/agriculture12060751")</f>
        <v>http://dx.doi.org/10.3390/agriculture12060751</v>
      </c>
      <c r="BG54" t="s">
        <v>74</v>
      </c>
      <c r="BH54" t="s">
        <v>74</v>
      </c>
      <c r="BI54">
        <v>19</v>
      </c>
      <c r="BJ54" t="s">
        <v>1357</v>
      </c>
      <c r="BK54" t="s">
        <v>102</v>
      </c>
      <c r="BL54" t="s">
        <v>103</v>
      </c>
      <c r="BM54" t="s">
        <v>1358</v>
      </c>
      <c r="BN54" t="s">
        <v>74</v>
      </c>
      <c r="BO54" t="s">
        <v>161</v>
      </c>
      <c r="BP54" t="s">
        <v>74</v>
      </c>
      <c r="BQ54" t="s">
        <v>74</v>
      </c>
      <c r="BR54" t="s">
        <v>106</v>
      </c>
      <c r="BS54" t="s">
        <v>1359</v>
      </c>
      <c r="BT54" t="str">
        <f>HYPERLINK("https%3A%2F%2Fwww.webofscience.com%2Fwos%2Fwoscc%2Ffull-record%2FWOS:000818461700001","View Full Record in Web of Science")</f>
        <v>View Full Record in Web of Science</v>
      </c>
    </row>
    <row r="55" spans="1:72" x14ac:dyDescent="0.2">
      <c r="A55" t="s">
        <v>72</v>
      </c>
      <c r="B55" t="s">
        <v>1360</v>
      </c>
      <c r="C55" t="s">
        <v>74</v>
      </c>
      <c r="D55" t="s">
        <v>74</v>
      </c>
      <c r="E55" t="s">
        <v>74</v>
      </c>
      <c r="F55" t="s">
        <v>1361</v>
      </c>
      <c r="G55" t="s">
        <v>74</v>
      </c>
      <c r="H55" t="s">
        <v>74</v>
      </c>
      <c r="I55" t="s">
        <v>1362</v>
      </c>
      <c r="J55" t="s">
        <v>1363</v>
      </c>
      <c r="K55" t="s">
        <v>74</v>
      </c>
      <c r="L55" t="s">
        <v>74</v>
      </c>
      <c r="M55" t="s">
        <v>78</v>
      </c>
      <c r="N55" t="s">
        <v>79</v>
      </c>
      <c r="O55" t="s">
        <v>74</v>
      </c>
      <c r="P55" t="s">
        <v>74</v>
      </c>
      <c r="Q55" t="s">
        <v>74</v>
      </c>
      <c r="R55" t="s">
        <v>74</v>
      </c>
      <c r="S55" t="s">
        <v>74</v>
      </c>
      <c r="T55" t="s">
        <v>1364</v>
      </c>
      <c r="U55" t="s">
        <v>1365</v>
      </c>
      <c r="V55" t="s">
        <v>1366</v>
      </c>
      <c r="W55" t="s">
        <v>1367</v>
      </c>
      <c r="X55" t="s">
        <v>1368</v>
      </c>
      <c r="Y55" t="s">
        <v>1369</v>
      </c>
      <c r="Z55" t="s">
        <v>1370</v>
      </c>
      <c r="AA55" t="s">
        <v>1371</v>
      </c>
      <c r="AB55" t="s">
        <v>74</v>
      </c>
      <c r="AC55" t="s">
        <v>74</v>
      </c>
      <c r="AD55" t="s">
        <v>74</v>
      </c>
      <c r="AE55" t="s">
        <v>74</v>
      </c>
      <c r="AF55" t="s">
        <v>74</v>
      </c>
      <c r="AG55">
        <v>51</v>
      </c>
      <c r="AH55">
        <v>3</v>
      </c>
      <c r="AI55">
        <v>3</v>
      </c>
      <c r="AJ55">
        <v>0</v>
      </c>
      <c r="AK55">
        <v>36</v>
      </c>
      <c r="AL55" t="s">
        <v>1372</v>
      </c>
      <c r="AM55" t="s">
        <v>1373</v>
      </c>
      <c r="AN55" t="s">
        <v>1374</v>
      </c>
      <c r="AO55" t="s">
        <v>1375</v>
      </c>
      <c r="AP55" t="s">
        <v>74</v>
      </c>
      <c r="AQ55" t="s">
        <v>74</v>
      </c>
      <c r="AR55" t="s">
        <v>1376</v>
      </c>
      <c r="AS55" t="s">
        <v>1377</v>
      </c>
      <c r="AT55" t="s">
        <v>636</v>
      </c>
      <c r="AU55">
        <v>2015</v>
      </c>
      <c r="AV55">
        <v>20</v>
      </c>
      <c r="AW55">
        <v>1</v>
      </c>
      <c r="AX55" t="s">
        <v>74</v>
      </c>
      <c r="AY55" t="s">
        <v>74</v>
      </c>
      <c r="AZ55" t="s">
        <v>74</v>
      </c>
      <c r="BA55" t="s">
        <v>74</v>
      </c>
      <c r="BB55">
        <v>21</v>
      </c>
      <c r="BC55">
        <v>32</v>
      </c>
      <c r="BD55" t="s">
        <v>74</v>
      </c>
      <c r="BE55" t="s">
        <v>74</v>
      </c>
      <c r="BF55" t="s">
        <v>74</v>
      </c>
      <c r="BG55" t="s">
        <v>74</v>
      </c>
      <c r="BH55" t="s">
        <v>74</v>
      </c>
      <c r="BI55">
        <v>12</v>
      </c>
      <c r="BJ55" t="s">
        <v>1378</v>
      </c>
      <c r="BK55" t="s">
        <v>102</v>
      </c>
      <c r="BL55" t="s">
        <v>1379</v>
      </c>
      <c r="BM55" t="s">
        <v>1380</v>
      </c>
      <c r="BN55" t="s">
        <v>74</v>
      </c>
      <c r="BO55" t="s">
        <v>74</v>
      </c>
      <c r="BP55" t="s">
        <v>74</v>
      </c>
      <c r="BQ55" t="s">
        <v>74</v>
      </c>
      <c r="BR55" t="s">
        <v>106</v>
      </c>
      <c r="BS55" t="s">
        <v>1381</v>
      </c>
      <c r="BT55" t="str">
        <f>HYPERLINK("https%3A%2F%2Fwww.webofscience.com%2Fwos%2Fwoscc%2Ffull-record%2FWOS:000358818900002","View Full Record in Web of Science")</f>
        <v>View Full Record in Web of Science</v>
      </c>
    </row>
    <row r="56" spans="1:72" x14ac:dyDescent="0.2">
      <c r="A56" t="s">
        <v>72</v>
      </c>
      <c r="B56" t="s">
        <v>1382</v>
      </c>
      <c r="C56" t="s">
        <v>74</v>
      </c>
      <c r="D56" t="s">
        <v>74</v>
      </c>
      <c r="E56" t="s">
        <v>74</v>
      </c>
      <c r="F56" t="s">
        <v>1383</v>
      </c>
      <c r="G56" t="s">
        <v>74</v>
      </c>
      <c r="H56" t="s">
        <v>74</v>
      </c>
      <c r="I56" t="s">
        <v>1384</v>
      </c>
      <c r="J56" t="s">
        <v>1385</v>
      </c>
      <c r="K56" t="s">
        <v>74</v>
      </c>
      <c r="L56" t="s">
        <v>74</v>
      </c>
      <c r="M56" t="s">
        <v>78</v>
      </c>
      <c r="N56" t="s">
        <v>79</v>
      </c>
      <c r="O56" t="s">
        <v>74</v>
      </c>
      <c r="P56" t="s">
        <v>74</v>
      </c>
      <c r="Q56" t="s">
        <v>74</v>
      </c>
      <c r="R56" t="s">
        <v>74</v>
      </c>
      <c r="S56" t="s">
        <v>74</v>
      </c>
      <c r="T56" t="s">
        <v>1386</v>
      </c>
      <c r="U56" t="s">
        <v>1387</v>
      </c>
      <c r="V56" t="s">
        <v>1388</v>
      </c>
      <c r="W56" t="s">
        <v>1389</v>
      </c>
      <c r="X56" t="s">
        <v>1390</v>
      </c>
      <c r="Y56" t="s">
        <v>1391</v>
      </c>
      <c r="Z56" t="s">
        <v>1392</v>
      </c>
      <c r="AA56" t="s">
        <v>1393</v>
      </c>
      <c r="AB56" t="s">
        <v>1394</v>
      </c>
      <c r="AC56" t="s">
        <v>1395</v>
      </c>
      <c r="AD56" t="s">
        <v>1395</v>
      </c>
      <c r="AE56" t="s">
        <v>1396</v>
      </c>
      <c r="AF56" t="s">
        <v>74</v>
      </c>
      <c r="AG56">
        <v>53</v>
      </c>
      <c r="AH56">
        <v>41</v>
      </c>
      <c r="AI56">
        <v>45</v>
      </c>
      <c r="AJ56">
        <v>3</v>
      </c>
      <c r="AK56">
        <v>107</v>
      </c>
      <c r="AL56" t="s">
        <v>934</v>
      </c>
      <c r="AM56" t="s">
        <v>177</v>
      </c>
      <c r="AN56" t="s">
        <v>935</v>
      </c>
      <c r="AO56" t="s">
        <v>1397</v>
      </c>
      <c r="AP56" t="s">
        <v>1398</v>
      </c>
      <c r="AQ56" t="s">
        <v>74</v>
      </c>
      <c r="AR56" t="s">
        <v>1399</v>
      </c>
      <c r="AS56" t="s">
        <v>1400</v>
      </c>
      <c r="AT56" t="s">
        <v>636</v>
      </c>
      <c r="AU56">
        <v>2014</v>
      </c>
      <c r="AV56">
        <v>63</v>
      </c>
      <c r="AW56" t="s">
        <v>74</v>
      </c>
      <c r="AX56" t="s">
        <v>74</v>
      </c>
      <c r="AY56" t="s">
        <v>74</v>
      </c>
      <c r="AZ56" t="s">
        <v>74</v>
      </c>
      <c r="BA56" t="s">
        <v>74</v>
      </c>
      <c r="BB56">
        <v>167</v>
      </c>
      <c r="BC56">
        <v>176</v>
      </c>
      <c r="BD56" t="s">
        <v>74</v>
      </c>
      <c r="BE56" t="s">
        <v>1401</v>
      </c>
      <c r="BF56" t="str">
        <f>HYPERLINK("http://dx.doi.org/10.1016/j.biombioe.2014.01.049","http://dx.doi.org/10.1016/j.biombioe.2014.01.049")</f>
        <v>http://dx.doi.org/10.1016/j.biombioe.2014.01.049</v>
      </c>
      <c r="BG56" t="s">
        <v>74</v>
      </c>
      <c r="BH56" t="s">
        <v>74</v>
      </c>
      <c r="BI56">
        <v>10</v>
      </c>
      <c r="BJ56" t="s">
        <v>1402</v>
      </c>
      <c r="BK56" t="s">
        <v>102</v>
      </c>
      <c r="BL56" t="s">
        <v>890</v>
      </c>
      <c r="BM56" t="s">
        <v>1403</v>
      </c>
      <c r="BN56" t="s">
        <v>74</v>
      </c>
      <c r="BO56" t="s">
        <v>74</v>
      </c>
      <c r="BP56" t="s">
        <v>74</v>
      </c>
      <c r="BQ56" t="s">
        <v>74</v>
      </c>
      <c r="BR56" t="s">
        <v>106</v>
      </c>
      <c r="BS56" t="s">
        <v>1404</v>
      </c>
      <c r="BT56" t="str">
        <f>HYPERLINK("https%3A%2F%2Fwww.webofscience.com%2Fwos%2Fwoscc%2Ffull-record%2FWOS:000335275500018","View Full Record in Web of Science")</f>
        <v>View Full Record in Web of Science</v>
      </c>
    </row>
    <row r="57" spans="1:72" x14ac:dyDescent="0.2">
      <c r="A57" t="s">
        <v>72</v>
      </c>
      <c r="B57" t="s">
        <v>1405</v>
      </c>
      <c r="C57" t="s">
        <v>74</v>
      </c>
      <c r="D57" t="s">
        <v>74</v>
      </c>
      <c r="E57" t="s">
        <v>74</v>
      </c>
      <c r="F57" t="s">
        <v>1406</v>
      </c>
      <c r="G57" t="s">
        <v>74</v>
      </c>
      <c r="H57" t="s">
        <v>74</v>
      </c>
      <c r="I57" t="s">
        <v>1407</v>
      </c>
      <c r="J57" t="s">
        <v>1408</v>
      </c>
      <c r="K57" t="s">
        <v>74</v>
      </c>
      <c r="L57" t="s">
        <v>74</v>
      </c>
      <c r="M57" t="s">
        <v>78</v>
      </c>
      <c r="N57" t="s">
        <v>79</v>
      </c>
      <c r="O57" t="s">
        <v>74</v>
      </c>
      <c r="P57" t="s">
        <v>74</v>
      </c>
      <c r="Q57" t="s">
        <v>74</v>
      </c>
      <c r="R57" t="s">
        <v>74</v>
      </c>
      <c r="S57" t="s">
        <v>74</v>
      </c>
      <c r="T57" t="s">
        <v>1409</v>
      </c>
      <c r="U57" t="s">
        <v>1410</v>
      </c>
      <c r="V57" t="s">
        <v>1411</v>
      </c>
      <c r="W57" t="s">
        <v>1412</v>
      </c>
      <c r="X57" t="s">
        <v>1413</v>
      </c>
      <c r="Y57" t="s">
        <v>1414</v>
      </c>
      <c r="Z57" t="s">
        <v>1415</v>
      </c>
      <c r="AA57" t="s">
        <v>1416</v>
      </c>
      <c r="AB57" t="s">
        <v>74</v>
      </c>
      <c r="AC57" t="s">
        <v>74</v>
      </c>
      <c r="AD57" t="s">
        <v>74</v>
      </c>
      <c r="AE57" t="s">
        <v>74</v>
      </c>
      <c r="AF57" t="s">
        <v>74</v>
      </c>
      <c r="AG57">
        <v>12</v>
      </c>
      <c r="AH57">
        <v>0</v>
      </c>
      <c r="AI57">
        <v>0</v>
      </c>
      <c r="AJ57">
        <v>1</v>
      </c>
      <c r="AK57">
        <v>11</v>
      </c>
      <c r="AL57" t="s">
        <v>1417</v>
      </c>
      <c r="AM57" t="s">
        <v>1418</v>
      </c>
      <c r="AN57" t="s">
        <v>1419</v>
      </c>
      <c r="AO57" t="s">
        <v>1420</v>
      </c>
      <c r="AP57" t="s">
        <v>1421</v>
      </c>
      <c r="AQ57" t="s">
        <v>74</v>
      </c>
      <c r="AR57" t="s">
        <v>1422</v>
      </c>
      <c r="AS57" t="s">
        <v>1423</v>
      </c>
      <c r="AT57" t="s">
        <v>227</v>
      </c>
      <c r="AU57">
        <v>2022</v>
      </c>
      <c r="AV57">
        <v>92</v>
      </c>
      <c r="AW57">
        <v>1</v>
      </c>
      <c r="AX57" t="s">
        <v>74</v>
      </c>
      <c r="AY57" t="s">
        <v>74</v>
      </c>
      <c r="AZ57" t="s">
        <v>74</v>
      </c>
      <c r="BA57" t="s">
        <v>74</v>
      </c>
      <c r="BB57">
        <v>18</v>
      </c>
      <c r="BC57">
        <v>21</v>
      </c>
      <c r="BD57" t="s">
        <v>74</v>
      </c>
      <c r="BE57" t="s">
        <v>1424</v>
      </c>
      <c r="BF57" t="str">
        <f>HYPERLINK("http://dx.doi.org/10.56093/ijas.v92i1.120880","http://dx.doi.org/10.56093/ijas.v92i1.120880")</f>
        <v>http://dx.doi.org/10.56093/ijas.v92i1.120880</v>
      </c>
      <c r="BG57" t="s">
        <v>74</v>
      </c>
      <c r="BH57" t="s">
        <v>74</v>
      </c>
      <c r="BI57">
        <v>4</v>
      </c>
      <c r="BJ57" t="s">
        <v>101</v>
      </c>
      <c r="BK57" t="s">
        <v>102</v>
      </c>
      <c r="BL57" t="s">
        <v>103</v>
      </c>
      <c r="BM57" t="s">
        <v>1425</v>
      </c>
      <c r="BN57" t="s">
        <v>74</v>
      </c>
      <c r="BO57" t="s">
        <v>231</v>
      </c>
      <c r="BP57" t="s">
        <v>74</v>
      </c>
      <c r="BQ57" t="s">
        <v>74</v>
      </c>
      <c r="BR57" t="s">
        <v>106</v>
      </c>
      <c r="BS57" t="s">
        <v>1426</v>
      </c>
      <c r="BT57" t="str">
        <f>HYPERLINK("https%3A%2F%2Fwww.webofscience.com%2Fwos%2Fwoscc%2Ffull-record%2FWOS:000897368400004","View Full Record in Web of Science")</f>
        <v>View Full Record in Web of Science</v>
      </c>
    </row>
    <row r="58" spans="1:72" x14ac:dyDescent="0.2">
      <c r="A58" t="s">
        <v>72</v>
      </c>
      <c r="B58" t="s">
        <v>1427</v>
      </c>
      <c r="C58" t="s">
        <v>74</v>
      </c>
      <c r="D58" t="s">
        <v>74</v>
      </c>
      <c r="E58" t="s">
        <v>74</v>
      </c>
      <c r="F58" t="s">
        <v>1428</v>
      </c>
      <c r="G58" t="s">
        <v>74</v>
      </c>
      <c r="H58" t="s">
        <v>74</v>
      </c>
      <c r="I58" t="s">
        <v>1429</v>
      </c>
      <c r="J58" t="s">
        <v>1430</v>
      </c>
      <c r="K58" t="s">
        <v>74</v>
      </c>
      <c r="L58" t="s">
        <v>74</v>
      </c>
      <c r="M58" t="s">
        <v>78</v>
      </c>
      <c r="N58" t="s">
        <v>79</v>
      </c>
      <c r="O58" t="s">
        <v>74</v>
      </c>
      <c r="P58" t="s">
        <v>74</v>
      </c>
      <c r="Q58" t="s">
        <v>74</v>
      </c>
      <c r="R58" t="s">
        <v>74</v>
      </c>
      <c r="S58" t="s">
        <v>74</v>
      </c>
      <c r="T58" t="s">
        <v>1431</v>
      </c>
      <c r="U58" t="s">
        <v>1432</v>
      </c>
      <c r="V58" t="s">
        <v>1433</v>
      </c>
      <c r="W58" t="s">
        <v>1434</v>
      </c>
      <c r="X58" t="s">
        <v>1435</v>
      </c>
      <c r="Y58" t="s">
        <v>1436</v>
      </c>
      <c r="Z58" t="s">
        <v>1437</v>
      </c>
      <c r="AA58" t="s">
        <v>1438</v>
      </c>
      <c r="AB58" t="s">
        <v>1439</v>
      </c>
      <c r="AC58" t="s">
        <v>74</v>
      </c>
      <c r="AD58" t="s">
        <v>74</v>
      </c>
      <c r="AE58" t="s">
        <v>74</v>
      </c>
      <c r="AF58" t="s">
        <v>74</v>
      </c>
      <c r="AG58">
        <v>32</v>
      </c>
      <c r="AH58">
        <v>0</v>
      </c>
      <c r="AI58">
        <v>0</v>
      </c>
      <c r="AJ58">
        <v>3</v>
      </c>
      <c r="AK58">
        <v>7</v>
      </c>
      <c r="AL58" t="s">
        <v>504</v>
      </c>
      <c r="AM58" t="s">
        <v>676</v>
      </c>
      <c r="AN58" t="s">
        <v>677</v>
      </c>
      <c r="AO58" t="s">
        <v>1440</v>
      </c>
      <c r="AP58" t="s">
        <v>1441</v>
      </c>
      <c r="AQ58" t="s">
        <v>74</v>
      </c>
      <c r="AR58" t="s">
        <v>1442</v>
      </c>
      <c r="AS58" t="s">
        <v>1443</v>
      </c>
      <c r="AT58" t="s">
        <v>459</v>
      </c>
      <c r="AU58">
        <v>2025</v>
      </c>
      <c r="AV58">
        <v>67</v>
      </c>
      <c r="AW58">
        <v>1</v>
      </c>
      <c r="AX58" t="s">
        <v>74</v>
      </c>
      <c r="AY58" t="s">
        <v>74</v>
      </c>
      <c r="AZ58" t="s">
        <v>74</v>
      </c>
      <c r="BA58" t="s">
        <v>74</v>
      </c>
      <c r="BB58" t="s">
        <v>74</v>
      </c>
      <c r="BC58" t="s">
        <v>74</v>
      </c>
      <c r="BD58">
        <v>1</v>
      </c>
      <c r="BE58" t="s">
        <v>1444</v>
      </c>
      <c r="BF58" t="str">
        <f>HYPERLINK("http://dx.doi.org/10.1007/s10341-024-01225-2","http://dx.doi.org/10.1007/s10341-024-01225-2")</f>
        <v>http://dx.doi.org/10.1007/s10341-024-01225-2</v>
      </c>
      <c r="BG58" t="s">
        <v>74</v>
      </c>
      <c r="BH58" t="s">
        <v>74</v>
      </c>
      <c r="BI58">
        <v>10</v>
      </c>
      <c r="BJ58" t="s">
        <v>1445</v>
      </c>
      <c r="BK58" t="s">
        <v>102</v>
      </c>
      <c r="BL58" t="s">
        <v>103</v>
      </c>
      <c r="BM58" t="s">
        <v>1446</v>
      </c>
      <c r="BN58" t="s">
        <v>74</v>
      </c>
      <c r="BO58" t="s">
        <v>74</v>
      </c>
      <c r="BP58" t="s">
        <v>74</v>
      </c>
      <c r="BQ58" t="s">
        <v>74</v>
      </c>
      <c r="BR58" t="s">
        <v>106</v>
      </c>
      <c r="BS58" t="s">
        <v>1447</v>
      </c>
      <c r="BT58" t="str">
        <f>HYPERLINK("https%3A%2F%2Fwww.webofscience.com%2Fwos%2Fwoscc%2Ffull-record%2FWOS:001385752200001","View Full Record in Web of Science")</f>
        <v>View Full Record in Web of Science</v>
      </c>
    </row>
    <row r="59" spans="1:72" x14ac:dyDescent="0.2">
      <c r="A59" t="s">
        <v>72</v>
      </c>
      <c r="B59" t="s">
        <v>1448</v>
      </c>
      <c r="C59" t="s">
        <v>74</v>
      </c>
      <c r="D59" t="s">
        <v>74</v>
      </c>
      <c r="E59" t="s">
        <v>74</v>
      </c>
      <c r="F59" t="s">
        <v>1449</v>
      </c>
      <c r="G59" t="s">
        <v>74</v>
      </c>
      <c r="H59" t="s">
        <v>74</v>
      </c>
      <c r="I59" t="s">
        <v>1450</v>
      </c>
      <c r="J59" t="s">
        <v>1451</v>
      </c>
      <c r="K59" t="s">
        <v>74</v>
      </c>
      <c r="L59" t="s">
        <v>74</v>
      </c>
      <c r="M59" t="s">
        <v>78</v>
      </c>
      <c r="N59" t="s">
        <v>79</v>
      </c>
      <c r="O59" t="s">
        <v>74</v>
      </c>
      <c r="P59" t="s">
        <v>74</v>
      </c>
      <c r="Q59" t="s">
        <v>74</v>
      </c>
      <c r="R59" t="s">
        <v>74</v>
      </c>
      <c r="S59" t="s">
        <v>74</v>
      </c>
      <c r="T59" t="s">
        <v>1452</v>
      </c>
      <c r="U59" t="s">
        <v>1453</v>
      </c>
      <c r="V59" t="s">
        <v>1454</v>
      </c>
      <c r="W59" t="s">
        <v>1455</v>
      </c>
      <c r="X59" t="s">
        <v>1456</v>
      </c>
      <c r="Y59" t="s">
        <v>1457</v>
      </c>
      <c r="Z59" t="s">
        <v>1458</v>
      </c>
      <c r="AA59" t="s">
        <v>1459</v>
      </c>
      <c r="AB59" t="s">
        <v>1460</v>
      </c>
      <c r="AC59" t="s">
        <v>1461</v>
      </c>
      <c r="AD59" t="s">
        <v>1462</v>
      </c>
      <c r="AE59" t="s">
        <v>1463</v>
      </c>
      <c r="AF59" t="s">
        <v>74</v>
      </c>
      <c r="AG59">
        <v>109</v>
      </c>
      <c r="AH59">
        <v>14</v>
      </c>
      <c r="AI59">
        <v>20</v>
      </c>
      <c r="AJ59">
        <v>18</v>
      </c>
      <c r="AK59">
        <v>103</v>
      </c>
      <c r="AL59" t="s">
        <v>123</v>
      </c>
      <c r="AM59" t="s">
        <v>124</v>
      </c>
      <c r="AN59" t="s">
        <v>125</v>
      </c>
      <c r="AO59" t="s">
        <v>1464</v>
      </c>
      <c r="AP59" t="s">
        <v>1465</v>
      </c>
      <c r="AQ59" t="s">
        <v>74</v>
      </c>
      <c r="AR59" t="s">
        <v>1466</v>
      </c>
      <c r="AS59" t="s">
        <v>1467</v>
      </c>
      <c r="AT59" t="s">
        <v>1468</v>
      </c>
      <c r="AU59">
        <v>2023</v>
      </c>
      <c r="AV59">
        <v>348</v>
      </c>
      <c r="AW59" t="s">
        <v>74</v>
      </c>
      <c r="AX59" t="s">
        <v>74</v>
      </c>
      <c r="AY59" t="s">
        <v>74</v>
      </c>
      <c r="AZ59" t="s">
        <v>74</v>
      </c>
      <c r="BA59" t="s">
        <v>74</v>
      </c>
      <c r="BB59" t="s">
        <v>74</v>
      </c>
      <c r="BC59" t="s">
        <v>74</v>
      </c>
      <c r="BD59">
        <v>108406</v>
      </c>
      <c r="BE59" t="s">
        <v>1469</v>
      </c>
      <c r="BF59" t="str">
        <f>HYPERLINK("http://dx.doi.org/10.1016/j.agee.2023.108406","http://dx.doi.org/10.1016/j.agee.2023.108406")</f>
        <v>http://dx.doi.org/10.1016/j.agee.2023.108406</v>
      </c>
      <c r="BG59" t="s">
        <v>74</v>
      </c>
      <c r="BH59" t="s">
        <v>1250</v>
      </c>
      <c r="BI59">
        <v>13</v>
      </c>
      <c r="BJ59" t="s">
        <v>1470</v>
      </c>
      <c r="BK59" t="s">
        <v>102</v>
      </c>
      <c r="BL59" t="s">
        <v>1471</v>
      </c>
      <c r="BM59" t="s">
        <v>1472</v>
      </c>
      <c r="BN59" t="s">
        <v>74</v>
      </c>
      <c r="BO59" t="s">
        <v>74</v>
      </c>
      <c r="BP59" t="s">
        <v>74</v>
      </c>
      <c r="BQ59" t="s">
        <v>74</v>
      </c>
      <c r="BR59" t="s">
        <v>106</v>
      </c>
      <c r="BS59" t="s">
        <v>1473</v>
      </c>
      <c r="BT59" t="str">
        <f>HYPERLINK("https%3A%2F%2Fwww.webofscience.com%2Fwos%2Fwoscc%2Ffull-record%2FWOS:001001284900001","View Full Record in Web of Science")</f>
        <v>View Full Record in Web of Science</v>
      </c>
    </row>
    <row r="60" spans="1:72" x14ac:dyDescent="0.2">
      <c r="A60" t="s">
        <v>72</v>
      </c>
      <c r="B60" t="s">
        <v>1474</v>
      </c>
      <c r="C60" t="s">
        <v>74</v>
      </c>
      <c r="D60" t="s">
        <v>74</v>
      </c>
      <c r="E60" t="s">
        <v>74</v>
      </c>
      <c r="F60" t="s">
        <v>1475</v>
      </c>
      <c r="G60" t="s">
        <v>74</v>
      </c>
      <c r="H60" t="s">
        <v>74</v>
      </c>
      <c r="I60" t="s">
        <v>1476</v>
      </c>
      <c r="J60" t="s">
        <v>1477</v>
      </c>
      <c r="K60" t="s">
        <v>74</v>
      </c>
      <c r="L60" t="s">
        <v>74</v>
      </c>
      <c r="M60" t="s">
        <v>78</v>
      </c>
      <c r="N60" t="s">
        <v>79</v>
      </c>
      <c r="O60" t="s">
        <v>74</v>
      </c>
      <c r="P60" t="s">
        <v>74</v>
      </c>
      <c r="Q60" t="s">
        <v>74</v>
      </c>
      <c r="R60" t="s">
        <v>74</v>
      </c>
      <c r="S60" t="s">
        <v>74</v>
      </c>
      <c r="T60" t="s">
        <v>1478</v>
      </c>
      <c r="U60" t="s">
        <v>1479</v>
      </c>
      <c r="V60" t="s">
        <v>1480</v>
      </c>
      <c r="W60" t="s">
        <v>1481</v>
      </c>
      <c r="X60" t="s">
        <v>1482</v>
      </c>
      <c r="Y60" t="s">
        <v>1483</v>
      </c>
      <c r="Z60" t="s">
        <v>1484</v>
      </c>
      <c r="AA60" t="s">
        <v>1485</v>
      </c>
      <c r="AB60" t="s">
        <v>1486</v>
      </c>
      <c r="AC60" t="s">
        <v>1487</v>
      </c>
      <c r="AD60" t="s">
        <v>1488</v>
      </c>
      <c r="AE60" t="s">
        <v>1489</v>
      </c>
      <c r="AF60" t="s">
        <v>74</v>
      </c>
      <c r="AG60">
        <v>47</v>
      </c>
      <c r="AH60">
        <v>5</v>
      </c>
      <c r="AI60">
        <v>5</v>
      </c>
      <c r="AJ60">
        <v>7</v>
      </c>
      <c r="AK60">
        <v>14</v>
      </c>
      <c r="AL60" t="s">
        <v>934</v>
      </c>
      <c r="AM60" t="s">
        <v>177</v>
      </c>
      <c r="AN60" t="s">
        <v>935</v>
      </c>
      <c r="AO60" t="s">
        <v>1490</v>
      </c>
      <c r="AP60" t="s">
        <v>1491</v>
      </c>
      <c r="AQ60" t="s">
        <v>74</v>
      </c>
      <c r="AR60" t="s">
        <v>1492</v>
      </c>
      <c r="AS60" t="s">
        <v>1493</v>
      </c>
      <c r="AT60" t="s">
        <v>912</v>
      </c>
      <c r="AU60">
        <v>2025</v>
      </c>
      <c r="AV60">
        <v>213</v>
      </c>
      <c r="AW60" t="s">
        <v>74</v>
      </c>
      <c r="AX60" t="s">
        <v>74</v>
      </c>
      <c r="AY60" t="s">
        <v>74</v>
      </c>
      <c r="AZ60" t="s">
        <v>74</v>
      </c>
      <c r="BA60" t="s">
        <v>74</v>
      </c>
      <c r="BB60" t="s">
        <v>74</v>
      </c>
      <c r="BC60" t="s">
        <v>74</v>
      </c>
      <c r="BD60">
        <v>115417</v>
      </c>
      <c r="BE60" t="s">
        <v>1494</v>
      </c>
      <c r="BF60" t="str">
        <f>HYPERLINK("http://dx.doi.org/10.1016/j.rser.2025.115417","http://dx.doi.org/10.1016/j.rser.2025.115417")</f>
        <v>http://dx.doi.org/10.1016/j.rser.2025.115417</v>
      </c>
      <c r="BG60" t="s">
        <v>74</v>
      </c>
      <c r="BH60" t="s">
        <v>1495</v>
      </c>
      <c r="BI60">
        <v>11</v>
      </c>
      <c r="BJ60" t="s">
        <v>1496</v>
      </c>
      <c r="BK60" t="s">
        <v>102</v>
      </c>
      <c r="BL60" t="s">
        <v>1497</v>
      </c>
      <c r="BM60" t="s">
        <v>1498</v>
      </c>
      <c r="BN60" t="s">
        <v>74</v>
      </c>
      <c r="BO60" t="s">
        <v>74</v>
      </c>
      <c r="BP60" t="s">
        <v>74</v>
      </c>
      <c r="BQ60" t="s">
        <v>74</v>
      </c>
      <c r="BR60" t="s">
        <v>106</v>
      </c>
      <c r="BS60" t="s">
        <v>1499</v>
      </c>
      <c r="BT60" t="str">
        <f>HYPERLINK("https%3A%2F%2Fwww.webofscience.com%2Fwos%2Fwoscc%2Ffull-record%2FWOS:001423841600001","View Full Record in Web of Science")</f>
        <v>View Full Record in Web of Science</v>
      </c>
    </row>
    <row r="61" spans="1:72" x14ac:dyDescent="0.2">
      <c r="A61" t="s">
        <v>72</v>
      </c>
      <c r="B61" t="s">
        <v>1500</v>
      </c>
      <c r="C61" t="s">
        <v>74</v>
      </c>
      <c r="D61" t="s">
        <v>74</v>
      </c>
      <c r="E61" t="s">
        <v>74</v>
      </c>
      <c r="F61" t="s">
        <v>1501</v>
      </c>
      <c r="G61" t="s">
        <v>74</v>
      </c>
      <c r="H61" t="s">
        <v>74</v>
      </c>
      <c r="I61" t="s">
        <v>1502</v>
      </c>
      <c r="J61" t="s">
        <v>1503</v>
      </c>
      <c r="K61" t="s">
        <v>74</v>
      </c>
      <c r="L61" t="s">
        <v>74</v>
      </c>
      <c r="M61" t="s">
        <v>78</v>
      </c>
      <c r="N61" t="s">
        <v>79</v>
      </c>
      <c r="O61" t="s">
        <v>74</v>
      </c>
      <c r="P61" t="s">
        <v>74</v>
      </c>
      <c r="Q61" t="s">
        <v>74</v>
      </c>
      <c r="R61" t="s">
        <v>74</v>
      </c>
      <c r="S61" t="s">
        <v>74</v>
      </c>
      <c r="T61" t="s">
        <v>1504</v>
      </c>
      <c r="U61" t="s">
        <v>1505</v>
      </c>
      <c r="V61" t="s">
        <v>1506</v>
      </c>
      <c r="W61" t="s">
        <v>1507</v>
      </c>
      <c r="X61" t="s">
        <v>1508</v>
      </c>
      <c r="Y61" t="s">
        <v>1509</v>
      </c>
      <c r="Z61" t="s">
        <v>1510</v>
      </c>
      <c r="AA61" t="s">
        <v>1511</v>
      </c>
      <c r="AB61" t="s">
        <v>74</v>
      </c>
      <c r="AC61" t="s">
        <v>1512</v>
      </c>
      <c r="AD61" t="s">
        <v>1512</v>
      </c>
      <c r="AE61" t="s">
        <v>1513</v>
      </c>
      <c r="AF61" t="s">
        <v>74</v>
      </c>
      <c r="AG61">
        <v>57</v>
      </c>
      <c r="AH61">
        <v>0</v>
      </c>
      <c r="AI61">
        <v>0</v>
      </c>
      <c r="AJ61">
        <v>5</v>
      </c>
      <c r="AK61">
        <v>5</v>
      </c>
      <c r="AL61" t="s">
        <v>247</v>
      </c>
      <c r="AM61" t="s">
        <v>248</v>
      </c>
      <c r="AN61" t="s">
        <v>249</v>
      </c>
      <c r="AO61" t="s">
        <v>1514</v>
      </c>
      <c r="AP61" t="s">
        <v>1515</v>
      </c>
      <c r="AQ61" t="s">
        <v>74</v>
      </c>
      <c r="AR61" t="s">
        <v>1516</v>
      </c>
      <c r="AS61" t="s">
        <v>1517</v>
      </c>
      <c r="AT61" t="s">
        <v>1518</v>
      </c>
      <c r="AU61">
        <v>2025</v>
      </c>
      <c r="AV61">
        <v>211</v>
      </c>
      <c r="AW61">
        <v>6</v>
      </c>
      <c r="AX61" t="s">
        <v>74</v>
      </c>
      <c r="AY61" t="s">
        <v>74</v>
      </c>
      <c r="AZ61" t="s">
        <v>74</v>
      </c>
      <c r="BA61" t="s">
        <v>74</v>
      </c>
      <c r="BB61" t="s">
        <v>74</v>
      </c>
      <c r="BC61" t="s">
        <v>74</v>
      </c>
      <c r="BD61" t="s">
        <v>1519</v>
      </c>
      <c r="BE61" t="s">
        <v>1520</v>
      </c>
      <c r="BF61" t="str">
        <f>HYPERLINK("http://dx.doi.org/10.1111/jac.70120","http://dx.doi.org/10.1111/jac.70120")</f>
        <v>http://dx.doi.org/10.1111/jac.70120</v>
      </c>
      <c r="BG61" t="s">
        <v>74</v>
      </c>
      <c r="BH61" t="s">
        <v>74</v>
      </c>
      <c r="BI61">
        <v>12</v>
      </c>
      <c r="BJ61" t="s">
        <v>1357</v>
      </c>
      <c r="BK61" t="s">
        <v>102</v>
      </c>
      <c r="BL61" t="s">
        <v>103</v>
      </c>
      <c r="BM61" t="s">
        <v>1521</v>
      </c>
      <c r="BN61" t="s">
        <v>74</v>
      </c>
      <c r="BO61" t="s">
        <v>74</v>
      </c>
      <c r="BP61" t="s">
        <v>74</v>
      </c>
      <c r="BQ61" t="s">
        <v>74</v>
      </c>
      <c r="BR61" t="s">
        <v>106</v>
      </c>
      <c r="BS61" t="s">
        <v>1522</v>
      </c>
      <c r="BT61" t="str">
        <f>HYPERLINK("https%3A%2F%2Fwww.webofscience.com%2Fwos%2Fwoscc%2Ffull-record%2FWOS:001586674000001","View Full Record in Web of Science")</f>
        <v>View Full Record in Web of Science</v>
      </c>
    </row>
    <row r="62" spans="1:72" x14ac:dyDescent="0.2">
      <c r="A62" t="s">
        <v>72</v>
      </c>
      <c r="B62" t="s">
        <v>1523</v>
      </c>
      <c r="C62" t="s">
        <v>74</v>
      </c>
      <c r="D62" t="s">
        <v>74</v>
      </c>
      <c r="E62" t="s">
        <v>74</v>
      </c>
      <c r="F62" t="s">
        <v>1524</v>
      </c>
      <c r="G62" t="s">
        <v>74</v>
      </c>
      <c r="H62" t="s">
        <v>74</v>
      </c>
      <c r="I62" t="s">
        <v>1525</v>
      </c>
      <c r="J62" t="s">
        <v>1526</v>
      </c>
      <c r="K62" t="s">
        <v>74</v>
      </c>
      <c r="L62" t="s">
        <v>74</v>
      </c>
      <c r="M62" t="s">
        <v>78</v>
      </c>
      <c r="N62" t="s">
        <v>79</v>
      </c>
      <c r="O62" t="s">
        <v>74</v>
      </c>
      <c r="P62" t="s">
        <v>74</v>
      </c>
      <c r="Q62" t="s">
        <v>74</v>
      </c>
      <c r="R62" t="s">
        <v>74</v>
      </c>
      <c r="S62" t="s">
        <v>74</v>
      </c>
      <c r="T62" t="s">
        <v>1527</v>
      </c>
      <c r="U62" t="s">
        <v>1528</v>
      </c>
      <c r="V62" t="s">
        <v>1529</v>
      </c>
      <c r="W62" t="s">
        <v>1530</v>
      </c>
      <c r="X62" t="s">
        <v>1531</v>
      </c>
      <c r="Y62" t="s">
        <v>1532</v>
      </c>
      <c r="Z62" t="s">
        <v>1533</v>
      </c>
      <c r="AA62" t="s">
        <v>1534</v>
      </c>
      <c r="AB62" t="s">
        <v>74</v>
      </c>
      <c r="AC62" t="s">
        <v>1535</v>
      </c>
      <c r="AD62" t="s">
        <v>1536</v>
      </c>
      <c r="AE62" t="s">
        <v>1537</v>
      </c>
      <c r="AF62" t="s">
        <v>74</v>
      </c>
      <c r="AG62">
        <v>43</v>
      </c>
      <c r="AH62">
        <v>60</v>
      </c>
      <c r="AI62">
        <v>73</v>
      </c>
      <c r="AJ62">
        <v>16</v>
      </c>
      <c r="AK62">
        <v>306</v>
      </c>
      <c r="AL62" t="s">
        <v>176</v>
      </c>
      <c r="AM62" t="s">
        <v>177</v>
      </c>
      <c r="AN62" t="s">
        <v>178</v>
      </c>
      <c r="AO62" t="s">
        <v>1538</v>
      </c>
      <c r="AP62" t="s">
        <v>1539</v>
      </c>
      <c r="AQ62" t="s">
        <v>74</v>
      </c>
      <c r="AR62" t="s">
        <v>1540</v>
      </c>
      <c r="AS62" t="s">
        <v>1541</v>
      </c>
      <c r="AT62" t="s">
        <v>960</v>
      </c>
      <c r="AU62">
        <v>2020</v>
      </c>
      <c r="AV62">
        <v>245</v>
      </c>
      <c r="AW62" t="s">
        <v>74</v>
      </c>
      <c r="AX62" t="s">
        <v>74</v>
      </c>
      <c r="AY62" t="s">
        <v>74</v>
      </c>
      <c r="AZ62" t="s">
        <v>74</v>
      </c>
      <c r="BA62" t="s">
        <v>74</v>
      </c>
      <c r="BB62" t="s">
        <v>74</v>
      </c>
      <c r="BC62" t="s">
        <v>74</v>
      </c>
      <c r="BD62">
        <v>118873</v>
      </c>
      <c r="BE62" t="s">
        <v>1542</v>
      </c>
      <c r="BF62" t="str">
        <f>HYPERLINK("http://dx.doi.org/10.1016/j.jclepro.2019.118873","http://dx.doi.org/10.1016/j.jclepro.2019.118873")</f>
        <v>http://dx.doi.org/10.1016/j.jclepro.2019.118873</v>
      </c>
      <c r="BG62" t="s">
        <v>74</v>
      </c>
      <c r="BH62" t="s">
        <v>74</v>
      </c>
      <c r="BI62">
        <v>13</v>
      </c>
      <c r="BJ62" t="s">
        <v>1543</v>
      </c>
      <c r="BK62" t="s">
        <v>186</v>
      </c>
      <c r="BL62" t="s">
        <v>1544</v>
      </c>
      <c r="BM62" t="s">
        <v>1545</v>
      </c>
      <c r="BN62" t="s">
        <v>74</v>
      </c>
      <c r="BO62" t="s">
        <v>74</v>
      </c>
      <c r="BP62" t="s">
        <v>74</v>
      </c>
      <c r="BQ62" t="s">
        <v>74</v>
      </c>
      <c r="BR62" t="s">
        <v>106</v>
      </c>
      <c r="BS62" t="s">
        <v>1546</v>
      </c>
      <c r="BT62" t="str">
        <f>HYPERLINK("https%3A%2F%2Fwww.webofscience.com%2Fwos%2Fwoscc%2Ffull-record%2FWOS:000503739400103","View Full Record in Web of Science")</f>
        <v>View Full Record in Web of Science</v>
      </c>
    </row>
    <row r="63" spans="1:72" x14ac:dyDescent="0.2">
      <c r="A63" t="s">
        <v>72</v>
      </c>
      <c r="B63" t="s">
        <v>1547</v>
      </c>
      <c r="C63" t="s">
        <v>74</v>
      </c>
      <c r="D63" t="s">
        <v>74</v>
      </c>
      <c r="E63" t="s">
        <v>74</v>
      </c>
      <c r="F63" t="s">
        <v>1548</v>
      </c>
      <c r="G63" t="s">
        <v>74</v>
      </c>
      <c r="H63" t="s">
        <v>74</v>
      </c>
      <c r="I63" t="s">
        <v>1549</v>
      </c>
      <c r="J63" t="s">
        <v>1344</v>
      </c>
      <c r="K63" t="s">
        <v>74</v>
      </c>
      <c r="L63" t="s">
        <v>74</v>
      </c>
      <c r="M63" t="s">
        <v>78</v>
      </c>
      <c r="N63" t="s">
        <v>79</v>
      </c>
      <c r="O63" t="s">
        <v>74</v>
      </c>
      <c r="P63" t="s">
        <v>74</v>
      </c>
      <c r="Q63" t="s">
        <v>74</v>
      </c>
      <c r="R63" t="s">
        <v>74</v>
      </c>
      <c r="S63" t="s">
        <v>74</v>
      </c>
      <c r="T63" t="s">
        <v>1550</v>
      </c>
      <c r="U63" t="s">
        <v>1551</v>
      </c>
      <c r="V63" t="s">
        <v>1552</v>
      </c>
      <c r="W63" t="s">
        <v>1553</v>
      </c>
      <c r="X63" t="s">
        <v>1554</v>
      </c>
      <c r="Y63" t="s">
        <v>1555</v>
      </c>
      <c r="Z63" t="s">
        <v>1556</v>
      </c>
      <c r="AA63" t="s">
        <v>74</v>
      </c>
      <c r="AB63" t="s">
        <v>1557</v>
      </c>
      <c r="AC63" t="s">
        <v>74</v>
      </c>
      <c r="AD63" t="s">
        <v>74</v>
      </c>
      <c r="AE63" t="s">
        <v>74</v>
      </c>
      <c r="AF63" t="s">
        <v>74</v>
      </c>
      <c r="AG63">
        <v>70</v>
      </c>
      <c r="AH63">
        <v>15</v>
      </c>
      <c r="AI63">
        <v>15</v>
      </c>
      <c r="AJ63">
        <v>2</v>
      </c>
      <c r="AK63">
        <v>26</v>
      </c>
      <c r="AL63" t="s">
        <v>222</v>
      </c>
      <c r="AM63" t="s">
        <v>223</v>
      </c>
      <c r="AN63" t="s">
        <v>478</v>
      </c>
      <c r="AO63" t="s">
        <v>74</v>
      </c>
      <c r="AP63" t="s">
        <v>1354</v>
      </c>
      <c r="AQ63" t="s">
        <v>74</v>
      </c>
      <c r="AR63" t="s">
        <v>1344</v>
      </c>
      <c r="AS63" t="s">
        <v>1355</v>
      </c>
      <c r="AT63" t="s">
        <v>805</v>
      </c>
      <c r="AU63">
        <v>2020</v>
      </c>
      <c r="AV63">
        <v>10</v>
      </c>
      <c r="AW63">
        <v>11</v>
      </c>
      <c r="AX63" t="s">
        <v>74</v>
      </c>
      <c r="AY63" t="s">
        <v>74</v>
      </c>
      <c r="AZ63" t="s">
        <v>74</v>
      </c>
      <c r="BA63" t="s">
        <v>74</v>
      </c>
      <c r="BB63" t="s">
        <v>74</v>
      </c>
      <c r="BC63" t="s">
        <v>74</v>
      </c>
      <c r="BD63">
        <v>549</v>
      </c>
      <c r="BE63" t="s">
        <v>1558</v>
      </c>
      <c r="BF63" t="str">
        <f>HYPERLINK("http://dx.doi.org/10.3390/agriculture10110549","http://dx.doi.org/10.3390/agriculture10110549")</f>
        <v>http://dx.doi.org/10.3390/agriculture10110549</v>
      </c>
      <c r="BG63" t="s">
        <v>74</v>
      </c>
      <c r="BH63" t="s">
        <v>74</v>
      </c>
      <c r="BI63">
        <v>13</v>
      </c>
      <c r="BJ63" t="s">
        <v>1357</v>
      </c>
      <c r="BK63" t="s">
        <v>186</v>
      </c>
      <c r="BL63" t="s">
        <v>103</v>
      </c>
      <c r="BM63" t="s">
        <v>1559</v>
      </c>
      <c r="BN63" t="s">
        <v>74</v>
      </c>
      <c r="BO63" t="s">
        <v>161</v>
      </c>
      <c r="BP63" t="s">
        <v>74</v>
      </c>
      <c r="BQ63" t="s">
        <v>74</v>
      </c>
      <c r="BR63" t="s">
        <v>106</v>
      </c>
      <c r="BS63" t="s">
        <v>1560</v>
      </c>
      <c r="BT63" t="str">
        <f>HYPERLINK("https%3A%2F%2Fwww.webofscience.com%2Fwos%2Fwoscc%2Ffull-record%2FWOS:000592366900001","View Full Record in Web of Science")</f>
        <v>View Full Record in Web of Science</v>
      </c>
    </row>
    <row r="64" spans="1:72" x14ac:dyDescent="0.2">
      <c r="A64" t="s">
        <v>72</v>
      </c>
      <c r="B64" t="s">
        <v>1561</v>
      </c>
      <c r="C64" t="s">
        <v>74</v>
      </c>
      <c r="D64" t="s">
        <v>74</v>
      </c>
      <c r="E64" t="s">
        <v>74</v>
      </c>
      <c r="F64" t="s">
        <v>1562</v>
      </c>
      <c r="G64" t="s">
        <v>74</v>
      </c>
      <c r="H64" t="s">
        <v>74</v>
      </c>
      <c r="I64" t="s">
        <v>1563</v>
      </c>
      <c r="J64" t="s">
        <v>446</v>
      </c>
      <c r="K64" t="s">
        <v>74</v>
      </c>
      <c r="L64" t="s">
        <v>74</v>
      </c>
      <c r="M64" t="s">
        <v>78</v>
      </c>
      <c r="N64" t="s">
        <v>79</v>
      </c>
      <c r="O64" t="s">
        <v>74</v>
      </c>
      <c r="P64" t="s">
        <v>74</v>
      </c>
      <c r="Q64" t="s">
        <v>74</v>
      </c>
      <c r="R64" t="s">
        <v>74</v>
      </c>
      <c r="S64" t="s">
        <v>74</v>
      </c>
      <c r="T64" t="s">
        <v>1564</v>
      </c>
      <c r="U64" t="s">
        <v>1565</v>
      </c>
      <c r="V64" t="s">
        <v>1566</v>
      </c>
      <c r="W64" t="s">
        <v>1567</v>
      </c>
      <c r="X64" t="s">
        <v>1568</v>
      </c>
      <c r="Y64" t="s">
        <v>1569</v>
      </c>
      <c r="Z64" t="s">
        <v>1570</v>
      </c>
      <c r="AA64" t="s">
        <v>1571</v>
      </c>
      <c r="AB64" t="s">
        <v>1572</v>
      </c>
      <c r="AC64" t="s">
        <v>1573</v>
      </c>
      <c r="AD64" t="s">
        <v>1574</v>
      </c>
      <c r="AE64" t="s">
        <v>1575</v>
      </c>
      <c r="AF64" t="s">
        <v>74</v>
      </c>
      <c r="AG64">
        <v>46</v>
      </c>
      <c r="AH64">
        <v>37</v>
      </c>
      <c r="AI64">
        <v>43</v>
      </c>
      <c r="AJ64">
        <v>6</v>
      </c>
      <c r="AK64">
        <v>66</v>
      </c>
      <c r="AL64" t="s">
        <v>222</v>
      </c>
      <c r="AM64" t="s">
        <v>223</v>
      </c>
      <c r="AN64" t="s">
        <v>478</v>
      </c>
      <c r="AO64" t="s">
        <v>74</v>
      </c>
      <c r="AP64" t="s">
        <v>457</v>
      </c>
      <c r="AQ64" t="s">
        <v>74</v>
      </c>
      <c r="AR64" t="s">
        <v>446</v>
      </c>
      <c r="AS64" t="s">
        <v>458</v>
      </c>
      <c r="AT64" t="s">
        <v>1109</v>
      </c>
      <c r="AU64">
        <v>2020</v>
      </c>
      <c r="AV64">
        <v>10</v>
      </c>
      <c r="AW64">
        <v>12</v>
      </c>
      <c r="AX64" t="s">
        <v>74</v>
      </c>
      <c r="AY64" t="s">
        <v>74</v>
      </c>
      <c r="AZ64" t="s">
        <v>74</v>
      </c>
      <c r="BA64" t="s">
        <v>74</v>
      </c>
      <c r="BB64" t="s">
        <v>74</v>
      </c>
      <c r="BC64" t="s">
        <v>74</v>
      </c>
      <c r="BD64">
        <v>1877</v>
      </c>
      <c r="BE64" t="s">
        <v>1576</v>
      </c>
      <c r="BF64" t="str">
        <f>HYPERLINK("http://dx.doi.org/10.3390/agronomy10121877","http://dx.doi.org/10.3390/agronomy10121877")</f>
        <v>http://dx.doi.org/10.3390/agronomy10121877</v>
      </c>
      <c r="BG64" t="s">
        <v>74</v>
      </c>
      <c r="BH64" t="s">
        <v>74</v>
      </c>
      <c r="BI64">
        <v>13</v>
      </c>
      <c r="BJ64" t="s">
        <v>461</v>
      </c>
      <c r="BK64" t="s">
        <v>102</v>
      </c>
      <c r="BL64" t="s">
        <v>462</v>
      </c>
      <c r="BM64" t="s">
        <v>1577</v>
      </c>
      <c r="BN64" t="s">
        <v>74</v>
      </c>
      <c r="BO64" t="s">
        <v>161</v>
      </c>
      <c r="BP64" t="s">
        <v>74</v>
      </c>
      <c r="BQ64" t="s">
        <v>74</v>
      </c>
      <c r="BR64" t="s">
        <v>106</v>
      </c>
      <c r="BS64" t="s">
        <v>1578</v>
      </c>
      <c r="BT64" t="str">
        <f>HYPERLINK("https%3A%2F%2Fwww.webofscience.com%2Fwos%2Fwoscc%2Ffull-record%2FWOS:000601805000001","View Full Record in Web of Science")</f>
        <v>View Full Record in Web of Science</v>
      </c>
    </row>
    <row r="65" spans="1:72" x14ac:dyDescent="0.2">
      <c r="A65" t="s">
        <v>72</v>
      </c>
      <c r="B65" t="s">
        <v>1579</v>
      </c>
      <c r="C65" t="s">
        <v>74</v>
      </c>
      <c r="D65" t="s">
        <v>74</v>
      </c>
      <c r="E65" t="s">
        <v>74</v>
      </c>
      <c r="F65" t="s">
        <v>1580</v>
      </c>
      <c r="G65" t="s">
        <v>74</v>
      </c>
      <c r="H65" t="s">
        <v>74</v>
      </c>
      <c r="I65" t="s">
        <v>1581</v>
      </c>
      <c r="J65" t="s">
        <v>546</v>
      </c>
      <c r="K65" t="s">
        <v>74</v>
      </c>
      <c r="L65" t="s">
        <v>74</v>
      </c>
      <c r="M65" t="s">
        <v>78</v>
      </c>
      <c r="N65" t="s">
        <v>79</v>
      </c>
      <c r="O65" t="s">
        <v>74</v>
      </c>
      <c r="P65" t="s">
        <v>74</v>
      </c>
      <c r="Q65" t="s">
        <v>74</v>
      </c>
      <c r="R65" t="s">
        <v>74</v>
      </c>
      <c r="S65" t="s">
        <v>74</v>
      </c>
      <c r="T65" t="s">
        <v>1582</v>
      </c>
      <c r="U65" t="s">
        <v>1583</v>
      </c>
      <c r="V65" t="s">
        <v>1584</v>
      </c>
      <c r="W65" t="s">
        <v>1585</v>
      </c>
      <c r="X65" t="s">
        <v>1586</v>
      </c>
      <c r="Y65" t="s">
        <v>1587</v>
      </c>
      <c r="Z65" t="s">
        <v>1588</v>
      </c>
      <c r="AA65" t="s">
        <v>1589</v>
      </c>
      <c r="AB65" t="s">
        <v>74</v>
      </c>
      <c r="AC65" t="s">
        <v>1590</v>
      </c>
      <c r="AD65" t="s">
        <v>1591</v>
      </c>
      <c r="AE65" t="s">
        <v>1592</v>
      </c>
      <c r="AF65" t="s">
        <v>74</v>
      </c>
      <c r="AG65">
        <v>84</v>
      </c>
      <c r="AH65">
        <v>14</v>
      </c>
      <c r="AI65">
        <v>14</v>
      </c>
      <c r="AJ65">
        <v>27</v>
      </c>
      <c r="AK65">
        <v>96</v>
      </c>
      <c r="AL65" t="s">
        <v>559</v>
      </c>
      <c r="AM65" t="s">
        <v>93</v>
      </c>
      <c r="AN65" t="s">
        <v>560</v>
      </c>
      <c r="AO65" t="s">
        <v>561</v>
      </c>
      <c r="AP65" t="s">
        <v>562</v>
      </c>
      <c r="AQ65" t="s">
        <v>74</v>
      </c>
      <c r="AR65" t="s">
        <v>563</v>
      </c>
      <c r="AS65" t="s">
        <v>564</v>
      </c>
      <c r="AT65" t="s">
        <v>1109</v>
      </c>
      <c r="AU65">
        <v>2024</v>
      </c>
      <c r="AV65">
        <v>371</v>
      </c>
      <c r="AW65" t="s">
        <v>74</v>
      </c>
      <c r="AX65" t="s">
        <v>74</v>
      </c>
      <c r="AY65" t="s">
        <v>74</v>
      </c>
      <c r="AZ65" t="s">
        <v>74</v>
      </c>
      <c r="BA65" t="s">
        <v>74</v>
      </c>
      <c r="BB65" t="s">
        <v>74</v>
      </c>
      <c r="BC65" t="s">
        <v>74</v>
      </c>
      <c r="BD65">
        <v>123147</v>
      </c>
      <c r="BE65" t="s">
        <v>1593</v>
      </c>
      <c r="BF65" t="str">
        <f>HYPERLINK("http://dx.doi.org/10.1016/j.jenvman.2024.123147","http://dx.doi.org/10.1016/j.jenvman.2024.123147")</f>
        <v>http://dx.doi.org/10.1016/j.jenvman.2024.123147</v>
      </c>
      <c r="BG65" t="s">
        <v>74</v>
      </c>
      <c r="BH65" t="s">
        <v>1594</v>
      </c>
      <c r="BI65">
        <v>12</v>
      </c>
      <c r="BJ65" t="s">
        <v>567</v>
      </c>
      <c r="BK65" t="s">
        <v>102</v>
      </c>
      <c r="BL65" t="s">
        <v>568</v>
      </c>
      <c r="BM65" t="s">
        <v>1595</v>
      </c>
      <c r="BN65">
        <v>39504664</v>
      </c>
      <c r="BO65" t="s">
        <v>74</v>
      </c>
      <c r="BP65" t="s">
        <v>74</v>
      </c>
      <c r="BQ65" t="s">
        <v>74</v>
      </c>
      <c r="BR65" t="s">
        <v>106</v>
      </c>
      <c r="BS65" t="s">
        <v>1596</v>
      </c>
      <c r="BT65" t="str">
        <f>HYPERLINK("https%3A%2F%2Fwww.webofscience.com%2Fwos%2Fwoscc%2Ffull-record%2FWOS:001353655200001","View Full Record in Web of Science")</f>
        <v>View Full Record in Web of Science</v>
      </c>
    </row>
    <row r="66" spans="1:72" x14ac:dyDescent="0.2">
      <c r="A66" t="s">
        <v>72</v>
      </c>
      <c r="B66" t="s">
        <v>1597</v>
      </c>
      <c r="C66" t="s">
        <v>74</v>
      </c>
      <c r="D66" t="s">
        <v>74</v>
      </c>
      <c r="E66" t="s">
        <v>74</v>
      </c>
      <c r="F66" t="s">
        <v>1598</v>
      </c>
      <c r="G66" t="s">
        <v>74</v>
      </c>
      <c r="H66" t="s">
        <v>74</v>
      </c>
      <c r="I66" t="s">
        <v>1599</v>
      </c>
      <c r="J66" t="s">
        <v>1526</v>
      </c>
      <c r="K66" t="s">
        <v>74</v>
      </c>
      <c r="L66" t="s">
        <v>74</v>
      </c>
      <c r="M66" t="s">
        <v>78</v>
      </c>
      <c r="N66" t="s">
        <v>79</v>
      </c>
      <c r="O66" t="s">
        <v>74</v>
      </c>
      <c r="P66" t="s">
        <v>74</v>
      </c>
      <c r="Q66" t="s">
        <v>74</v>
      </c>
      <c r="R66" t="s">
        <v>74</v>
      </c>
      <c r="S66" t="s">
        <v>74</v>
      </c>
      <c r="T66" t="s">
        <v>1600</v>
      </c>
      <c r="U66" t="s">
        <v>74</v>
      </c>
      <c r="V66" t="s">
        <v>1601</v>
      </c>
      <c r="W66" t="s">
        <v>1602</v>
      </c>
      <c r="X66" t="s">
        <v>1603</v>
      </c>
      <c r="Y66" t="s">
        <v>1604</v>
      </c>
      <c r="Z66" t="s">
        <v>1605</v>
      </c>
      <c r="AA66" t="s">
        <v>1606</v>
      </c>
      <c r="AB66" t="s">
        <v>74</v>
      </c>
      <c r="AC66" t="s">
        <v>1607</v>
      </c>
      <c r="AD66" t="s">
        <v>1608</v>
      </c>
      <c r="AE66" t="s">
        <v>1609</v>
      </c>
      <c r="AF66" t="s">
        <v>74</v>
      </c>
      <c r="AG66">
        <v>75</v>
      </c>
      <c r="AH66">
        <v>0</v>
      </c>
      <c r="AI66">
        <v>0</v>
      </c>
      <c r="AJ66">
        <v>57</v>
      </c>
      <c r="AK66">
        <v>57</v>
      </c>
      <c r="AL66" t="s">
        <v>176</v>
      </c>
      <c r="AM66" t="s">
        <v>1610</v>
      </c>
      <c r="AN66" t="s">
        <v>1611</v>
      </c>
      <c r="AO66" t="s">
        <v>1538</v>
      </c>
      <c r="AP66" t="s">
        <v>1539</v>
      </c>
      <c r="AQ66" t="s">
        <v>74</v>
      </c>
      <c r="AR66" t="s">
        <v>1540</v>
      </c>
      <c r="AS66" t="s">
        <v>1541</v>
      </c>
      <c r="AT66" t="s">
        <v>1612</v>
      </c>
      <c r="AU66">
        <v>2025</v>
      </c>
      <c r="AV66">
        <v>526</v>
      </c>
      <c r="AW66" t="s">
        <v>74</v>
      </c>
      <c r="AX66" t="s">
        <v>74</v>
      </c>
      <c r="AY66" t="s">
        <v>74</v>
      </c>
      <c r="AZ66" t="s">
        <v>74</v>
      </c>
      <c r="BA66" t="s">
        <v>74</v>
      </c>
      <c r="BB66" t="s">
        <v>74</v>
      </c>
      <c r="BC66" t="s">
        <v>74</v>
      </c>
      <c r="BD66">
        <v>146675</v>
      </c>
      <c r="BE66" t="s">
        <v>1613</v>
      </c>
      <c r="BF66" t="str">
        <f>HYPERLINK("http://dx.doi.org/10.1016/j.jclepro.2025.146675","http://dx.doi.org/10.1016/j.jclepro.2025.146675")</f>
        <v>http://dx.doi.org/10.1016/j.jclepro.2025.146675</v>
      </c>
      <c r="BG66" t="s">
        <v>74</v>
      </c>
      <c r="BH66" t="s">
        <v>1338</v>
      </c>
      <c r="BI66">
        <v>14</v>
      </c>
      <c r="BJ66" t="s">
        <v>1543</v>
      </c>
      <c r="BK66" t="s">
        <v>102</v>
      </c>
      <c r="BL66" t="s">
        <v>1544</v>
      </c>
      <c r="BM66" t="s">
        <v>1614</v>
      </c>
      <c r="BN66" t="s">
        <v>74</v>
      </c>
      <c r="BO66" t="s">
        <v>916</v>
      </c>
      <c r="BP66" t="s">
        <v>74</v>
      </c>
      <c r="BQ66" t="s">
        <v>74</v>
      </c>
      <c r="BR66" t="s">
        <v>106</v>
      </c>
      <c r="BS66" t="s">
        <v>1615</v>
      </c>
      <c r="BT66" t="str">
        <f>HYPERLINK("https%3A%2F%2Fwww.webofscience.com%2Fwos%2Fwoscc%2Ffull-record%2FWOS:001577894600001","View Full Record in Web of Science")</f>
        <v>View Full Record in Web of Science</v>
      </c>
    </row>
    <row r="67" spans="1:72" x14ac:dyDescent="0.2">
      <c r="A67" t="s">
        <v>72</v>
      </c>
      <c r="B67" t="s">
        <v>1616</v>
      </c>
      <c r="C67" t="s">
        <v>74</v>
      </c>
      <c r="D67" t="s">
        <v>74</v>
      </c>
      <c r="E67" t="s">
        <v>74</v>
      </c>
      <c r="F67" t="s">
        <v>1617</v>
      </c>
      <c r="G67" t="s">
        <v>74</v>
      </c>
      <c r="H67" t="s">
        <v>74</v>
      </c>
      <c r="I67" t="s">
        <v>1618</v>
      </c>
      <c r="J67" t="s">
        <v>762</v>
      </c>
      <c r="K67" t="s">
        <v>74</v>
      </c>
      <c r="L67" t="s">
        <v>74</v>
      </c>
      <c r="M67" t="s">
        <v>78</v>
      </c>
      <c r="N67" t="s">
        <v>79</v>
      </c>
      <c r="O67" t="s">
        <v>74</v>
      </c>
      <c r="P67" t="s">
        <v>74</v>
      </c>
      <c r="Q67" t="s">
        <v>74</v>
      </c>
      <c r="R67" t="s">
        <v>74</v>
      </c>
      <c r="S67" t="s">
        <v>74</v>
      </c>
      <c r="T67" t="s">
        <v>1619</v>
      </c>
      <c r="U67" t="s">
        <v>1620</v>
      </c>
      <c r="V67" t="s">
        <v>1621</v>
      </c>
      <c r="W67" t="s">
        <v>1622</v>
      </c>
      <c r="X67" t="s">
        <v>1623</v>
      </c>
      <c r="Y67" t="s">
        <v>1624</v>
      </c>
      <c r="Z67" t="s">
        <v>1625</v>
      </c>
      <c r="AA67" t="s">
        <v>1626</v>
      </c>
      <c r="AB67" t="s">
        <v>1627</v>
      </c>
      <c r="AC67" t="s">
        <v>1628</v>
      </c>
      <c r="AD67" t="s">
        <v>1629</v>
      </c>
      <c r="AE67" t="s">
        <v>1630</v>
      </c>
      <c r="AF67" t="s">
        <v>74</v>
      </c>
      <c r="AG67">
        <v>42</v>
      </c>
      <c r="AH67">
        <v>18</v>
      </c>
      <c r="AI67">
        <v>18</v>
      </c>
      <c r="AJ67">
        <v>3</v>
      </c>
      <c r="AK67">
        <v>13</v>
      </c>
      <c r="AL67" t="s">
        <v>1631</v>
      </c>
      <c r="AM67" t="s">
        <v>776</v>
      </c>
      <c r="AN67" t="s">
        <v>777</v>
      </c>
      <c r="AO67" t="s">
        <v>778</v>
      </c>
      <c r="AP67" t="s">
        <v>74</v>
      </c>
      <c r="AQ67" t="s">
        <v>74</v>
      </c>
      <c r="AR67" t="s">
        <v>779</v>
      </c>
      <c r="AS67" t="s">
        <v>780</v>
      </c>
      <c r="AT67" t="s">
        <v>1632</v>
      </c>
      <c r="AU67">
        <v>2023</v>
      </c>
      <c r="AV67">
        <v>18</v>
      </c>
      <c r="AW67">
        <v>1</v>
      </c>
      <c r="AX67" t="s">
        <v>74</v>
      </c>
      <c r="AY67" t="s">
        <v>74</v>
      </c>
      <c r="AZ67" t="s">
        <v>74</v>
      </c>
      <c r="BA67" t="s">
        <v>74</v>
      </c>
      <c r="BB67" t="s">
        <v>74</v>
      </c>
      <c r="BC67" t="s">
        <v>74</v>
      </c>
      <c r="BD67">
        <v>14019</v>
      </c>
      <c r="BE67" t="s">
        <v>1633</v>
      </c>
      <c r="BF67" t="str">
        <f>HYPERLINK("http://dx.doi.org/10.1088/1748-9326/aca9e1","http://dx.doi.org/10.1088/1748-9326/aca9e1")</f>
        <v>http://dx.doi.org/10.1088/1748-9326/aca9e1</v>
      </c>
      <c r="BG67" t="s">
        <v>74</v>
      </c>
      <c r="BH67" t="s">
        <v>74</v>
      </c>
      <c r="BI67">
        <v>17</v>
      </c>
      <c r="BJ67" t="s">
        <v>782</v>
      </c>
      <c r="BK67" t="s">
        <v>102</v>
      </c>
      <c r="BL67" t="s">
        <v>783</v>
      </c>
      <c r="BM67" t="s">
        <v>1634</v>
      </c>
      <c r="BN67" t="s">
        <v>74</v>
      </c>
      <c r="BO67" t="s">
        <v>161</v>
      </c>
      <c r="BP67" t="s">
        <v>74</v>
      </c>
      <c r="BQ67" t="s">
        <v>74</v>
      </c>
      <c r="BR67" t="s">
        <v>106</v>
      </c>
      <c r="BS67" t="s">
        <v>1635</v>
      </c>
      <c r="BT67" t="str">
        <f>HYPERLINK("https%3A%2F%2Fwww.webofscience.com%2Fwos%2Fwoscc%2Ffull-record%2FWOS:000907448400001","View Full Record in Web of Science")</f>
        <v>View Full Record in Web of Science</v>
      </c>
    </row>
    <row r="68" spans="1:72" x14ac:dyDescent="0.2">
      <c r="A68" t="s">
        <v>72</v>
      </c>
      <c r="B68" t="s">
        <v>1636</v>
      </c>
      <c r="C68" t="s">
        <v>74</v>
      </c>
      <c r="D68" t="s">
        <v>74</v>
      </c>
      <c r="E68" t="s">
        <v>74</v>
      </c>
      <c r="F68" t="s">
        <v>1637</v>
      </c>
      <c r="G68" t="s">
        <v>74</v>
      </c>
      <c r="H68" t="s">
        <v>74</v>
      </c>
      <c r="I68" t="s">
        <v>1638</v>
      </c>
      <c r="J68" t="s">
        <v>347</v>
      </c>
      <c r="K68" t="s">
        <v>74</v>
      </c>
      <c r="L68" t="s">
        <v>74</v>
      </c>
      <c r="M68" t="s">
        <v>78</v>
      </c>
      <c r="N68" t="s">
        <v>79</v>
      </c>
      <c r="O68" t="s">
        <v>74</v>
      </c>
      <c r="P68" t="s">
        <v>74</v>
      </c>
      <c r="Q68" t="s">
        <v>74</v>
      </c>
      <c r="R68" t="s">
        <v>74</v>
      </c>
      <c r="S68" t="s">
        <v>74</v>
      </c>
      <c r="T68" t="s">
        <v>74</v>
      </c>
      <c r="U68" t="s">
        <v>1639</v>
      </c>
      <c r="V68" t="s">
        <v>1640</v>
      </c>
      <c r="W68" t="s">
        <v>1641</v>
      </c>
      <c r="X68" t="s">
        <v>1642</v>
      </c>
      <c r="Y68" t="s">
        <v>1643</v>
      </c>
      <c r="Z68" t="s">
        <v>1644</v>
      </c>
      <c r="AA68" t="s">
        <v>1645</v>
      </c>
      <c r="AB68" t="s">
        <v>1646</v>
      </c>
      <c r="AC68" t="s">
        <v>1647</v>
      </c>
      <c r="AD68" t="s">
        <v>1648</v>
      </c>
      <c r="AE68" t="s">
        <v>1649</v>
      </c>
      <c r="AF68" t="s">
        <v>74</v>
      </c>
      <c r="AG68">
        <v>59</v>
      </c>
      <c r="AH68">
        <v>98</v>
      </c>
      <c r="AI68">
        <v>113</v>
      </c>
      <c r="AJ68">
        <v>2</v>
      </c>
      <c r="AK68">
        <v>59</v>
      </c>
      <c r="AL68" t="s">
        <v>274</v>
      </c>
      <c r="AM68" t="s">
        <v>275</v>
      </c>
      <c r="AN68" t="s">
        <v>276</v>
      </c>
      <c r="AO68" t="s">
        <v>357</v>
      </c>
      <c r="AP68" t="s">
        <v>74</v>
      </c>
      <c r="AQ68" t="s">
        <v>74</v>
      </c>
      <c r="AR68" t="s">
        <v>358</v>
      </c>
      <c r="AS68" t="s">
        <v>359</v>
      </c>
      <c r="AT68" t="s">
        <v>1650</v>
      </c>
      <c r="AU68">
        <v>2019</v>
      </c>
      <c r="AV68">
        <v>9</v>
      </c>
      <c r="AW68" t="s">
        <v>74</v>
      </c>
      <c r="AX68" t="s">
        <v>74</v>
      </c>
      <c r="AY68" t="s">
        <v>74</v>
      </c>
      <c r="AZ68" t="s">
        <v>74</v>
      </c>
      <c r="BA68" t="s">
        <v>74</v>
      </c>
      <c r="BB68" t="s">
        <v>74</v>
      </c>
      <c r="BC68" t="s">
        <v>74</v>
      </c>
      <c r="BD68">
        <v>17831</v>
      </c>
      <c r="BE68" t="s">
        <v>1651</v>
      </c>
      <c r="BF68" t="str">
        <f>HYPERLINK("http://dx.doi.org/10.1038/s41598-019-54386-6","http://dx.doi.org/10.1038/s41598-019-54386-6")</f>
        <v>http://dx.doi.org/10.1038/s41598-019-54386-6</v>
      </c>
      <c r="BG68" t="s">
        <v>74</v>
      </c>
      <c r="BH68" t="s">
        <v>74</v>
      </c>
      <c r="BI68">
        <v>12</v>
      </c>
      <c r="BJ68" t="s">
        <v>158</v>
      </c>
      <c r="BK68" t="s">
        <v>102</v>
      </c>
      <c r="BL68" t="s">
        <v>159</v>
      </c>
      <c r="BM68" t="s">
        <v>1652</v>
      </c>
      <c r="BN68">
        <v>31780757</v>
      </c>
      <c r="BO68" t="s">
        <v>161</v>
      </c>
      <c r="BP68" t="s">
        <v>74</v>
      </c>
      <c r="BQ68" t="s">
        <v>74</v>
      </c>
      <c r="BR68" t="s">
        <v>106</v>
      </c>
      <c r="BS68" t="s">
        <v>1653</v>
      </c>
      <c r="BT68" t="str">
        <f>HYPERLINK("https%3A%2F%2Fwww.webofscience.com%2Fwos%2Fwoscc%2Ffull-record%2FWOS:000499669200001","View Full Record in Web of Science")</f>
        <v>View Full Record in Web of Science</v>
      </c>
    </row>
    <row r="69" spans="1:72" x14ac:dyDescent="0.2">
      <c r="A69" t="s">
        <v>72</v>
      </c>
      <c r="B69" t="s">
        <v>1654</v>
      </c>
      <c r="C69" t="s">
        <v>74</v>
      </c>
      <c r="D69" t="s">
        <v>74</v>
      </c>
      <c r="E69" t="s">
        <v>74</v>
      </c>
      <c r="F69" t="s">
        <v>1655</v>
      </c>
      <c r="G69" t="s">
        <v>74</v>
      </c>
      <c r="H69" t="s">
        <v>74</v>
      </c>
      <c r="I69" t="s">
        <v>1656</v>
      </c>
      <c r="J69" t="s">
        <v>1136</v>
      </c>
      <c r="K69" t="s">
        <v>74</v>
      </c>
      <c r="L69" t="s">
        <v>74</v>
      </c>
      <c r="M69" t="s">
        <v>78</v>
      </c>
      <c r="N69" t="s">
        <v>79</v>
      </c>
      <c r="O69" t="s">
        <v>74</v>
      </c>
      <c r="P69" t="s">
        <v>74</v>
      </c>
      <c r="Q69" t="s">
        <v>74</v>
      </c>
      <c r="R69" t="s">
        <v>74</v>
      </c>
      <c r="S69" t="s">
        <v>74</v>
      </c>
      <c r="T69" t="s">
        <v>1657</v>
      </c>
      <c r="U69" t="s">
        <v>1658</v>
      </c>
      <c r="V69" t="s">
        <v>1659</v>
      </c>
      <c r="W69" t="s">
        <v>1660</v>
      </c>
      <c r="X69" t="s">
        <v>1661</v>
      </c>
      <c r="Y69" t="s">
        <v>1662</v>
      </c>
      <c r="Z69" t="s">
        <v>1663</v>
      </c>
      <c r="AA69" t="s">
        <v>74</v>
      </c>
      <c r="AB69" t="s">
        <v>1664</v>
      </c>
      <c r="AC69" t="s">
        <v>1665</v>
      </c>
      <c r="AD69" t="s">
        <v>1666</v>
      </c>
      <c r="AE69" t="s">
        <v>1667</v>
      </c>
      <c r="AF69" t="s">
        <v>74</v>
      </c>
      <c r="AG69">
        <v>41</v>
      </c>
      <c r="AH69">
        <v>3</v>
      </c>
      <c r="AI69">
        <v>3</v>
      </c>
      <c r="AJ69">
        <v>0</v>
      </c>
      <c r="AK69">
        <v>6</v>
      </c>
      <c r="AL69" t="s">
        <v>1148</v>
      </c>
      <c r="AM69" t="s">
        <v>93</v>
      </c>
      <c r="AN69" t="s">
        <v>1149</v>
      </c>
      <c r="AO69" t="s">
        <v>1150</v>
      </c>
      <c r="AP69" t="s">
        <v>74</v>
      </c>
      <c r="AQ69" t="s">
        <v>74</v>
      </c>
      <c r="AR69" t="s">
        <v>1151</v>
      </c>
      <c r="AS69" t="s">
        <v>1152</v>
      </c>
      <c r="AT69" t="s">
        <v>1668</v>
      </c>
      <c r="AU69">
        <v>2018</v>
      </c>
      <c r="AV69">
        <v>13</v>
      </c>
      <c r="AW69" t="s">
        <v>74</v>
      </c>
      <c r="AX69" t="s">
        <v>74</v>
      </c>
      <c r="AY69" t="s">
        <v>74</v>
      </c>
      <c r="AZ69" t="s">
        <v>74</v>
      </c>
      <c r="BA69" t="s">
        <v>74</v>
      </c>
      <c r="BB69" t="s">
        <v>74</v>
      </c>
      <c r="BC69" t="s">
        <v>74</v>
      </c>
      <c r="BD69">
        <v>17</v>
      </c>
      <c r="BE69" t="s">
        <v>1669</v>
      </c>
      <c r="BF69" t="str">
        <f>HYPERLINK("http://dx.doi.org/10.1186/s13021-018-0102-8","http://dx.doi.org/10.1186/s13021-018-0102-8")</f>
        <v>http://dx.doi.org/10.1186/s13021-018-0102-8</v>
      </c>
      <c r="BG69" t="s">
        <v>74</v>
      </c>
      <c r="BH69" t="s">
        <v>74</v>
      </c>
      <c r="BI69">
        <v>11</v>
      </c>
      <c r="BJ69" t="s">
        <v>567</v>
      </c>
      <c r="BK69" t="s">
        <v>102</v>
      </c>
      <c r="BL69" t="s">
        <v>568</v>
      </c>
      <c r="BM69" t="s">
        <v>1670</v>
      </c>
      <c r="BN69">
        <v>30250988</v>
      </c>
      <c r="BO69" t="s">
        <v>161</v>
      </c>
      <c r="BP69" t="s">
        <v>74</v>
      </c>
      <c r="BQ69" t="s">
        <v>74</v>
      </c>
      <c r="BR69" t="s">
        <v>106</v>
      </c>
      <c r="BS69" t="s">
        <v>1671</v>
      </c>
      <c r="BT69" t="str">
        <f>HYPERLINK("https%3A%2F%2Fwww.webofscience.com%2Fwos%2Fwoscc%2Ffull-record%2FWOS:000449968300001","View Full Record in Web of Science")</f>
        <v>View Full Record in Web of Science</v>
      </c>
    </row>
    <row r="70" spans="1:72" x14ac:dyDescent="0.2">
      <c r="A70" t="s">
        <v>72</v>
      </c>
      <c r="B70" t="s">
        <v>1672</v>
      </c>
      <c r="C70" t="s">
        <v>74</v>
      </c>
      <c r="D70" t="s">
        <v>74</v>
      </c>
      <c r="E70" t="s">
        <v>74</v>
      </c>
      <c r="F70" t="s">
        <v>1673</v>
      </c>
      <c r="G70" t="s">
        <v>74</v>
      </c>
      <c r="H70" t="s">
        <v>74</v>
      </c>
      <c r="I70" t="s">
        <v>1674</v>
      </c>
      <c r="J70" t="s">
        <v>1526</v>
      </c>
      <c r="K70" t="s">
        <v>74</v>
      </c>
      <c r="L70" t="s">
        <v>74</v>
      </c>
      <c r="M70" t="s">
        <v>78</v>
      </c>
      <c r="N70" t="s">
        <v>79</v>
      </c>
      <c r="O70" t="s">
        <v>74</v>
      </c>
      <c r="P70" t="s">
        <v>74</v>
      </c>
      <c r="Q70" t="s">
        <v>74</v>
      </c>
      <c r="R70" t="s">
        <v>74</v>
      </c>
      <c r="S70" t="s">
        <v>74</v>
      </c>
      <c r="T70" t="s">
        <v>1675</v>
      </c>
      <c r="U70" t="s">
        <v>1676</v>
      </c>
      <c r="V70" t="s">
        <v>1677</v>
      </c>
      <c r="W70" t="s">
        <v>1678</v>
      </c>
      <c r="X70" t="s">
        <v>1679</v>
      </c>
      <c r="Y70" t="s">
        <v>1680</v>
      </c>
      <c r="Z70" t="s">
        <v>1681</v>
      </c>
      <c r="AA70" t="s">
        <v>1682</v>
      </c>
      <c r="AB70" t="s">
        <v>1683</v>
      </c>
      <c r="AC70" t="s">
        <v>1684</v>
      </c>
      <c r="AD70" t="s">
        <v>1685</v>
      </c>
      <c r="AE70" t="s">
        <v>1686</v>
      </c>
      <c r="AF70" t="s">
        <v>74</v>
      </c>
      <c r="AG70">
        <v>90</v>
      </c>
      <c r="AH70">
        <v>23</v>
      </c>
      <c r="AI70">
        <v>25</v>
      </c>
      <c r="AJ70">
        <v>21</v>
      </c>
      <c r="AK70">
        <v>123</v>
      </c>
      <c r="AL70" t="s">
        <v>176</v>
      </c>
      <c r="AM70" t="s">
        <v>1610</v>
      </c>
      <c r="AN70" t="s">
        <v>1611</v>
      </c>
      <c r="AO70" t="s">
        <v>1538</v>
      </c>
      <c r="AP70" t="s">
        <v>1539</v>
      </c>
      <c r="AQ70" t="s">
        <v>74</v>
      </c>
      <c r="AR70" t="s">
        <v>1540</v>
      </c>
      <c r="AS70" t="s">
        <v>1541</v>
      </c>
      <c r="AT70" t="s">
        <v>1012</v>
      </c>
      <c r="AU70">
        <v>2023</v>
      </c>
      <c r="AV70">
        <v>426</v>
      </c>
      <c r="AW70" t="s">
        <v>74</v>
      </c>
      <c r="AX70" t="s">
        <v>74</v>
      </c>
      <c r="AY70" t="s">
        <v>74</v>
      </c>
      <c r="AZ70" t="s">
        <v>74</v>
      </c>
      <c r="BA70" t="s">
        <v>74</v>
      </c>
      <c r="BB70" t="s">
        <v>74</v>
      </c>
      <c r="BC70" t="s">
        <v>74</v>
      </c>
      <c r="BD70">
        <v>139124</v>
      </c>
      <c r="BE70" t="s">
        <v>1687</v>
      </c>
      <c r="BF70" t="str">
        <f>HYPERLINK("http://dx.doi.org/10.1016/j.jclepro.2023.139124","http://dx.doi.org/10.1016/j.jclepro.2023.139124")</f>
        <v>http://dx.doi.org/10.1016/j.jclepro.2023.139124</v>
      </c>
      <c r="BG70" t="s">
        <v>74</v>
      </c>
      <c r="BH70" t="s">
        <v>1688</v>
      </c>
      <c r="BI70">
        <v>19</v>
      </c>
      <c r="BJ70" t="s">
        <v>1543</v>
      </c>
      <c r="BK70" t="s">
        <v>102</v>
      </c>
      <c r="BL70" t="s">
        <v>1544</v>
      </c>
      <c r="BM70" t="s">
        <v>1689</v>
      </c>
      <c r="BN70" t="s">
        <v>74</v>
      </c>
      <c r="BO70" t="s">
        <v>74</v>
      </c>
      <c r="BP70" t="s">
        <v>74</v>
      </c>
      <c r="BQ70" t="s">
        <v>74</v>
      </c>
      <c r="BR70" t="s">
        <v>106</v>
      </c>
      <c r="BS70" t="s">
        <v>1690</v>
      </c>
      <c r="BT70" t="str">
        <f>HYPERLINK("https%3A%2F%2Fwww.webofscience.com%2Fwos%2Fwoscc%2Ffull-record%2FWOS:001098295900001","View Full Record in Web of Science")</f>
        <v>View Full Record in Web of Science</v>
      </c>
    </row>
    <row r="71" spans="1:72" x14ac:dyDescent="0.2">
      <c r="A71" t="s">
        <v>72</v>
      </c>
      <c r="B71" t="s">
        <v>1691</v>
      </c>
      <c r="C71" t="s">
        <v>74</v>
      </c>
      <c r="D71" t="s">
        <v>74</v>
      </c>
      <c r="E71" t="s">
        <v>74</v>
      </c>
      <c r="F71" t="s">
        <v>1692</v>
      </c>
      <c r="G71" t="s">
        <v>74</v>
      </c>
      <c r="H71" t="s">
        <v>74</v>
      </c>
      <c r="I71" t="s">
        <v>1693</v>
      </c>
      <c r="J71" t="s">
        <v>1694</v>
      </c>
      <c r="K71" t="s">
        <v>74</v>
      </c>
      <c r="L71" t="s">
        <v>74</v>
      </c>
      <c r="M71" t="s">
        <v>78</v>
      </c>
      <c r="N71" t="s">
        <v>79</v>
      </c>
      <c r="O71" t="s">
        <v>74</v>
      </c>
      <c r="P71" t="s">
        <v>74</v>
      </c>
      <c r="Q71" t="s">
        <v>74</v>
      </c>
      <c r="R71" t="s">
        <v>74</v>
      </c>
      <c r="S71" t="s">
        <v>74</v>
      </c>
      <c r="T71" t="s">
        <v>1695</v>
      </c>
      <c r="U71" t="s">
        <v>1696</v>
      </c>
      <c r="V71" t="s">
        <v>1697</v>
      </c>
      <c r="W71" t="s">
        <v>1698</v>
      </c>
      <c r="X71" t="s">
        <v>1699</v>
      </c>
      <c r="Y71" t="s">
        <v>1700</v>
      </c>
      <c r="Z71" t="s">
        <v>1701</v>
      </c>
      <c r="AA71" t="s">
        <v>74</v>
      </c>
      <c r="AB71" t="s">
        <v>1702</v>
      </c>
      <c r="AC71" t="s">
        <v>1703</v>
      </c>
      <c r="AD71" t="s">
        <v>1704</v>
      </c>
      <c r="AE71" t="s">
        <v>1705</v>
      </c>
      <c r="AF71" t="s">
        <v>74</v>
      </c>
      <c r="AG71">
        <v>32</v>
      </c>
      <c r="AH71">
        <v>21</v>
      </c>
      <c r="AI71">
        <v>22</v>
      </c>
      <c r="AJ71">
        <v>15</v>
      </c>
      <c r="AK71">
        <v>63</v>
      </c>
      <c r="AL71" t="s">
        <v>934</v>
      </c>
      <c r="AM71" t="s">
        <v>177</v>
      </c>
      <c r="AN71" t="s">
        <v>935</v>
      </c>
      <c r="AO71" t="s">
        <v>1706</v>
      </c>
      <c r="AP71" t="s">
        <v>1707</v>
      </c>
      <c r="AQ71" t="s">
        <v>74</v>
      </c>
      <c r="AR71" t="s">
        <v>1708</v>
      </c>
      <c r="AS71" t="s">
        <v>1709</v>
      </c>
      <c r="AT71" t="s">
        <v>1710</v>
      </c>
      <c r="AU71">
        <v>2024</v>
      </c>
      <c r="AV71">
        <v>242</v>
      </c>
      <c r="AW71" t="s">
        <v>74</v>
      </c>
      <c r="AX71" t="s">
        <v>74</v>
      </c>
      <c r="AY71" t="s">
        <v>74</v>
      </c>
      <c r="AZ71" t="s">
        <v>74</v>
      </c>
      <c r="BA71" t="s">
        <v>74</v>
      </c>
      <c r="BB71" t="s">
        <v>74</v>
      </c>
      <c r="BC71" t="s">
        <v>74</v>
      </c>
      <c r="BD71">
        <v>122833</v>
      </c>
      <c r="BE71" t="s">
        <v>1711</v>
      </c>
      <c r="BF71" t="str">
        <f>HYPERLINK("http://dx.doi.org/10.1016/j.eswa.2023.122833","http://dx.doi.org/10.1016/j.eswa.2023.122833")</f>
        <v>http://dx.doi.org/10.1016/j.eswa.2023.122833</v>
      </c>
      <c r="BG71" t="s">
        <v>74</v>
      </c>
      <c r="BH71" t="s">
        <v>1712</v>
      </c>
      <c r="BI71">
        <v>14</v>
      </c>
      <c r="BJ71" t="s">
        <v>1713</v>
      </c>
      <c r="BK71" t="s">
        <v>102</v>
      </c>
      <c r="BL71" t="s">
        <v>1714</v>
      </c>
      <c r="BM71" t="s">
        <v>1715</v>
      </c>
      <c r="BN71" t="s">
        <v>74</v>
      </c>
      <c r="BO71" t="s">
        <v>74</v>
      </c>
      <c r="BP71" t="s">
        <v>74</v>
      </c>
      <c r="BQ71" t="s">
        <v>74</v>
      </c>
      <c r="BR71" t="s">
        <v>106</v>
      </c>
      <c r="BS71" t="s">
        <v>1716</v>
      </c>
      <c r="BT71" t="str">
        <f>HYPERLINK("https%3A%2F%2Fwww.webofscience.com%2Fwos%2Fwoscc%2Ffull-record%2FWOS:001134956000001","View Full Record in Web of Science")</f>
        <v>View Full Record in Web of Science</v>
      </c>
    </row>
    <row r="72" spans="1:72" x14ac:dyDescent="0.2">
      <c r="A72" t="s">
        <v>72</v>
      </c>
      <c r="B72" t="s">
        <v>1717</v>
      </c>
      <c r="C72" t="s">
        <v>74</v>
      </c>
      <c r="D72" t="s">
        <v>74</v>
      </c>
      <c r="E72" t="s">
        <v>74</v>
      </c>
      <c r="F72" t="s">
        <v>1718</v>
      </c>
      <c r="G72" t="s">
        <v>74</v>
      </c>
      <c r="H72" t="s">
        <v>74</v>
      </c>
      <c r="I72" t="s">
        <v>1719</v>
      </c>
      <c r="J72" t="s">
        <v>546</v>
      </c>
      <c r="K72" t="s">
        <v>74</v>
      </c>
      <c r="L72" t="s">
        <v>74</v>
      </c>
      <c r="M72" t="s">
        <v>78</v>
      </c>
      <c r="N72" t="s">
        <v>79</v>
      </c>
      <c r="O72" t="s">
        <v>74</v>
      </c>
      <c r="P72" t="s">
        <v>74</v>
      </c>
      <c r="Q72" t="s">
        <v>74</v>
      </c>
      <c r="R72" t="s">
        <v>74</v>
      </c>
      <c r="S72" t="s">
        <v>74</v>
      </c>
      <c r="T72" t="s">
        <v>1720</v>
      </c>
      <c r="U72" t="s">
        <v>1721</v>
      </c>
      <c r="V72" t="s">
        <v>1722</v>
      </c>
      <c r="W72" t="s">
        <v>1723</v>
      </c>
      <c r="X72" t="s">
        <v>1724</v>
      </c>
      <c r="Y72" t="s">
        <v>1725</v>
      </c>
      <c r="Z72" t="s">
        <v>1726</v>
      </c>
      <c r="AA72" t="s">
        <v>1727</v>
      </c>
      <c r="AB72" t="s">
        <v>74</v>
      </c>
      <c r="AC72" t="s">
        <v>1728</v>
      </c>
      <c r="AD72" t="s">
        <v>1729</v>
      </c>
      <c r="AE72" t="s">
        <v>1730</v>
      </c>
      <c r="AF72" t="s">
        <v>74</v>
      </c>
      <c r="AG72">
        <v>105</v>
      </c>
      <c r="AH72">
        <v>0</v>
      </c>
      <c r="AI72">
        <v>0</v>
      </c>
      <c r="AJ72">
        <v>13</v>
      </c>
      <c r="AK72">
        <v>13</v>
      </c>
      <c r="AL72" t="s">
        <v>559</v>
      </c>
      <c r="AM72" t="s">
        <v>93</v>
      </c>
      <c r="AN72" t="s">
        <v>560</v>
      </c>
      <c r="AO72" t="s">
        <v>561</v>
      </c>
      <c r="AP72" t="s">
        <v>562</v>
      </c>
      <c r="AQ72" t="s">
        <v>74</v>
      </c>
      <c r="AR72" t="s">
        <v>563</v>
      </c>
      <c r="AS72" t="s">
        <v>564</v>
      </c>
      <c r="AT72" t="s">
        <v>805</v>
      </c>
      <c r="AU72">
        <v>2025</v>
      </c>
      <c r="AV72">
        <v>394</v>
      </c>
      <c r="AW72" t="s">
        <v>74</v>
      </c>
      <c r="AX72" t="s">
        <v>74</v>
      </c>
      <c r="AY72" t="s">
        <v>74</v>
      </c>
      <c r="AZ72" t="s">
        <v>74</v>
      </c>
      <c r="BA72" t="s">
        <v>74</v>
      </c>
      <c r="BB72" t="s">
        <v>74</v>
      </c>
      <c r="BC72" t="s">
        <v>74</v>
      </c>
      <c r="BD72">
        <v>127247</v>
      </c>
      <c r="BE72" t="s">
        <v>1731</v>
      </c>
      <c r="BF72" t="str">
        <f>HYPERLINK("http://dx.doi.org/10.1016/j.jenvman.2025.127247","http://dx.doi.org/10.1016/j.jenvman.2025.127247")</f>
        <v>http://dx.doi.org/10.1016/j.jenvman.2025.127247</v>
      </c>
      <c r="BG72" t="s">
        <v>74</v>
      </c>
      <c r="BH72" t="s">
        <v>1338</v>
      </c>
      <c r="BI72">
        <v>13</v>
      </c>
      <c r="BJ72" t="s">
        <v>567</v>
      </c>
      <c r="BK72" t="s">
        <v>102</v>
      </c>
      <c r="BL72" t="s">
        <v>568</v>
      </c>
      <c r="BM72" t="s">
        <v>1732</v>
      </c>
      <c r="BN72">
        <v>40972299</v>
      </c>
      <c r="BO72" t="s">
        <v>74</v>
      </c>
      <c r="BP72" t="s">
        <v>74</v>
      </c>
      <c r="BQ72" t="s">
        <v>74</v>
      </c>
      <c r="BR72" t="s">
        <v>106</v>
      </c>
      <c r="BS72" t="s">
        <v>1733</v>
      </c>
      <c r="BT72" t="str">
        <f>HYPERLINK("https%3A%2F%2Fwww.webofscience.com%2Fwos%2Fwoscc%2Ffull-record%2FWOS:001576793200001","View Full Record in Web of Science")</f>
        <v>View Full Record in Web of Science</v>
      </c>
    </row>
    <row r="73" spans="1:72" x14ac:dyDescent="0.2">
      <c r="A73" t="s">
        <v>72</v>
      </c>
      <c r="B73" t="s">
        <v>1734</v>
      </c>
      <c r="C73" t="s">
        <v>74</v>
      </c>
      <c r="D73" t="s">
        <v>74</v>
      </c>
      <c r="E73" t="s">
        <v>74</v>
      </c>
      <c r="F73" t="s">
        <v>1735</v>
      </c>
      <c r="G73" t="s">
        <v>74</v>
      </c>
      <c r="H73" t="s">
        <v>74</v>
      </c>
      <c r="I73" t="s">
        <v>1736</v>
      </c>
      <c r="J73" t="s">
        <v>1737</v>
      </c>
      <c r="K73" t="s">
        <v>74</v>
      </c>
      <c r="L73" t="s">
        <v>74</v>
      </c>
      <c r="M73" t="s">
        <v>78</v>
      </c>
      <c r="N73" t="s">
        <v>79</v>
      </c>
      <c r="O73" t="s">
        <v>74</v>
      </c>
      <c r="P73" t="s">
        <v>74</v>
      </c>
      <c r="Q73" t="s">
        <v>74</v>
      </c>
      <c r="R73" t="s">
        <v>74</v>
      </c>
      <c r="S73" t="s">
        <v>74</v>
      </c>
      <c r="T73" t="s">
        <v>1738</v>
      </c>
      <c r="U73" t="s">
        <v>1739</v>
      </c>
      <c r="V73" t="s">
        <v>1740</v>
      </c>
      <c r="W73" t="s">
        <v>1741</v>
      </c>
      <c r="X73" t="s">
        <v>1742</v>
      </c>
      <c r="Y73" t="s">
        <v>1743</v>
      </c>
      <c r="Z73" t="s">
        <v>1744</v>
      </c>
      <c r="AA73" t="s">
        <v>74</v>
      </c>
      <c r="AB73" t="s">
        <v>74</v>
      </c>
      <c r="AC73" t="s">
        <v>1745</v>
      </c>
      <c r="AD73" t="s">
        <v>1746</v>
      </c>
      <c r="AE73" t="s">
        <v>1747</v>
      </c>
      <c r="AF73" t="s">
        <v>74</v>
      </c>
      <c r="AG73">
        <v>75</v>
      </c>
      <c r="AH73">
        <v>42</v>
      </c>
      <c r="AI73">
        <v>43</v>
      </c>
      <c r="AJ73">
        <v>18</v>
      </c>
      <c r="AK73">
        <v>92</v>
      </c>
      <c r="AL73" t="s">
        <v>176</v>
      </c>
      <c r="AM73" t="s">
        <v>1610</v>
      </c>
      <c r="AN73" t="s">
        <v>1611</v>
      </c>
      <c r="AO73" t="s">
        <v>1748</v>
      </c>
      <c r="AP73" t="s">
        <v>1749</v>
      </c>
      <c r="AQ73" t="s">
        <v>74</v>
      </c>
      <c r="AR73" t="s">
        <v>1750</v>
      </c>
      <c r="AS73" t="s">
        <v>1751</v>
      </c>
      <c r="AT73" t="s">
        <v>1752</v>
      </c>
      <c r="AU73">
        <v>2023</v>
      </c>
      <c r="AV73">
        <v>22</v>
      </c>
      <c r="AW73">
        <v>8</v>
      </c>
      <c r="AX73" t="s">
        <v>74</v>
      </c>
      <c r="AY73" t="s">
        <v>74</v>
      </c>
      <c r="AZ73" t="s">
        <v>74</v>
      </c>
      <c r="BA73" t="s">
        <v>74</v>
      </c>
      <c r="BB73">
        <v>2577</v>
      </c>
      <c r="BC73">
        <v>2590</v>
      </c>
      <c r="BD73" t="s">
        <v>74</v>
      </c>
      <c r="BE73" t="s">
        <v>1753</v>
      </c>
      <c r="BF73" t="str">
        <f>HYPERLINK("http://dx.doi.org/10.1016/j.jia.2023.07.002","http://dx.doi.org/10.1016/j.jia.2023.07.002")</f>
        <v>http://dx.doi.org/10.1016/j.jia.2023.07.002</v>
      </c>
      <c r="BG73" t="s">
        <v>74</v>
      </c>
      <c r="BH73" t="s">
        <v>1754</v>
      </c>
      <c r="BI73">
        <v>14</v>
      </c>
      <c r="BJ73" t="s">
        <v>101</v>
      </c>
      <c r="BK73" t="s">
        <v>102</v>
      </c>
      <c r="BL73" t="s">
        <v>103</v>
      </c>
      <c r="BM73" t="s">
        <v>1755</v>
      </c>
      <c r="BN73" t="s">
        <v>74</v>
      </c>
      <c r="BO73" t="s">
        <v>231</v>
      </c>
      <c r="BP73" t="s">
        <v>74</v>
      </c>
      <c r="BQ73" t="s">
        <v>74</v>
      </c>
      <c r="BR73" t="s">
        <v>106</v>
      </c>
      <c r="BS73" t="s">
        <v>1756</v>
      </c>
      <c r="BT73" t="str">
        <f>HYPERLINK("https%3A%2F%2Fwww.webofscience.com%2Fwos%2Fwoscc%2Ffull-record%2FWOS:001085198600001","View Full Record in Web of Science")</f>
        <v>View Full Record in Web of Science</v>
      </c>
    </row>
    <row r="74" spans="1:72" x14ac:dyDescent="0.2">
      <c r="A74" t="s">
        <v>72</v>
      </c>
      <c r="B74" t="s">
        <v>1757</v>
      </c>
      <c r="C74" t="s">
        <v>74</v>
      </c>
      <c r="D74" t="s">
        <v>74</v>
      </c>
      <c r="E74" t="s">
        <v>74</v>
      </c>
      <c r="F74" t="s">
        <v>1758</v>
      </c>
      <c r="G74" t="s">
        <v>74</v>
      </c>
      <c r="H74" t="s">
        <v>74</v>
      </c>
      <c r="I74" t="s">
        <v>1759</v>
      </c>
      <c r="J74" t="s">
        <v>1760</v>
      </c>
      <c r="K74" t="s">
        <v>74</v>
      </c>
      <c r="L74" t="s">
        <v>74</v>
      </c>
      <c r="M74" t="s">
        <v>78</v>
      </c>
      <c r="N74" t="s">
        <v>79</v>
      </c>
      <c r="O74" t="s">
        <v>74</v>
      </c>
      <c r="P74" t="s">
        <v>74</v>
      </c>
      <c r="Q74" t="s">
        <v>74</v>
      </c>
      <c r="R74" t="s">
        <v>74</v>
      </c>
      <c r="S74" t="s">
        <v>74</v>
      </c>
      <c r="T74" t="s">
        <v>1761</v>
      </c>
      <c r="U74" t="s">
        <v>1762</v>
      </c>
      <c r="V74" t="s">
        <v>1763</v>
      </c>
      <c r="W74" t="s">
        <v>1764</v>
      </c>
      <c r="X74" t="s">
        <v>1765</v>
      </c>
      <c r="Y74" t="s">
        <v>1766</v>
      </c>
      <c r="Z74" t="s">
        <v>1767</v>
      </c>
      <c r="AA74" t="s">
        <v>74</v>
      </c>
      <c r="AB74" t="s">
        <v>1768</v>
      </c>
      <c r="AC74" t="s">
        <v>1769</v>
      </c>
      <c r="AD74" t="s">
        <v>1770</v>
      </c>
      <c r="AE74" t="s">
        <v>1771</v>
      </c>
      <c r="AF74" t="s">
        <v>74</v>
      </c>
      <c r="AG74">
        <v>46</v>
      </c>
      <c r="AH74">
        <v>4</v>
      </c>
      <c r="AI74">
        <v>4</v>
      </c>
      <c r="AJ74">
        <v>9</v>
      </c>
      <c r="AK74">
        <v>51</v>
      </c>
      <c r="AL74" t="s">
        <v>1772</v>
      </c>
      <c r="AM74" t="s">
        <v>1773</v>
      </c>
      <c r="AN74" t="s">
        <v>1774</v>
      </c>
      <c r="AO74" t="s">
        <v>1775</v>
      </c>
      <c r="AP74" t="s">
        <v>74</v>
      </c>
      <c r="AQ74" t="s">
        <v>74</v>
      </c>
      <c r="AR74" t="s">
        <v>1776</v>
      </c>
      <c r="AS74" t="s">
        <v>1777</v>
      </c>
      <c r="AT74" t="s">
        <v>1752</v>
      </c>
      <c r="AU74">
        <v>2024</v>
      </c>
      <c r="AV74">
        <v>26</v>
      </c>
      <c r="AW74">
        <v>6</v>
      </c>
      <c r="AX74" t="s">
        <v>74</v>
      </c>
      <c r="AY74" t="s">
        <v>74</v>
      </c>
      <c r="AZ74" t="s">
        <v>74</v>
      </c>
      <c r="BA74" t="s">
        <v>74</v>
      </c>
      <c r="BB74" t="s">
        <v>74</v>
      </c>
      <c r="BC74" t="s">
        <v>74</v>
      </c>
      <c r="BD74">
        <v>6125</v>
      </c>
      <c r="BE74" t="s">
        <v>1778</v>
      </c>
      <c r="BF74" t="str">
        <f>HYPERLINK("http://dx.doi.org/10.30955/gnj.006125","http://dx.doi.org/10.30955/gnj.006125")</f>
        <v>http://dx.doi.org/10.30955/gnj.006125</v>
      </c>
      <c r="BG74" t="s">
        <v>74</v>
      </c>
      <c r="BH74" t="s">
        <v>74</v>
      </c>
      <c r="BI74">
        <v>14</v>
      </c>
      <c r="BJ74" t="s">
        <v>567</v>
      </c>
      <c r="BK74" t="s">
        <v>102</v>
      </c>
      <c r="BL74" t="s">
        <v>568</v>
      </c>
      <c r="BM74" t="s">
        <v>1779</v>
      </c>
      <c r="BN74" t="s">
        <v>74</v>
      </c>
      <c r="BO74" t="s">
        <v>74</v>
      </c>
      <c r="BP74" t="s">
        <v>74</v>
      </c>
      <c r="BQ74" t="s">
        <v>74</v>
      </c>
      <c r="BR74" t="s">
        <v>106</v>
      </c>
      <c r="BS74" t="s">
        <v>1780</v>
      </c>
      <c r="BT74" t="str">
        <f>HYPERLINK("https%3A%2F%2Fwww.webofscience.com%2Fwos%2Fwoscc%2Ffull-record%2FWOS:001289434300005","View Full Record in Web of Science")</f>
        <v>View Full Record in Web of Science</v>
      </c>
    </row>
    <row r="75" spans="1:72" x14ac:dyDescent="0.2">
      <c r="A75" t="s">
        <v>72</v>
      </c>
      <c r="B75" t="s">
        <v>1781</v>
      </c>
      <c r="C75" t="s">
        <v>74</v>
      </c>
      <c r="D75" t="s">
        <v>74</v>
      </c>
      <c r="E75" t="s">
        <v>74</v>
      </c>
      <c r="F75" t="s">
        <v>1782</v>
      </c>
      <c r="G75" t="s">
        <v>74</v>
      </c>
      <c r="H75" t="s">
        <v>74</v>
      </c>
      <c r="I75" t="s">
        <v>1783</v>
      </c>
      <c r="J75" t="s">
        <v>1784</v>
      </c>
      <c r="K75" t="s">
        <v>74</v>
      </c>
      <c r="L75" t="s">
        <v>74</v>
      </c>
      <c r="M75" t="s">
        <v>78</v>
      </c>
      <c r="N75" t="s">
        <v>79</v>
      </c>
      <c r="O75" t="s">
        <v>74</v>
      </c>
      <c r="P75" t="s">
        <v>74</v>
      </c>
      <c r="Q75" t="s">
        <v>74</v>
      </c>
      <c r="R75" t="s">
        <v>74</v>
      </c>
      <c r="S75" t="s">
        <v>74</v>
      </c>
      <c r="T75" t="s">
        <v>1785</v>
      </c>
      <c r="U75" t="s">
        <v>1786</v>
      </c>
      <c r="V75" t="s">
        <v>1787</v>
      </c>
      <c r="W75" t="s">
        <v>1788</v>
      </c>
      <c r="X75" t="s">
        <v>1789</v>
      </c>
      <c r="Y75" t="s">
        <v>1790</v>
      </c>
      <c r="Z75" t="s">
        <v>1791</v>
      </c>
      <c r="AA75" t="s">
        <v>74</v>
      </c>
      <c r="AB75" t="s">
        <v>1792</v>
      </c>
      <c r="AC75" t="s">
        <v>1793</v>
      </c>
      <c r="AD75" t="s">
        <v>1793</v>
      </c>
      <c r="AE75" t="s">
        <v>1794</v>
      </c>
      <c r="AF75" t="s">
        <v>74</v>
      </c>
      <c r="AG75">
        <v>56</v>
      </c>
      <c r="AH75">
        <v>15</v>
      </c>
      <c r="AI75">
        <v>18</v>
      </c>
      <c r="AJ75">
        <v>3</v>
      </c>
      <c r="AK75">
        <v>68</v>
      </c>
      <c r="AL75" t="s">
        <v>123</v>
      </c>
      <c r="AM75" t="s">
        <v>124</v>
      </c>
      <c r="AN75" t="s">
        <v>125</v>
      </c>
      <c r="AO75" t="s">
        <v>1795</v>
      </c>
      <c r="AP75" t="s">
        <v>1796</v>
      </c>
      <c r="AQ75" t="s">
        <v>74</v>
      </c>
      <c r="AR75" t="s">
        <v>1797</v>
      </c>
      <c r="AS75" t="s">
        <v>1798</v>
      </c>
      <c r="AT75" t="s">
        <v>805</v>
      </c>
      <c r="AU75">
        <v>2019</v>
      </c>
      <c r="AV75">
        <v>138</v>
      </c>
      <c r="AW75" t="s">
        <v>74</v>
      </c>
      <c r="AX75" t="s">
        <v>74</v>
      </c>
      <c r="AY75" t="s">
        <v>74</v>
      </c>
      <c r="AZ75" t="s">
        <v>74</v>
      </c>
      <c r="BA75" t="s">
        <v>74</v>
      </c>
      <c r="BB75">
        <v>353</v>
      </c>
      <c r="BC75">
        <v>361</v>
      </c>
      <c r="BD75" t="s">
        <v>74</v>
      </c>
      <c r="BE75" t="s">
        <v>1799</v>
      </c>
      <c r="BF75" t="str">
        <f>HYPERLINK("http://dx.doi.org/10.1016/j.ecoleng.2019.07.036","http://dx.doi.org/10.1016/j.ecoleng.2019.07.036")</f>
        <v>http://dx.doi.org/10.1016/j.ecoleng.2019.07.036</v>
      </c>
      <c r="BG75" t="s">
        <v>74</v>
      </c>
      <c r="BH75" t="s">
        <v>74</v>
      </c>
      <c r="BI75">
        <v>9</v>
      </c>
      <c r="BJ75" t="s">
        <v>1800</v>
      </c>
      <c r="BK75" t="s">
        <v>102</v>
      </c>
      <c r="BL75" t="s">
        <v>1801</v>
      </c>
      <c r="BM75" t="s">
        <v>1802</v>
      </c>
      <c r="BN75" t="s">
        <v>74</v>
      </c>
      <c r="BO75" t="s">
        <v>74</v>
      </c>
      <c r="BP75" t="s">
        <v>74</v>
      </c>
      <c r="BQ75" t="s">
        <v>74</v>
      </c>
      <c r="BR75" t="s">
        <v>106</v>
      </c>
      <c r="BS75" t="s">
        <v>1803</v>
      </c>
      <c r="BT75" t="str">
        <f>HYPERLINK("https%3A%2F%2Fwww.webofscience.com%2Fwos%2Fwoscc%2Ffull-record%2FWOS:000485660800039","View Full Record in Web of Science")</f>
        <v>View Full Record in Web of Science</v>
      </c>
    </row>
    <row r="76" spans="1:72" x14ac:dyDescent="0.2">
      <c r="A76" t="s">
        <v>72</v>
      </c>
      <c r="B76" t="s">
        <v>1804</v>
      </c>
      <c r="C76" t="s">
        <v>74</v>
      </c>
      <c r="D76" t="s">
        <v>74</v>
      </c>
      <c r="E76" t="s">
        <v>74</v>
      </c>
      <c r="F76" t="s">
        <v>1805</v>
      </c>
      <c r="G76" t="s">
        <v>74</v>
      </c>
      <c r="H76" t="s">
        <v>74</v>
      </c>
      <c r="I76" t="s">
        <v>1806</v>
      </c>
      <c r="J76" t="s">
        <v>1807</v>
      </c>
      <c r="K76" t="s">
        <v>74</v>
      </c>
      <c r="L76" t="s">
        <v>74</v>
      </c>
      <c r="M76" t="s">
        <v>78</v>
      </c>
      <c r="N76" t="s">
        <v>79</v>
      </c>
      <c r="O76" t="s">
        <v>74</v>
      </c>
      <c r="P76" t="s">
        <v>74</v>
      </c>
      <c r="Q76" t="s">
        <v>74</v>
      </c>
      <c r="R76" t="s">
        <v>74</v>
      </c>
      <c r="S76" t="s">
        <v>74</v>
      </c>
      <c r="T76" t="s">
        <v>1808</v>
      </c>
      <c r="U76" t="s">
        <v>1809</v>
      </c>
      <c r="V76" t="s">
        <v>1810</v>
      </c>
      <c r="W76" t="s">
        <v>1811</v>
      </c>
      <c r="X76" t="s">
        <v>1812</v>
      </c>
      <c r="Y76" t="s">
        <v>1813</v>
      </c>
      <c r="Z76" t="s">
        <v>1814</v>
      </c>
      <c r="AA76" t="s">
        <v>1815</v>
      </c>
      <c r="AB76" t="s">
        <v>1816</v>
      </c>
      <c r="AC76" t="s">
        <v>1817</v>
      </c>
      <c r="AD76" t="s">
        <v>1818</v>
      </c>
      <c r="AE76" t="s">
        <v>1819</v>
      </c>
      <c r="AF76" t="s">
        <v>74</v>
      </c>
      <c r="AG76">
        <v>55</v>
      </c>
      <c r="AH76">
        <v>15</v>
      </c>
      <c r="AI76">
        <v>15</v>
      </c>
      <c r="AJ76">
        <v>1</v>
      </c>
      <c r="AK76">
        <v>74</v>
      </c>
      <c r="AL76" t="s">
        <v>1820</v>
      </c>
      <c r="AM76" t="s">
        <v>1821</v>
      </c>
      <c r="AN76" t="s">
        <v>1822</v>
      </c>
      <c r="AO76" t="s">
        <v>1823</v>
      </c>
      <c r="AP76" t="s">
        <v>1824</v>
      </c>
      <c r="AQ76" t="s">
        <v>74</v>
      </c>
      <c r="AR76" t="s">
        <v>1825</v>
      </c>
      <c r="AS76" t="s">
        <v>1826</v>
      </c>
      <c r="AT76" t="s">
        <v>74</v>
      </c>
      <c r="AU76">
        <v>2016</v>
      </c>
      <c r="AV76">
        <v>54</v>
      </c>
      <c r="AW76">
        <v>1</v>
      </c>
      <c r="AX76" t="s">
        <v>74</v>
      </c>
      <c r="AY76" t="s">
        <v>74</v>
      </c>
      <c r="AZ76" t="s">
        <v>74</v>
      </c>
      <c r="BA76" t="s">
        <v>74</v>
      </c>
      <c r="BB76">
        <v>64</v>
      </c>
      <c r="BC76">
        <v>77</v>
      </c>
      <c r="BD76" t="s">
        <v>74</v>
      </c>
      <c r="BE76" t="s">
        <v>1827</v>
      </c>
      <c r="BF76" t="str">
        <f>HYPERLINK("http://dx.doi.org/10.1071/SR15008","http://dx.doi.org/10.1071/SR15008")</f>
        <v>http://dx.doi.org/10.1071/SR15008</v>
      </c>
      <c r="BG76" t="s">
        <v>74</v>
      </c>
      <c r="BH76" t="s">
        <v>74</v>
      </c>
      <c r="BI76">
        <v>14</v>
      </c>
      <c r="BJ76" t="s">
        <v>256</v>
      </c>
      <c r="BK76" t="s">
        <v>102</v>
      </c>
      <c r="BL76" t="s">
        <v>103</v>
      </c>
      <c r="BM76" t="s">
        <v>1828</v>
      </c>
      <c r="BN76" t="s">
        <v>74</v>
      </c>
      <c r="BO76" t="s">
        <v>74</v>
      </c>
      <c r="BP76" t="s">
        <v>74</v>
      </c>
      <c r="BQ76" t="s">
        <v>74</v>
      </c>
      <c r="BR76" t="s">
        <v>106</v>
      </c>
      <c r="BS76" t="s">
        <v>1829</v>
      </c>
      <c r="BT76" t="str">
        <f>HYPERLINK("https%3A%2F%2Fwww.webofscience.com%2Fwos%2Fwoscc%2Ffull-record%2FWOS:000369785200007","View Full Record in Web of Science")</f>
        <v>View Full Record in Web of Science</v>
      </c>
    </row>
    <row r="77" spans="1:72" x14ac:dyDescent="0.2">
      <c r="A77" t="s">
        <v>72</v>
      </c>
      <c r="B77" t="s">
        <v>1830</v>
      </c>
      <c r="C77" t="s">
        <v>74</v>
      </c>
      <c r="D77" t="s">
        <v>74</v>
      </c>
      <c r="E77" t="s">
        <v>74</v>
      </c>
      <c r="F77" t="s">
        <v>1831</v>
      </c>
      <c r="G77" t="s">
        <v>74</v>
      </c>
      <c r="H77" t="s">
        <v>74</v>
      </c>
      <c r="I77" t="s">
        <v>1832</v>
      </c>
      <c r="J77" t="s">
        <v>1833</v>
      </c>
      <c r="K77" t="s">
        <v>74</v>
      </c>
      <c r="L77" t="s">
        <v>74</v>
      </c>
      <c r="M77" t="s">
        <v>78</v>
      </c>
      <c r="N77" t="s">
        <v>79</v>
      </c>
      <c r="O77" t="s">
        <v>74</v>
      </c>
      <c r="P77" t="s">
        <v>74</v>
      </c>
      <c r="Q77" t="s">
        <v>74</v>
      </c>
      <c r="R77" t="s">
        <v>74</v>
      </c>
      <c r="S77" t="s">
        <v>74</v>
      </c>
      <c r="T77" t="s">
        <v>1834</v>
      </c>
      <c r="U77" t="s">
        <v>74</v>
      </c>
      <c r="V77" t="s">
        <v>1835</v>
      </c>
      <c r="W77" t="s">
        <v>1836</v>
      </c>
      <c r="X77" t="s">
        <v>1837</v>
      </c>
      <c r="Y77" t="s">
        <v>1838</v>
      </c>
      <c r="Z77" t="s">
        <v>1839</v>
      </c>
      <c r="AA77" t="s">
        <v>74</v>
      </c>
      <c r="AB77" t="s">
        <v>74</v>
      </c>
      <c r="AC77" t="s">
        <v>74</v>
      </c>
      <c r="AD77" t="s">
        <v>74</v>
      </c>
      <c r="AE77" t="s">
        <v>1840</v>
      </c>
      <c r="AF77" t="s">
        <v>74</v>
      </c>
      <c r="AG77">
        <v>52</v>
      </c>
      <c r="AH77">
        <v>1</v>
      </c>
      <c r="AI77">
        <v>1</v>
      </c>
      <c r="AJ77">
        <v>6</v>
      </c>
      <c r="AK77">
        <v>11</v>
      </c>
      <c r="AL77" t="s">
        <v>585</v>
      </c>
      <c r="AM77" t="s">
        <v>306</v>
      </c>
      <c r="AN77" t="s">
        <v>586</v>
      </c>
      <c r="AO77" t="s">
        <v>1841</v>
      </c>
      <c r="AP77" t="s">
        <v>1842</v>
      </c>
      <c r="AQ77" t="s">
        <v>74</v>
      </c>
      <c r="AR77" t="s">
        <v>1843</v>
      </c>
      <c r="AS77" t="s">
        <v>1844</v>
      </c>
      <c r="AT77" t="s">
        <v>591</v>
      </c>
      <c r="AU77">
        <v>2023</v>
      </c>
      <c r="AV77">
        <v>21</v>
      </c>
      <c r="AW77">
        <v>1</v>
      </c>
      <c r="AX77" t="s">
        <v>74</v>
      </c>
      <c r="AY77" t="s">
        <v>74</v>
      </c>
      <c r="AZ77" t="s">
        <v>74</v>
      </c>
      <c r="BA77" t="s">
        <v>74</v>
      </c>
      <c r="BB77" t="s">
        <v>74</v>
      </c>
      <c r="BC77" t="s">
        <v>74</v>
      </c>
      <c r="BD77">
        <v>2275719</v>
      </c>
      <c r="BE77" t="s">
        <v>1845</v>
      </c>
      <c r="BF77" t="str">
        <f>HYPERLINK("http://dx.doi.org/10.1080/14735903.2023.2275719","http://dx.doi.org/10.1080/14735903.2023.2275719")</f>
        <v>http://dx.doi.org/10.1080/14735903.2023.2275719</v>
      </c>
      <c r="BG77" t="s">
        <v>74</v>
      </c>
      <c r="BH77" t="s">
        <v>74</v>
      </c>
      <c r="BI77">
        <v>17</v>
      </c>
      <c r="BJ77" t="s">
        <v>1846</v>
      </c>
      <c r="BK77" t="s">
        <v>102</v>
      </c>
      <c r="BL77" t="s">
        <v>1847</v>
      </c>
      <c r="BM77" t="s">
        <v>1848</v>
      </c>
      <c r="BN77" t="s">
        <v>74</v>
      </c>
      <c r="BO77" t="s">
        <v>231</v>
      </c>
      <c r="BP77" t="s">
        <v>74</v>
      </c>
      <c r="BQ77" t="s">
        <v>74</v>
      </c>
      <c r="BR77" t="s">
        <v>106</v>
      </c>
      <c r="BS77" t="s">
        <v>1849</v>
      </c>
      <c r="BT77" t="str">
        <f>HYPERLINK("https%3A%2F%2Fwww.webofscience.com%2Fwos%2Fwoscc%2Ffull-record%2FWOS:001338123000001","View Full Record in Web of Science")</f>
        <v>View Full Record in Web of Science</v>
      </c>
    </row>
    <row r="78" spans="1:72" x14ac:dyDescent="0.2">
      <c r="A78" t="s">
        <v>72</v>
      </c>
      <c r="B78" t="s">
        <v>1850</v>
      </c>
      <c r="C78" t="s">
        <v>74</v>
      </c>
      <c r="D78" t="s">
        <v>74</v>
      </c>
      <c r="E78" t="s">
        <v>74</v>
      </c>
      <c r="F78" t="s">
        <v>1851</v>
      </c>
      <c r="G78" t="s">
        <v>74</v>
      </c>
      <c r="H78" t="s">
        <v>74</v>
      </c>
      <c r="I78" t="s">
        <v>1852</v>
      </c>
      <c r="J78" t="s">
        <v>1853</v>
      </c>
      <c r="K78" t="s">
        <v>74</v>
      </c>
      <c r="L78" t="s">
        <v>74</v>
      </c>
      <c r="M78" t="s">
        <v>78</v>
      </c>
      <c r="N78" t="s">
        <v>492</v>
      </c>
      <c r="O78" t="s">
        <v>74</v>
      </c>
      <c r="P78" t="s">
        <v>74</v>
      </c>
      <c r="Q78" t="s">
        <v>74</v>
      </c>
      <c r="R78" t="s">
        <v>74</v>
      </c>
      <c r="S78" t="s">
        <v>74</v>
      </c>
      <c r="T78" t="s">
        <v>1854</v>
      </c>
      <c r="U78" t="s">
        <v>1855</v>
      </c>
      <c r="V78" t="s">
        <v>1856</v>
      </c>
      <c r="W78" t="s">
        <v>1857</v>
      </c>
      <c r="X78" t="s">
        <v>74</v>
      </c>
      <c r="Y78" t="s">
        <v>1858</v>
      </c>
      <c r="Z78" t="s">
        <v>1859</v>
      </c>
      <c r="AA78" t="s">
        <v>1860</v>
      </c>
      <c r="AB78" t="s">
        <v>74</v>
      </c>
      <c r="AC78" t="s">
        <v>74</v>
      </c>
      <c r="AD78" t="s">
        <v>74</v>
      </c>
      <c r="AE78" t="s">
        <v>74</v>
      </c>
      <c r="AF78" t="s">
        <v>74</v>
      </c>
      <c r="AG78">
        <v>53</v>
      </c>
      <c r="AH78">
        <v>0</v>
      </c>
      <c r="AI78">
        <v>0</v>
      </c>
      <c r="AJ78">
        <v>1</v>
      </c>
      <c r="AK78">
        <v>1</v>
      </c>
      <c r="AL78" t="s">
        <v>1861</v>
      </c>
      <c r="AM78" t="s">
        <v>1862</v>
      </c>
      <c r="AN78" t="s">
        <v>1863</v>
      </c>
      <c r="AO78" t="s">
        <v>1864</v>
      </c>
      <c r="AP78" t="s">
        <v>1865</v>
      </c>
      <c r="AQ78" t="s">
        <v>74</v>
      </c>
      <c r="AR78" t="s">
        <v>1866</v>
      </c>
      <c r="AS78" t="s">
        <v>1867</v>
      </c>
      <c r="AT78" t="s">
        <v>1868</v>
      </c>
      <c r="AU78">
        <v>2025</v>
      </c>
      <c r="AV78" t="s">
        <v>74</v>
      </c>
      <c r="AW78" t="s">
        <v>74</v>
      </c>
      <c r="AX78" t="s">
        <v>74</v>
      </c>
      <c r="AY78" t="s">
        <v>74</v>
      </c>
      <c r="AZ78" t="s">
        <v>74</v>
      </c>
      <c r="BA78" t="s">
        <v>74</v>
      </c>
      <c r="BB78" t="s">
        <v>74</v>
      </c>
      <c r="BC78" t="s">
        <v>74</v>
      </c>
      <c r="BD78" t="s">
        <v>74</v>
      </c>
      <c r="BE78" t="s">
        <v>1869</v>
      </c>
      <c r="BF78" t="str">
        <f>HYPERLINK("http://dx.doi.org/10.15244/pjoes/201938","http://dx.doi.org/10.15244/pjoes/201938")</f>
        <v>http://dx.doi.org/10.15244/pjoes/201938</v>
      </c>
      <c r="BG78" t="s">
        <v>74</v>
      </c>
      <c r="BH78" t="s">
        <v>1870</v>
      </c>
      <c r="BI78">
        <v>14</v>
      </c>
      <c r="BJ78" t="s">
        <v>567</v>
      </c>
      <c r="BK78" t="s">
        <v>102</v>
      </c>
      <c r="BL78" t="s">
        <v>568</v>
      </c>
      <c r="BM78" t="s">
        <v>1871</v>
      </c>
      <c r="BN78" t="s">
        <v>74</v>
      </c>
      <c r="BO78" t="s">
        <v>231</v>
      </c>
      <c r="BP78" t="s">
        <v>74</v>
      </c>
      <c r="BQ78" t="s">
        <v>74</v>
      </c>
      <c r="BR78" t="s">
        <v>106</v>
      </c>
      <c r="BS78" t="s">
        <v>1872</v>
      </c>
      <c r="BT78" t="str">
        <f>HYPERLINK("https%3A%2F%2Fwww.webofscience.com%2Fwos%2Fwoscc%2Ffull-record%2FWOS:001587830900001","View Full Record in Web of Science")</f>
        <v>View Full Record in Web of Science</v>
      </c>
    </row>
    <row r="79" spans="1:72" x14ac:dyDescent="0.2">
      <c r="A79" t="s">
        <v>72</v>
      </c>
      <c r="B79" t="s">
        <v>1873</v>
      </c>
      <c r="C79" t="s">
        <v>74</v>
      </c>
      <c r="D79" t="s">
        <v>74</v>
      </c>
      <c r="E79" t="s">
        <v>74</v>
      </c>
      <c r="F79" t="s">
        <v>1874</v>
      </c>
      <c r="G79" t="s">
        <v>74</v>
      </c>
      <c r="H79" t="s">
        <v>74</v>
      </c>
      <c r="I79" t="s">
        <v>1875</v>
      </c>
      <c r="J79" t="s">
        <v>468</v>
      </c>
      <c r="K79" t="s">
        <v>74</v>
      </c>
      <c r="L79" t="s">
        <v>74</v>
      </c>
      <c r="M79" t="s">
        <v>78</v>
      </c>
      <c r="N79" t="s">
        <v>79</v>
      </c>
      <c r="O79" t="s">
        <v>74</v>
      </c>
      <c r="P79" t="s">
        <v>74</v>
      </c>
      <c r="Q79" t="s">
        <v>74</v>
      </c>
      <c r="R79" t="s">
        <v>74</v>
      </c>
      <c r="S79" t="s">
        <v>74</v>
      </c>
      <c r="T79" t="s">
        <v>1876</v>
      </c>
      <c r="U79" t="s">
        <v>1877</v>
      </c>
      <c r="V79" t="s">
        <v>1878</v>
      </c>
      <c r="W79" t="s">
        <v>1879</v>
      </c>
      <c r="X79" t="s">
        <v>1880</v>
      </c>
      <c r="Y79" t="s">
        <v>1881</v>
      </c>
      <c r="Z79" t="s">
        <v>1882</v>
      </c>
      <c r="AA79" t="s">
        <v>74</v>
      </c>
      <c r="AB79" t="s">
        <v>1883</v>
      </c>
      <c r="AC79" t="s">
        <v>1884</v>
      </c>
      <c r="AD79" t="s">
        <v>1884</v>
      </c>
      <c r="AE79" t="s">
        <v>456</v>
      </c>
      <c r="AF79" t="s">
        <v>74</v>
      </c>
      <c r="AG79">
        <v>29</v>
      </c>
      <c r="AH79">
        <v>2</v>
      </c>
      <c r="AI79">
        <v>3</v>
      </c>
      <c r="AJ79">
        <v>3</v>
      </c>
      <c r="AK79">
        <v>41</v>
      </c>
      <c r="AL79" t="s">
        <v>222</v>
      </c>
      <c r="AM79" t="s">
        <v>223</v>
      </c>
      <c r="AN79" t="s">
        <v>224</v>
      </c>
      <c r="AO79" t="s">
        <v>74</v>
      </c>
      <c r="AP79" t="s">
        <v>479</v>
      </c>
      <c r="AQ79" t="s">
        <v>74</v>
      </c>
      <c r="AR79" t="s">
        <v>480</v>
      </c>
      <c r="AS79" t="s">
        <v>481</v>
      </c>
      <c r="AT79" t="s">
        <v>1109</v>
      </c>
      <c r="AU79">
        <v>2023</v>
      </c>
      <c r="AV79">
        <v>15</v>
      </c>
      <c r="AW79">
        <v>23</v>
      </c>
      <c r="AX79" t="s">
        <v>74</v>
      </c>
      <c r="AY79" t="s">
        <v>74</v>
      </c>
      <c r="AZ79" t="s">
        <v>74</v>
      </c>
      <c r="BA79" t="s">
        <v>74</v>
      </c>
      <c r="BB79" t="s">
        <v>74</v>
      </c>
      <c r="BC79" t="s">
        <v>74</v>
      </c>
      <c r="BD79">
        <v>16317</v>
      </c>
      <c r="BE79" t="s">
        <v>1885</v>
      </c>
      <c r="BF79" t="str">
        <f>HYPERLINK("http://dx.doi.org/10.3390/su152316317","http://dx.doi.org/10.3390/su152316317")</f>
        <v>http://dx.doi.org/10.3390/su152316317</v>
      </c>
      <c r="BG79" t="s">
        <v>74</v>
      </c>
      <c r="BH79" t="s">
        <v>74</v>
      </c>
      <c r="BI79">
        <v>10</v>
      </c>
      <c r="BJ79" t="s">
        <v>484</v>
      </c>
      <c r="BK79" t="s">
        <v>186</v>
      </c>
      <c r="BL79" t="s">
        <v>485</v>
      </c>
      <c r="BM79" t="s">
        <v>1886</v>
      </c>
      <c r="BN79" t="s">
        <v>74</v>
      </c>
      <c r="BO79" t="s">
        <v>231</v>
      </c>
      <c r="BP79" t="s">
        <v>74</v>
      </c>
      <c r="BQ79" t="s">
        <v>74</v>
      </c>
      <c r="BR79" t="s">
        <v>106</v>
      </c>
      <c r="BS79" t="s">
        <v>1887</v>
      </c>
      <c r="BT79" t="str">
        <f>HYPERLINK("https%3A%2F%2Fwww.webofscience.com%2Fwos%2Fwoscc%2Ffull-record%2FWOS:001116989900001","View Full Record in Web of Science")</f>
        <v>View Full Record in Web of Science</v>
      </c>
    </row>
    <row r="80" spans="1:72" x14ac:dyDescent="0.2">
      <c r="A80" t="s">
        <v>72</v>
      </c>
      <c r="B80" t="s">
        <v>1888</v>
      </c>
      <c r="C80" t="s">
        <v>74</v>
      </c>
      <c r="D80" t="s">
        <v>74</v>
      </c>
      <c r="E80" t="s">
        <v>74</v>
      </c>
      <c r="F80" t="s">
        <v>1889</v>
      </c>
      <c r="G80" t="s">
        <v>74</v>
      </c>
      <c r="H80" t="s">
        <v>74</v>
      </c>
      <c r="I80" t="s">
        <v>1890</v>
      </c>
      <c r="J80" t="s">
        <v>1891</v>
      </c>
      <c r="K80" t="s">
        <v>74</v>
      </c>
      <c r="L80" t="s">
        <v>74</v>
      </c>
      <c r="M80" t="s">
        <v>78</v>
      </c>
      <c r="N80" t="s">
        <v>79</v>
      </c>
      <c r="O80" t="s">
        <v>74</v>
      </c>
      <c r="P80" t="s">
        <v>74</v>
      </c>
      <c r="Q80" t="s">
        <v>74</v>
      </c>
      <c r="R80" t="s">
        <v>74</v>
      </c>
      <c r="S80" t="s">
        <v>74</v>
      </c>
      <c r="T80" t="s">
        <v>1892</v>
      </c>
      <c r="U80" t="s">
        <v>1893</v>
      </c>
      <c r="V80" t="s">
        <v>1894</v>
      </c>
      <c r="W80" t="s">
        <v>1895</v>
      </c>
      <c r="X80" t="s">
        <v>1896</v>
      </c>
      <c r="Y80" t="s">
        <v>1897</v>
      </c>
      <c r="Z80" t="s">
        <v>1898</v>
      </c>
      <c r="AA80" t="s">
        <v>1899</v>
      </c>
      <c r="AB80" t="s">
        <v>1900</v>
      </c>
      <c r="AC80" t="s">
        <v>1901</v>
      </c>
      <c r="AD80" t="s">
        <v>1902</v>
      </c>
      <c r="AE80" t="s">
        <v>1903</v>
      </c>
      <c r="AF80" t="s">
        <v>74</v>
      </c>
      <c r="AG80">
        <v>64</v>
      </c>
      <c r="AH80">
        <v>7</v>
      </c>
      <c r="AI80">
        <v>8</v>
      </c>
      <c r="AJ80">
        <v>1</v>
      </c>
      <c r="AK80">
        <v>33</v>
      </c>
      <c r="AL80" t="s">
        <v>222</v>
      </c>
      <c r="AM80" t="s">
        <v>223</v>
      </c>
      <c r="AN80" t="s">
        <v>224</v>
      </c>
      <c r="AO80" t="s">
        <v>74</v>
      </c>
      <c r="AP80" t="s">
        <v>1904</v>
      </c>
      <c r="AQ80" t="s">
        <v>74</v>
      </c>
      <c r="AR80" t="s">
        <v>1891</v>
      </c>
      <c r="AS80" t="s">
        <v>1905</v>
      </c>
      <c r="AT80" t="s">
        <v>912</v>
      </c>
      <c r="AU80">
        <v>2017</v>
      </c>
      <c r="AV80">
        <v>8</v>
      </c>
      <c r="AW80">
        <v>5</v>
      </c>
      <c r="AX80" t="s">
        <v>74</v>
      </c>
      <c r="AY80" t="s">
        <v>74</v>
      </c>
      <c r="AZ80" t="s">
        <v>74</v>
      </c>
      <c r="BA80" t="s">
        <v>74</v>
      </c>
      <c r="BB80" t="s">
        <v>74</v>
      </c>
      <c r="BC80" t="s">
        <v>74</v>
      </c>
      <c r="BD80">
        <v>138</v>
      </c>
      <c r="BE80" t="s">
        <v>1906</v>
      </c>
      <c r="BF80" t="str">
        <f>HYPERLINK("http://dx.doi.org/10.3390/f8050138","http://dx.doi.org/10.3390/f8050138")</f>
        <v>http://dx.doi.org/10.3390/f8050138</v>
      </c>
      <c r="BG80" t="s">
        <v>74</v>
      </c>
      <c r="BH80" t="s">
        <v>74</v>
      </c>
      <c r="BI80">
        <v>19</v>
      </c>
      <c r="BJ80" t="s">
        <v>132</v>
      </c>
      <c r="BK80" t="s">
        <v>102</v>
      </c>
      <c r="BL80" t="s">
        <v>132</v>
      </c>
      <c r="BM80" t="s">
        <v>1907</v>
      </c>
      <c r="BN80" t="s">
        <v>74</v>
      </c>
      <c r="BO80" t="s">
        <v>161</v>
      </c>
      <c r="BP80" t="s">
        <v>74</v>
      </c>
      <c r="BQ80" t="s">
        <v>74</v>
      </c>
      <c r="BR80" t="s">
        <v>106</v>
      </c>
      <c r="BS80" t="s">
        <v>1908</v>
      </c>
      <c r="BT80" t="str">
        <f>HYPERLINK("https%3A%2F%2Fwww.webofscience.com%2Fwos%2Fwoscc%2Ffull-record%2FWOS:000404099300001","View Full Record in Web of Science")</f>
        <v>View Full Record in Web of Science</v>
      </c>
    </row>
    <row r="81" spans="1:72" x14ac:dyDescent="0.2">
      <c r="A81" t="s">
        <v>72</v>
      </c>
      <c r="B81" t="s">
        <v>1909</v>
      </c>
      <c r="C81" t="s">
        <v>74</v>
      </c>
      <c r="D81" t="s">
        <v>74</v>
      </c>
      <c r="E81" t="s">
        <v>74</v>
      </c>
      <c r="F81" t="s">
        <v>1910</v>
      </c>
      <c r="G81" t="s">
        <v>74</v>
      </c>
      <c r="H81" t="s">
        <v>74</v>
      </c>
      <c r="I81" t="s">
        <v>1911</v>
      </c>
      <c r="J81" t="s">
        <v>1912</v>
      </c>
      <c r="K81" t="s">
        <v>74</v>
      </c>
      <c r="L81" t="s">
        <v>74</v>
      </c>
      <c r="M81" t="s">
        <v>78</v>
      </c>
      <c r="N81" t="s">
        <v>79</v>
      </c>
      <c r="O81" t="s">
        <v>74</v>
      </c>
      <c r="P81" t="s">
        <v>74</v>
      </c>
      <c r="Q81" t="s">
        <v>74</v>
      </c>
      <c r="R81" t="s">
        <v>74</v>
      </c>
      <c r="S81" t="s">
        <v>74</v>
      </c>
      <c r="T81" t="s">
        <v>1913</v>
      </c>
      <c r="U81" t="s">
        <v>1914</v>
      </c>
      <c r="V81" t="s">
        <v>1915</v>
      </c>
      <c r="W81" t="s">
        <v>1916</v>
      </c>
      <c r="X81" t="s">
        <v>1917</v>
      </c>
      <c r="Y81" t="s">
        <v>1918</v>
      </c>
      <c r="Z81" t="s">
        <v>1919</v>
      </c>
      <c r="AA81" t="s">
        <v>1920</v>
      </c>
      <c r="AB81" t="s">
        <v>74</v>
      </c>
      <c r="AC81" t="s">
        <v>74</v>
      </c>
      <c r="AD81" t="s">
        <v>74</v>
      </c>
      <c r="AE81" t="s">
        <v>74</v>
      </c>
      <c r="AF81" t="s">
        <v>74</v>
      </c>
      <c r="AG81">
        <v>26</v>
      </c>
      <c r="AH81">
        <v>15</v>
      </c>
      <c r="AI81">
        <v>17</v>
      </c>
      <c r="AJ81">
        <v>0</v>
      </c>
      <c r="AK81">
        <v>11</v>
      </c>
      <c r="AL81" t="s">
        <v>1921</v>
      </c>
      <c r="AM81" t="s">
        <v>1922</v>
      </c>
      <c r="AN81" t="s">
        <v>1923</v>
      </c>
      <c r="AO81" t="s">
        <v>1924</v>
      </c>
      <c r="AP81" t="s">
        <v>1925</v>
      </c>
      <c r="AQ81" t="s">
        <v>74</v>
      </c>
      <c r="AR81" t="s">
        <v>1926</v>
      </c>
      <c r="AS81" t="s">
        <v>1927</v>
      </c>
      <c r="AT81" t="s">
        <v>74</v>
      </c>
      <c r="AU81">
        <v>2014</v>
      </c>
      <c r="AV81">
        <v>23</v>
      </c>
      <c r="AW81">
        <v>3</v>
      </c>
      <c r="AX81" t="s">
        <v>74</v>
      </c>
      <c r="AY81" t="s">
        <v>74</v>
      </c>
      <c r="AZ81" t="s">
        <v>74</v>
      </c>
      <c r="BA81" t="s">
        <v>74</v>
      </c>
      <c r="BB81">
        <v>795</v>
      </c>
      <c r="BC81">
        <v>800</v>
      </c>
      <c r="BD81" t="s">
        <v>74</v>
      </c>
      <c r="BE81" t="s">
        <v>74</v>
      </c>
      <c r="BF81" t="s">
        <v>74</v>
      </c>
      <c r="BG81" t="s">
        <v>74</v>
      </c>
      <c r="BH81" t="s">
        <v>74</v>
      </c>
      <c r="BI81">
        <v>6</v>
      </c>
      <c r="BJ81" t="s">
        <v>567</v>
      </c>
      <c r="BK81" t="s">
        <v>102</v>
      </c>
      <c r="BL81" t="s">
        <v>568</v>
      </c>
      <c r="BM81" t="s">
        <v>1928</v>
      </c>
      <c r="BN81" t="s">
        <v>74</v>
      </c>
      <c r="BO81" t="s">
        <v>74</v>
      </c>
      <c r="BP81" t="s">
        <v>74</v>
      </c>
      <c r="BQ81" t="s">
        <v>74</v>
      </c>
      <c r="BR81" t="s">
        <v>106</v>
      </c>
      <c r="BS81" t="s">
        <v>1929</v>
      </c>
      <c r="BT81" t="str">
        <f>HYPERLINK("https%3A%2F%2Fwww.webofscience.com%2Fwos%2Fwoscc%2Ffull-record%2FWOS:000333444900020","View Full Record in Web of Science")</f>
        <v>View Full Record in Web of Science</v>
      </c>
    </row>
    <row r="82" spans="1:72" x14ac:dyDescent="0.2">
      <c r="A82" t="s">
        <v>72</v>
      </c>
      <c r="B82" t="s">
        <v>1930</v>
      </c>
      <c r="C82" t="s">
        <v>74</v>
      </c>
      <c r="D82" t="s">
        <v>74</v>
      </c>
      <c r="E82" t="s">
        <v>74</v>
      </c>
      <c r="F82" t="s">
        <v>1931</v>
      </c>
      <c r="G82" t="s">
        <v>74</v>
      </c>
      <c r="H82" t="s">
        <v>74</v>
      </c>
      <c r="I82" t="s">
        <v>1932</v>
      </c>
      <c r="J82" t="s">
        <v>1853</v>
      </c>
      <c r="K82" t="s">
        <v>74</v>
      </c>
      <c r="L82" t="s">
        <v>74</v>
      </c>
      <c r="M82" t="s">
        <v>78</v>
      </c>
      <c r="N82" t="s">
        <v>79</v>
      </c>
      <c r="O82" t="s">
        <v>74</v>
      </c>
      <c r="P82" t="s">
        <v>74</v>
      </c>
      <c r="Q82" t="s">
        <v>74</v>
      </c>
      <c r="R82" t="s">
        <v>74</v>
      </c>
      <c r="S82" t="s">
        <v>74</v>
      </c>
      <c r="T82" t="s">
        <v>1933</v>
      </c>
      <c r="U82" t="s">
        <v>74</v>
      </c>
      <c r="V82" t="s">
        <v>1934</v>
      </c>
      <c r="W82" t="s">
        <v>1935</v>
      </c>
      <c r="X82" t="s">
        <v>1936</v>
      </c>
      <c r="Y82" t="s">
        <v>1937</v>
      </c>
      <c r="Z82" t="s">
        <v>1938</v>
      </c>
      <c r="AA82" t="s">
        <v>74</v>
      </c>
      <c r="AB82" t="s">
        <v>74</v>
      </c>
      <c r="AC82" t="s">
        <v>1939</v>
      </c>
      <c r="AD82" t="s">
        <v>1940</v>
      </c>
      <c r="AE82" t="s">
        <v>1941</v>
      </c>
      <c r="AF82" t="s">
        <v>74</v>
      </c>
      <c r="AG82">
        <v>29</v>
      </c>
      <c r="AH82">
        <v>2</v>
      </c>
      <c r="AI82">
        <v>2</v>
      </c>
      <c r="AJ82">
        <v>5</v>
      </c>
      <c r="AK82">
        <v>44</v>
      </c>
      <c r="AL82" t="s">
        <v>1861</v>
      </c>
      <c r="AM82" t="s">
        <v>1862</v>
      </c>
      <c r="AN82" t="s">
        <v>1863</v>
      </c>
      <c r="AO82" t="s">
        <v>1864</v>
      </c>
      <c r="AP82" t="s">
        <v>1865</v>
      </c>
      <c r="AQ82" t="s">
        <v>74</v>
      </c>
      <c r="AR82" t="s">
        <v>1866</v>
      </c>
      <c r="AS82" t="s">
        <v>1867</v>
      </c>
      <c r="AT82" t="s">
        <v>74</v>
      </c>
      <c r="AU82">
        <v>2023</v>
      </c>
      <c r="AV82">
        <v>32</v>
      </c>
      <c r="AW82">
        <v>5</v>
      </c>
      <c r="AX82" t="s">
        <v>74</v>
      </c>
      <c r="AY82" t="s">
        <v>74</v>
      </c>
      <c r="AZ82" t="s">
        <v>74</v>
      </c>
      <c r="BA82" t="s">
        <v>74</v>
      </c>
      <c r="BB82">
        <v>4471</v>
      </c>
      <c r="BC82">
        <v>4480</v>
      </c>
      <c r="BD82" t="s">
        <v>74</v>
      </c>
      <c r="BE82" t="s">
        <v>1942</v>
      </c>
      <c r="BF82" t="str">
        <f>HYPERLINK("http://dx.doi.org/10.15244/pjoes/168263","http://dx.doi.org/10.15244/pjoes/168263")</f>
        <v>http://dx.doi.org/10.15244/pjoes/168263</v>
      </c>
      <c r="BG82" t="s">
        <v>74</v>
      </c>
      <c r="BH82" t="s">
        <v>74</v>
      </c>
      <c r="BI82">
        <v>10</v>
      </c>
      <c r="BJ82" t="s">
        <v>567</v>
      </c>
      <c r="BK82" t="s">
        <v>102</v>
      </c>
      <c r="BL82" t="s">
        <v>568</v>
      </c>
      <c r="BM82" t="s">
        <v>1943</v>
      </c>
      <c r="BN82" t="s">
        <v>74</v>
      </c>
      <c r="BO82" t="s">
        <v>231</v>
      </c>
      <c r="BP82" t="s">
        <v>74</v>
      </c>
      <c r="BQ82" t="s">
        <v>74</v>
      </c>
      <c r="BR82" t="s">
        <v>106</v>
      </c>
      <c r="BS82" t="s">
        <v>1944</v>
      </c>
      <c r="BT82" t="str">
        <f>HYPERLINK("https%3A%2F%2Fwww.webofscience.com%2Fwos%2Fwoscc%2Ffull-record%2FWOS:001086532000003","View Full Record in Web of Science")</f>
        <v>View Full Record in Web of Science</v>
      </c>
    </row>
    <row r="83" spans="1:72" x14ac:dyDescent="0.2">
      <c r="A83" t="s">
        <v>72</v>
      </c>
      <c r="B83" t="s">
        <v>1945</v>
      </c>
      <c r="C83" t="s">
        <v>74</v>
      </c>
      <c r="D83" t="s">
        <v>74</v>
      </c>
      <c r="E83" t="s">
        <v>74</v>
      </c>
      <c r="F83" t="s">
        <v>1946</v>
      </c>
      <c r="G83" t="s">
        <v>74</v>
      </c>
      <c r="H83" t="s">
        <v>74</v>
      </c>
      <c r="I83" t="s">
        <v>1947</v>
      </c>
      <c r="J83" t="s">
        <v>1948</v>
      </c>
      <c r="K83" t="s">
        <v>74</v>
      </c>
      <c r="L83" t="s">
        <v>74</v>
      </c>
      <c r="M83" t="s">
        <v>78</v>
      </c>
      <c r="N83" t="s">
        <v>79</v>
      </c>
      <c r="O83" t="s">
        <v>74</v>
      </c>
      <c r="P83" t="s">
        <v>74</v>
      </c>
      <c r="Q83" t="s">
        <v>74</v>
      </c>
      <c r="R83" t="s">
        <v>74</v>
      </c>
      <c r="S83" t="s">
        <v>74</v>
      </c>
      <c r="T83" t="s">
        <v>1949</v>
      </c>
      <c r="U83" t="s">
        <v>1950</v>
      </c>
      <c r="V83" t="s">
        <v>1951</v>
      </c>
      <c r="W83" t="s">
        <v>1952</v>
      </c>
      <c r="X83" t="s">
        <v>1953</v>
      </c>
      <c r="Y83" t="s">
        <v>1954</v>
      </c>
      <c r="Z83" t="s">
        <v>1955</v>
      </c>
      <c r="AA83" t="s">
        <v>74</v>
      </c>
      <c r="AB83" t="s">
        <v>74</v>
      </c>
      <c r="AC83" t="s">
        <v>1956</v>
      </c>
      <c r="AD83" t="s">
        <v>1957</v>
      </c>
      <c r="AE83" t="s">
        <v>1958</v>
      </c>
      <c r="AF83" t="s">
        <v>74</v>
      </c>
      <c r="AG83">
        <v>61</v>
      </c>
      <c r="AH83">
        <v>1</v>
      </c>
      <c r="AI83">
        <v>1</v>
      </c>
      <c r="AJ83">
        <v>29</v>
      </c>
      <c r="AK83">
        <v>29</v>
      </c>
      <c r="AL83" t="s">
        <v>123</v>
      </c>
      <c r="AM83" t="s">
        <v>124</v>
      </c>
      <c r="AN83" t="s">
        <v>125</v>
      </c>
      <c r="AO83" t="s">
        <v>1959</v>
      </c>
      <c r="AP83" t="s">
        <v>1960</v>
      </c>
      <c r="AQ83" t="s">
        <v>74</v>
      </c>
      <c r="AR83" t="s">
        <v>1961</v>
      </c>
      <c r="AS83" t="s">
        <v>1962</v>
      </c>
      <c r="AT83" t="s">
        <v>1963</v>
      </c>
      <c r="AU83">
        <v>2025</v>
      </c>
      <c r="AV83">
        <v>170</v>
      </c>
      <c r="AW83" t="s">
        <v>74</v>
      </c>
      <c r="AX83" t="s">
        <v>74</v>
      </c>
      <c r="AY83" t="s">
        <v>74</v>
      </c>
      <c r="AZ83" t="s">
        <v>74</v>
      </c>
      <c r="BA83" t="s">
        <v>74</v>
      </c>
      <c r="BB83" t="s">
        <v>74</v>
      </c>
      <c r="BC83" t="s">
        <v>74</v>
      </c>
      <c r="BD83">
        <v>127776</v>
      </c>
      <c r="BE83" t="s">
        <v>1964</v>
      </c>
      <c r="BF83" t="str">
        <f>HYPERLINK("http://dx.doi.org/10.1016/j.eja.2025.127776","http://dx.doi.org/10.1016/j.eja.2025.127776")</f>
        <v>http://dx.doi.org/10.1016/j.eja.2025.127776</v>
      </c>
      <c r="BG83" t="s">
        <v>74</v>
      </c>
      <c r="BH83" t="s">
        <v>1965</v>
      </c>
      <c r="BI83">
        <v>10</v>
      </c>
      <c r="BJ83" t="s">
        <v>1357</v>
      </c>
      <c r="BK83" t="s">
        <v>102</v>
      </c>
      <c r="BL83" t="s">
        <v>103</v>
      </c>
      <c r="BM83" t="s">
        <v>1966</v>
      </c>
      <c r="BN83" t="s">
        <v>74</v>
      </c>
      <c r="BO83" t="s">
        <v>74</v>
      </c>
      <c r="BP83" t="s">
        <v>74</v>
      </c>
      <c r="BQ83" t="s">
        <v>74</v>
      </c>
      <c r="BR83" t="s">
        <v>106</v>
      </c>
      <c r="BS83" t="s">
        <v>1967</v>
      </c>
      <c r="BT83" t="str">
        <f>HYPERLINK("https%3A%2F%2Fwww.webofscience.com%2Fwos%2Fwoscc%2Ffull-record%2FWOS:001548221000001","View Full Record in Web of Science")</f>
        <v>View Full Record in Web of Science</v>
      </c>
    </row>
    <row r="84" spans="1:72" x14ac:dyDescent="0.2">
      <c r="A84" t="s">
        <v>72</v>
      </c>
      <c r="B84" t="s">
        <v>1968</v>
      </c>
      <c r="C84" t="s">
        <v>74</v>
      </c>
      <c r="D84" t="s">
        <v>74</v>
      </c>
      <c r="E84" t="s">
        <v>74</v>
      </c>
      <c r="F84" t="s">
        <v>1969</v>
      </c>
      <c r="G84" t="s">
        <v>74</v>
      </c>
      <c r="H84" t="s">
        <v>74</v>
      </c>
      <c r="I84" t="s">
        <v>1970</v>
      </c>
      <c r="J84" t="s">
        <v>468</v>
      </c>
      <c r="K84" t="s">
        <v>74</v>
      </c>
      <c r="L84" t="s">
        <v>74</v>
      </c>
      <c r="M84" t="s">
        <v>78</v>
      </c>
      <c r="N84" t="s">
        <v>79</v>
      </c>
      <c r="O84" t="s">
        <v>74</v>
      </c>
      <c r="P84" t="s">
        <v>74</v>
      </c>
      <c r="Q84" t="s">
        <v>74</v>
      </c>
      <c r="R84" t="s">
        <v>74</v>
      </c>
      <c r="S84" t="s">
        <v>74</v>
      </c>
      <c r="T84" t="s">
        <v>1971</v>
      </c>
      <c r="U84" t="s">
        <v>1972</v>
      </c>
      <c r="V84" t="s">
        <v>1973</v>
      </c>
      <c r="W84" t="s">
        <v>1974</v>
      </c>
      <c r="X84" t="s">
        <v>1975</v>
      </c>
      <c r="Y84" t="s">
        <v>1976</v>
      </c>
      <c r="Z84" t="s">
        <v>1977</v>
      </c>
      <c r="AA84" t="s">
        <v>74</v>
      </c>
      <c r="AB84" t="s">
        <v>74</v>
      </c>
      <c r="AC84" t="s">
        <v>74</v>
      </c>
      <c r="AD84" t="s">
        <v>74</v>
      </c>
      <c r="AE84" t="s">
        <v>74</v>
      </c>
      <c r="AF84" t="s">
        <v>74</v>
      </c>
      <c r="AG84">
        <v>55</v>
      </c>
      <c r="AH84">
        <v>6</v>
      </c>
      <c r="AI84">
        <v>7</v>
      </c>
      <c r="AJ84">
        <v>19</v>
      </c>
      <c r="AK84">
        <v>67</v>
      </c>
      <c r="AL84" t="s">
        <v>222</v>
      </c>
      <c r="AM84" t="s">
        <v>223</v>
      </c>
      <c r="AN84" t="s">
        <v>224</v>
      </c>
      <c r="AO84" t="s">
        <v>74</v>
      </c>
      <c r="AP84" t="s">
        <v>479</v>
      </c>
      <c r="AQ84" t="s">
        <v>74</v>
      </c>
      <c r="AR84" t="s">
        <v>480</v>
      </c>
      <c r="AS84" t="s">
        <v>481</v>
      </c>
      <c r="AT84" t="s">
        <v>99</v>
      </c>
      <c r="AU84">
        <v>2024</v>
      </c>
      <c r="AV84">
        <v>16</v>
      </c>
      <c r="AW84">
        <v>5</v>
      </c>
      <c r="AX84" t="s">
        <v>74</v>
      </c>
      <c r="AY84" t="s">
        <v>74</v>
      </c>
      <c r="AZ84" t="s">
        <v>74</v>
      </c>
      <c r="BA84" t="s">
        <v>74</v>
      </c>
      <c r="BB84" t="s">
        <v>74</v>
      </c>
      <c r="BC84" t="s">
        <v>74</v>
      </c>
      <c r="BD84">
        <v>2087</v>
      </c>
      <c r="BE84" t="s">
        <v>1978</v>
      </c>
      <c r="BF84" t="str">
        <f>HYPERLINK("http://dx.doi.org/10.3390/su16052087","http://dx.doi.org/10.3390/su16052087")</f>
        <v>http://dx.doi.org/10.3390/su16052087</v>
      </c>
      <c r="BG84" t="s">
        <v>74</v>
      </c>
      <c r="BH84" t="s">
        <v>74</v>
      </c>
      <c r="BI84">
        <v>22</v>
      </c>
      <c r="BJ84" t="s">
        <v>484</v>
      </c>
      <c r="BK84" t="s">
        <v>186</v>
      </c>
      <c r="BL84" t="s">
        <v>485</v>
      </c>
      <c r="BM84" t="s">
        <v>1979</v>
      </c>
      <c r="BN84" t="s">
        <v>74</v>
      </c>
      <c r="BO84" t="s">
        <v>231</v>
      </c>
      <c r="BP84" t="s">
        <v>74</v>
      </c>
      <c r="BQ84" t="s">
        <v>74</v>
      </c>
      <c r="BR84" t="s">
        <v>106</v>
      </c>
      <c r="BS84" t="s">
        <v>1980</v>
      </c>
      <c r="BT84" t="str">
        <f>HYPERLINK("https%3A%2F%2Fwww.webofscience.com%2Fwos%2Fwoscc%2Ffull-record%2FWOS:001182929700001","View Full Record in Web of Science")</f>
        <v>View Full Record in Web of Science</v>
      </c>
    </row>
    <row r="85" spans="1:72" x14ac:dyDescent="0.2">
      <c r="A85" t="s">
        <v>72</v>
      </c>
      <c r="B85" t="s">
        <v>1981</v>
      </c>
      <c r="C85" t="s">
        <v>74</v>
      </c>
      <c r="D85" t="s">
        <v>74</v>
      </c>
      <c r="E85" t="s">
        <v>74</v>
      </c>
      <c r="F85" t="s">
        <v>1982</v>
      </c>
      <c r="G85" t="s">
        <v>74</v>
      </c>
      <c r="H85" t="s">
        <v>74</v>
      </c>
      <c r="I85" t="s">
        <v>1983</v>
      </c>
      <c r="J85" t="s">
        <v>1984</v>
      </c>
      <c r="K85" t="s">
        <v>74</v>
      </c>
      <c r="L85" t="s">
        <v>74</v>
      </c>
      <c r="M85" t="s">
        <v>78</v>
      </c>
      <c r="N85" t="s">
        <v>79</v>
      </c>
      <c r="O85" t="s">
        <v>74</v>
      </c>
      <c r="P85" t="s">
        <v>74</v>
      </c>
      <c r="Q85" t="s">
        <v>74</v>
      </c>
      <c r="R85" t="s">
        <v>74</v>
      </c>
      <c r="S85" t="s">
        <v>74</v>
      </c>
      <c r="T85" t="s">
        <v>74</v>
      </c>
      <c r="U85" t="s">
        <v>1985</v>
      </c>
      <c r="V85" t="s">
        <v>1986</v>
      </c>
      <c r="W85" t="s">
        <v>1987</v>
      </c>
      <c r="X85" t="s">
        <v>1988</v>
      </c>
      <c r="Y85" t="s">
        <v>1989</v>
      </c>
      <c r="Z85" t="s">
        <v>1990</v>
      </c>
      <c r="AA85" t="s">
        <v>1991</v>
      </c>
      <c r="AB85" t="s">
        <v>74</v>
      </c>
      <c r="AC85" t="s">
        <v>1992</v>
      </c>
      <c r="AD85" t="s">
        <v>1993</v>
      </c>
      <c r="AE85" t="s">
        <v>1994</v>
      </c>
      <c r="AF85" t="s">
        <v>74</v>
      </c>
      <c r="AG85">
        <v>41</v>
      </c>
      <c r="AH85">
        <v>8</v>
      </c>
      <c r="AI85">
        <v>10</v>
      </c>
      <c r="AJ85">
        <v>11</v>
      </c>
      <c r="AK85">
        <v>132</v>
      </c>
      <c r="AL85" t="s">
        <v>1995</v>
      </c>
      <c r="AM85" t="s">
        <v>1996</v>
      </c>
      <c r="AN85" t="s">
        <v>1997</v>
      </c>
      <c r="AO85" t="s">
        <v>74</v>
      </c>
      <c r="AP85" t="s">
        <v>1998</v>
      </c>
      <c r="AQ85" t="s">
        <v>74</v>
      </c>
      <c r="AR85" t="s">
        <v>1984</v>
      </c>
      <c r="AS85" t="s">
        <v>1999</v>
      </c>
      <c r="AT85" t="s">
        <v>411</v>
      </c>
      <c r="AU85">
        <v>2023</v>
      </c>
      <c r="AV85">
        <v>26</v>
      </c>
      <c r="AW85">
        <v>9</v>
      </c>
      <c r="AX85" t="s">
        <v>74</v>
      </c>
      <c r="AY85" t="s">
        <v>74</v>
      </c>
      <c r="AZ85" t="s">
        <v>74</v>
      </c>
      <c r="BA85" t="s">
        <v>74</v>
      </c>
      <c r="BB85" t="s">
        <v>74</v>
      </c>
      <c r="BC85" t="s">
        <v>74</v>
      </c>
      <c r="BD85">
        <v>107669</v>
      </c>
      <c r="BE85" t="s">
        <v>2000</v>
      </c>
      <c r="BF85" t="str">
        <f>HYPERLINK("http://dx.doi.org/10.1016/j.isci.2023.107669","http://dx.doi.org/10.1016/j.isci.2023.107669")</f>
        <v>http://dx.doi.org/10.1016/j.isci.2023.107669</v>
      </c>
      <c r="BG85" t="s">
        <v>74</v>
      </c>
      <c r="BH85" t="s">
        <v>2001</v>
      </c>
      <c r="BI85">
        <v>23</v>
      </c>
      <c r="BJ85" t="s">
        <v>158</v>
      </c>
      <c r="BK85" t="s">
        <v>102</v>
      </c>
      <c r="BL85" t="s">
        <v>159</v>
      </c>
      <c r="BM85" t="s">
        <v>2002</v>
      </c>
      <c r="BN85">
        <v>37719439</v>
      </c>
      <c r="BO85" t="s">
        <v>161</v>
      </c>
      <c r="BP85" t="s">
        <v>74</v>
      </c>
      <c r="BQ85" t="s">
        <v>74</v>
      </c>
      <c r="BR85" t="s">
        <v>106</v>
      </c>
      <c r="BS85" t="s">
        <v>2003</v>
      </c>
      <c r="BT85" t="str">
        <f>HYPERLINK("https%3A%2F%2Fwww.webofscience.com%2Fwos%2Fwoscc%2Ffull-record%2FWOS:001071246500001","View Full Record in Web of Science")</f>
        <v>View Full Record in Web of Science</v>
      </c>
    </row>
    <row r="86" spans="1:72" x14ac:dyDescent="0.2">
      <c r="A86" t="s">
        <v>72</v>
      </c>
      <c r="B86" t="s">
        <v>2004</v>
      </c>
      <c r="C86" t="s">
        <v>74</v>
      </c>
      <c r="D86" t="s">
        <v>74</v>
      </c>
      <c r="E86" t="s">
        <v>74</v>
      </c>
      <c r="F86" t="s">
        <v>2005</v>
      </c>
      <c r="G86" t="s">
        <v>74</v>
      </c>
      <c r="H86" t="s">
        <v>74</v>
      </c>
      <c r="I86" t="s">
        <v>2006</v>
      </c>
      <c r="J86" t="s">
        <v>1231</v>
      </c>
      <c r="K86" t="s">
        <v>74</v>
      </c>
      <c r="L86" t="s">
        <v>74</v>
      </c>
      <c r="M86" t="s">
        <v>78</v>
      </c>
      <c r="N86" t="s">
        <v>79</v>
      </c>
      <c r="O86" t="s">
        <v>74</v>
      </c>
      <c r="P86" t="s">
        <v>74</v>
      </c>
      <c r="Q86" t="s">
        <v>74</v>
      </c>
      <c r="R86" t="s">
        <v>74</v>
      </c>
      <c r="S86" t="s">
        <v>74</v>
      </c>
      <c r="T86" t="s">
        <v>2007</v>
      </c>
      <c r="U86" t="s">
        <v>2008</v>
      </c>
      <c r="V86" t="s">
        <v>2009</v>
      </c>
      <c r="W86" t="s">
        <v>2010</v>
      </c>
      <c r="X86" t="s">
        <v>2011</v>
      </c>
      <c r="Y86" t="s">
        <v>2012</v>
      </c>
      <c r="Z86" t="s">
        <v>2013</v>
      </c>
      <c r="AA86" t="s">
        <v>74</v>
      </c>
      <c r="AB86" t="s">
        <v>74</v>
      </c>
      <c r="AC86" t="s">
        <v>2014</v>
      </c>
      <c r="AD86" t="s">
        <v>2015</v>
      </c>
      <c r="AE86" t="s">
        <v>2016</v>
      </c>
      <c r="AF86" t="s">
        <v>74</v>
      </c>
      <c r="AG86">
        <v>50</v>
      </c>
      <c r="AH86">
        <v>2</v>
      </c>
      <c r="AI86">
        <v>2</v>
      </c>
      <c r="AJ86">
        <v>4</v>
      </c>
      <c r="AK86">
        <v>22</v>
      </c>
      <c r="AL86" t="s">
        <v>1242</v>
      </c>
      <c r="AM86" t="s">
        <v>1243</v>
      </c>
      <c r="AN86" t="s">
        <v>1244</v>
      </c>
      <c r="AO86" t="s">
        <v>1245</v>
      </c>
      <c r="AP86" t="s">
        <v>1246</v>
      </c>
      <c r="AQ86" t="s">
        <v>74</v>
      </c>
      <c r="AR86" t="s">
        <v>1247</v>
      </c>
      <c r="AS86" t="s">
        <v>1248</v>
      </c>
      <c r="AT86" t="s">
        <v>2017</v>
      </c>
      <c r="AU86">
        <v>2023</v>
      </c>
      <c r="AV86">
        <v>30</v>
      </c>
      <c r="AW86">
        <v>46</v>
      </c>
      <c r="AX86" t="s">
        <v>74</v>
      </c>
      <c r="AY86" t="s">
        <v>74</v>
      </c>
      <c r="AZ86" t="s">
        <v>74</v>
      </c>
      <c r="BA86" t="s">
        <v>74</v>
      </c>
      <c r="BB86">
        <v>102586</v>
      </c>
      <c r="BC86">
        <v>102603</v>
      </c>
      <c r="BD86" t="s">
        <v>74</v>
      </c>
      <c r="BE86" t="s">
        <v>2018</v>
      </c>
      <c r="BF86" t="str">
        <f>HYPERLINK("http://dx.doi.org/10.1007/s11356-023-29559-6","http://dx.doi.org/10.1007/s11356-023-29559-6")</f>
        <v>http://dx.doi.org/10.1007/s11356-023-29559-6</v>
      </c>
      <c r="BG86" t="s">
        <v>74</v>
      </c>
      <c r="BH86" t="s">
        <v>2001</v>
      </c>
      <c r="BI86">
        <v>18</v>
      </c>
      <c r="BJ86" t="s">
        <v>567</v>
      </c>
      <c r="BK86" t="s">
        <v>102</v>
      </c>
      <c r="BL86" t="s">
        <v>568</v>
      </c>
      <c r="BM86" t="s">
        <v>2019</v>
      </c>
      <c r="BN86">
        <v>37670090</v>
      </c>
      <c r="BO86" t="s">
        <v>74</v>
      </c>
      <c r="BP86" t="s">
        <v>74</v>
      </c>
      <c r="BQ86" t="s">
        <v>74</v>
      </c>
      <c r="BR86" t="s">
        <v>106</v>
      </c>
      <c r="BS86" t="s">
        <v>2020</v>
      </c>
      <c r="BT86" t="str">
        <f>HYPERLINK("https%3A%2F%2Fwww.webofscience.com%2Fwos%2Fwoscc%2Ffull-record%2FWOS:001062761800006","View Full Record in Web of Science")</f>
        <v>View Full Record in Web of Science</v>
      </c>
    </row>
    <row r="87" spans="1:72" x14ac:dyDescent="0.2">
      <c r="A87" t="s">
        <v>72</v>
      </c>
      <c r="B87" t="s">
        <v>2021</v>
      </c>
      <c r="C87" t="s">
        <v>74</v>
      </c>
      <c r="D87" t="s">
        <v>74</v>
      </c>
      <c r="E87" t="s">
        <v>74</v>
      </c>
      <c r="F87" t="s">
        <v>2022</v>
      </c>
      <c r="G87" t="s">
        <v>74</v>
      </c>
      <c r="H87" t="s">
        <v>74</v>
      </c>
      <c r="I87" t="s">
        <v>2023</v>
      </c>
      <c r="J87" t="s">
        <v>1049</v>
      </c>
      <c r="K87" t="s">
        <v>74</v>
      </c>
      <c r="L87" t="s">
        <v>74</v>
      </c>
      <c r="M87" t="s">
        <v>78</v>
      </c>
      <c r="N87" t="s">
        <v>79</v>
      </c>
      <c r="O87" t="s">
        <v>74</v>
      </c>
      <c r="P87" t="s">
        <v>74</v>
      </c>
      <c r="Q87" t="s">
        <v>74</v>
      </c>
      <c r="R87" t="s">
        <v>74</v>
      </c>
      <c r="S87" t="s">
        <v>74</v>
      </c>
      <c r="T87" t="s">
        <v>2024</v>
      </c>
      <c r="U87" t="s">
        <v>2025</v>
      </c>
      <c r="V87" t="s">
        <v>2026</v>
      </c>
      <c r="W87" t="s">
        <v>2027</v>
      </c>
      <c r="X87" t="s">
        <v>2028</v>
      </c>
      <c r="Y87" t="s">
        <v>2029</v>
      </c>
      <c r="Z87" t="s">
        <v>2030</v>
      </c>
      <c r="AA87" t="s">
        <v>2031</v>
      </c>
      <c r="AB87" t="s">
        <v>2032</v>
      </c>
      <c r="AC87" t="s">
        <v>2033</v>
      </c>
      <c r="AD87" t="s">
        <v>2034</v>
      </c>
      <c r="AE87" t="s">
        <v>2035</v>
      </c>
      <c r="AF87" t="s">
        <v>74</v>
      </c>
      <c r="AG87">
        <v>45</v>
      </c>
      <c r="AH87">
        <v>15</v>
      </c>
      <c r="AI87">
        <v>16</v>
      </c>
      <c r="AJ87">
        <v>28</v>
      </c>
      <c r="AK87">
        <v>118</v>
      </c>
      <c r="AL87" t="s">
        <v>1062</v>
      </c>
      <c r="AM87" t="s">
        <v>1063</v>
      </c>
      <c r="AN87" t="s">
        <v>1064</v>
      </c>
      <c r="AO87" t="s">
        <v>1065</v>
      </c>
      <c r="AP87" t="s">
        <v>1066</v>
      </c>
      <c r="AQ87" t="s">
        <v>74</v>
      </c>
      <c r="AR87" t="s">
        <v>1067</v>
      </c>
      <c r="AS87" t="s">
        <v>1068</v>
      </c>
      <c r="AT87" t="s">
        <v>2036</v>
      </c>
      <c r="AU87">
        <v>2024</v>
      </c>
      <c r="AV87">
        <v>16</v>
      </c>
      <c r="AW87">
        <v>2</v>
      </c>
      <c r="AX87" t="s">
        <v>74</v>
      </c>
      <c r="AY87" t="s">
        <v>74</v>
      </c>
      <c r="AZ87" t="s">
        <v>1070</v>
      </c>
      <c r="BA87" t="s">
        <v>74</v>
      </c>
      <c r="BB87">
        <v>267</v>
      </c>
      <c r="BC87">
        <v>289</v>
      </c>
      <c r="BD87" t="s">
        <v>74</v>
      </c>
      <c r="BE87" t="s">
        <v>2037</v>
      </c>
      <c r="BF87" t="str">
        <f>HYPERLINK("http://dx.doi.org/10.1108/CAER-08-2023-0228","http://dx.doi.org/10.1108/CAER-08-2023-0228")</f>
        <v>http://dx.doi.org/10.1108/CAER-08-2023-0228</v>
      </c>
      <c r="BG87" t="s">
        <v>74</v>
      </c>
      <c r="BH87" t="s">
        <v>2038</v>
      </c>
      <c r="BI87">
        <v>23</v>
      </c>
      <c r="BJ87" t="s">
        <v>1073</v>
      </c>
      <c r="BK87" t="s">
        <v>186</v>
      </c>
      <c r="BL87" t="s">
        <v>1074</v>
      </c>
      <c r="BM87" t="s">
        <v>2039</v>
      </c>
      <c r="BN87" t="s">
        <v>74</v>
      </c>
      <c r="BO87" t="s">
        <v>74</v>
      </c>
      <c r="BP87" t="s">
        <v>74</v>
      </c>
      <c r="BQ87" t="s">
        <v>74</v>
      </c>
      <c r="BR87" t="s">
        <v>106</v>
      </c>
      <c r="BS87" t="s">
        <v>2040</v>
      </c>
      <c r="BT87" t="str">
        <f>HYPERLINK("https%3A%2F%2Fwww.webofscience.com%2Fwos%2Fwoscc%2Ffull-record%2FWOS:001196295800001","View Full Record in Web of Science")</f>
        <v>View Full Record in Web of Science</v>
      </c>
    </row>
    <row r="88" spans="1:72" x14ac:dyDescent="0.2">
      <c r="A88" t="s">
        <v>72</v>
      </c>
      <c r="B88" t="s">
        <v>2041</v>
      </c>
      <c r="C88" t="s">
        <v>74</v>
      </c>
      <c r="D88" t="s">
        <v>74</v>
      </c>
      <c r="E88" t="s">
        <v>74</v>
      </c>
      <c r="F88" t="s">
        <v>2042</v>
      </c>
      <c r="G88" t="s">
        <v>74</v>
      </c>
      <c r="H88" t="s">
        <v>74</v>
      </c>
      <c r="I88" t="s">
        <v>2043</v>
      </c>
      <c r="J88" t="s">
        <v>2044</v>
      </c>
      <c r="K88" t="s">
        <v>74</v>
      </c>
      <c r="L88" t="s">
        <v>74</v>
      </c>
      <c r="M88" t="s">
        <v>78</v>
      </c>
      <c r="N88" t="s">
        <v>79</v>
      </c>
      <c r="O88" t="s">
        <v>74</v>
      </c>
      <c r="P88" t="s">
        <v>74</v>
      </c>
      <c r="Q88" t="s">
        <v>74</v>
      </c>
      <c r="R88" t="s">
        <v>74</v>
      </c>
      <c r="S88" t="s">
        <v>74</v>
      </c>
      <c r="T88" t="s">
        <v>2045</v>
      </c>
      <c r="U88" t="s">
        <v>2046</v>
      </c>
      <c r="V88" t="s">
        <v>2047</v>
      </c>
      <c r="W88" t="s">
        <v>2048</v>
      </c>
      <c r="X88" t="s">
        <v>2049</v>
      </c>
      <c r="Y88" t="s">
        <v>2050</v>
      </c>
      <c r="Z88" t="s">
        <v>2051</v>
      </c>
      <c r="AA88" t="s">
        <v>2052</v>
      </c>
      <c r="AB88" t="s">
        <v>2053</v>
      </c>
      <c r="AC88" t="s">
        <v>2054</v>
      </c>
      <c r="AD88" t="s">
        <v>2055</v>
      </c>
      <c r="AE88" t="s">
        <v>2056</v>
      </c>
      <c r="AF88" t="s">
        <v>74</v>
      </c>
      <c r="AG88">
        <v>41</v>
      </c>
      <c r="AH88">
        <v>45</v>
      </c>
      <c r="AI88">
        <v>45</v>
      </c>
      <c r="AJ88">
        <v>14</v>
      </c>
      <c r="AK88">
        <v>170</v>
      </c>
      <c r="AL88" t="s">
        <v>1995</v>
      </c>
      <c r="AM88" t="s">
        <v>1996</v>
      </c>
      <c r="AN88" t="s">
        <v>1997</v>
      </c>
      <c r="AO88" t="s">
        <v>74</v>
      </c>
      <c r="AP88" t="s">
        <v>2057</v>
      </c>
      <c r="AQ88" t="s">
        <v>74</v>
      </c>
      <c r="AR88" t="s">
        <v>2044</v>
      </c>
      <c r="AS88" t="s">
        <v>2058</v>
      </c>
      <c r="AT88" t="s">
        <v>459</v>
      </c>
      <c r="AU88">
        <v>2023</v>
      </c>
      <c r="AV88">
        <v>9</v>
      </c>
      <c r="AW88">
        <v>2</v>
      </c>
      <c r="AX88" t="s">
        <v>74</v>
      </c>
      <c r="AY88" t="s">
        <v>74</v>
      </c>
      <c r="AZ88" t="s">
        <v>74</v>
      </c>
      <c r="BA88" t="s">
        <v>74</v>
      </c>
      <c r="BB88" t="s">
        <v>74</v>
      </c>
      <c r="BC88" t="s">
        <v>74</v>
      </c>
      <c r="BD88" t="s">
        <v>2059</v>
      </c>
      <c r="BE88" t="s">
        <v>2060</v>
      </c>
      <c r="BF88" t="str">
        <f>HYPERLINK("http://dx.doi.org/10.1016/j.heliyon.2023.e13367","http://dx.doi.org/10.1016/j.heliyon.2023.e13367")</f>
        <v>http://dx.doi.org/10.1016/j.heliyon.2023.e13367</v>
      </c>
      <c r="BG88" t="s">
        <v>74</v>
      </c>
      <c r="BH88" t="s">
        <v>1250</v>
      </c>
      <c r="BI88">
        <v>10</v>
      </c>
      <c r="BJ88" t="s">
        <v>158</v>
      </c>
      <c r="BK88" t="s">
        <v>102</v>
      </c>
      <c r="BL88" t="s">
        <v>159</v>
      </c>
      <c r="BM88" t="s">
        <v>2061</v>
      </c>
      <c r="BN88">
        <v>36816315</v>
      </c>
      <c r="BO88" t="s">
        <v>161</v>
      </c>
      <c r="BP88" t="s">
        <v>74</v>
      </c>
      <c r="BQ88" t="s">
        <v>74</v>
      </c>
      <c r="BR88" t="s">
        <v>106</v>
      </c>
      <c r="BS88" t="s">
        <v>2062</v>
      </c>
      <c r="BT88" t="str">
        <f>HYPERLINK("https%3A%2F%2Fwww.webofscience.com%2Fwos%2Fwoscc%2Ffull-record%2FWOS:000968462200001","View Full Record in Web of Science")</f>
        <v>View Full Record in Web of Science</v>
      </c>
    </row>
    <row r="89" spans="1:72" x14ac:dyDescent="0.2">
      <c r="A89" t="s">
        <v>72</v>
      </c>
      <c r="B89" t="s">
        <v>2063</v>
      </c>
      <c r="C89" t="s">
        <v>74</v>
      </c>
      <c r="D89" t="s">
        <v>74</v>
      </c>
      <c r="E89" t="s">
        <v>74</v>
      </c>
      <c r="F89" t="s">
        <v>2064</v>
      </c>
      <c r="G89" t="s">
        <v>74</v>
      </c>
      <c r="H89" t="s">
        <v>74</v>
      </c>
      <c r="I89" t="s">
        <v>2065</v>
      </c>
      <c r="J89" t="s">
        <v>2066</v>
      </c>
      <c r="K89" t="s">
        <v>74</v>
      </c>
      <c r="L89" t="s">
        <v>74</v>
      </c>
      <c r="M89" t="s">
        <v>78</v>
      </c>
      <c r="N89" t="s">
        <v>79</v>
      </c>
      <c r="O89" t="s">
        <v>74</v>
      </c>
      <c r="P89" t="s">
        <v>74</v>
      </c>
      <c r="Q89" t="s">
        <v>74</v>
      </c>
      <c r="R89" t="s">
        <v>74</v>
      </c>
      <c r="S89" t="s">
        <v>74</v>
      </c>
      <c r="T89" t="s">
        <v>2067</v>
      </c>
      <c r="U89" t="s">
        <v>2068</v>
      </c>
      <c r="V89" t="s">
        <v>2069</v>
      </c>
      <c r="W89" t="s">
        <v>2070</v>
      </c>
      <c r="X89" t="s">
        <v>2071</v>
      </c>
      <c r="Y89" t="s">
        <v>2072</v>
      </c>
      <c r="Z89" t="s">
        <v>2073</v>
      </c>
      <c r="AA89" t="s">
        <v>74</v>
      </c>
      <c r="AB89" t="s">
        <v>74</v>
      </c>
      <c r="AC89" t="s">
        <v>2074</v>
      </c>
      <c r="AD89" t="s">
        <v>2074</v>
      </c>
      <c r="AE89" t="s">
        <v>456</v>
      </c>
      <c r="AF89" t="s">
        <v>74</v>
      </c>
      <c r="AG89">
        <v>40</v>
      </c>
      <c r="AH89">
        <v>2</v>
      </c>
      <c r="AI89">
        <v>2</v>
      </c>
      <c r="AJ89">
        <v>13</v>
      </c>
      <c r="AK89">
        <v>87</v>
      </c>
      <c r="AL89" t="s">
        <v>2075</v>
      </c>
      <c r="AM89" t="s">
        <v>2076</v>
      </c>
      <c r="AN89" t="s">
        <v>2077</v>
      </c>
      <c r="AO89" t="s">
        <v>2078</v>
      </c>
      <c r="AP89" t="s">
        <v>2079</v>
      </c>
      <c r="AQ89" t="s">
        <v>74</v>
      </c>
      <c r="AR89" t="s">
        <v>2080</v>
      </c>
      <c r="AS89" t="s">
        <v>2081</v>
      </c>
      <c r="AT89" t="s">
        <v>2082</v>
      </c>
      <c r="AU89">
        <v>2024</v>
      </c>
      <c r="AV89">
        <v>58</v>
      </c>
      <c r="AW89">
        <v>1</v>
      </c>
      <c r="AX89" t="s">
        <v>74</v>
      </c>
      <c r="AY89" t="s">
        <v>74</v>
      </c>
      <c r="AZ89" t="s">
        <v>74</v>
      </c>
      <c r="BA89" t="s">
        <v>74</v>
      </c>
      <c r="BB89">
        <v>281</v>
      </c>
      <c r="BC89">
        <v>301</v>
      </c>
      <c r="BD89" t="s">
        <v>74</v>
      </c>
      <c r="BE89" t="s">
        <v>2083</v>
      </c>
      <c r="BF89" t="str">
        <f>HYPERLINK("http://dx.doi.org/10.1051/ro/2023155","http://dx.doi.org/10.1051/ro/2023155")</f>
        <v>http://dx.doi.org/10.1051/ro/2023155</v>
      </c>
      <c r="BG89" t="s">
        <v>74</v>
      </c>
      <c r="BH89" t="s">
        <v>74</v>
      </c>
      <c r="BI89">
        <v>21</v>
      </c>
      <c r="BJ89" t="s">
        <v>2084</v>
      </c>
      <c r="BK89" t="s">
        <v>102</v>
      </c>
      <c r="BL89" t="s">
        <v>2084</v>
      </c>
      <c r="BM89" t="s">
        <v>2085</v>
      </c>
      <c r="BN89" t="s">
        <v>74</v>
      </c>
      <c r="BO89" t="s">
        <v>916</v>
      </c>
      <c r="BP89" t="s">
        <v>74</v>
      </c>
      <c r="BQ89" t="s">
        <v>74</v>
      </c>
      <c r="BR89" t="s">
        <v>106</v>
      </c>
      <c r="BS89" t="s">
        <v>2086</v>
      </c>
      <c r="BT89" t="str">
        <f>HYPERLINK("https%3A%2F%2Fwww.webofscience.com%2Fwos%2Fwoscc%2Ffull-record%2FWOS:001157553900001","View Full Record in Web of Science")</f>
        <v>View Full Record in Web of Science</v>
      </c>
    </row>
    <row r="90" spans="1:72" x14ac:dyDescent="0.2">
      <c r="A90" t="s">
        <v>72</v>
      </c>
      <c r="B90" t="s">
        <v>2087</v>
      </c>
      <c r="C90" t="s">
        <v>74</v>
      </c>
      <c r="D90" t="s">
        <v>74</v>
      </c>
      <c r="E90" t="s">
        <v>74</v>
      </c>
      <c r="F90" t="s">
        <v>2088</v>
      </c>
      <c r="G90" t="s">
        <v>74</v>
      </c>
      <c r="H90" t="s">
        <v>74</v>
      </c>
      <c r="I90" t="s">
        <v>2089</v>
      </c>
      <c r="J90" t="s">
        <v>468</v>
      </c>
      <c r="K90" t="s">
        <v>74</v>
      </c>
      <c r="L90" t="s">
        <v>74</v>
      </c>
      <c r="M90" t="s">
        <v>78</v>
      </c>
      <c r="N90" t="s">
        <v>79</v>
      </c>
      <c r="O90" t="s">
        <v>74</v>
      </c>
      <c r="P90" t="s">
        <v>74</v>
      </c>
      <c r="Q90" t="s">
        <v>74</v>
      </c>
      <c r="R90" t="s">
        <v>74</v>
      </c>
      <c r="S90" t="s">
        <v>74</v>
      </c>
      <c r="T90" t="s">
        <v>2090</v>
      </c>
      <c r="U90" t="s">
        <v>2091</v>
      </c>
      <c r="V90" t="s">
        <v>2092</v>
      </c>
      <c r="W90" t="s">
        <v>2093</v>
      </c>
      <c r="X90" t="s">
        <v>2094</v>
      </c>
      <c r="Y90" t="s">
        <v>2095</v>
      </c>
      <c r="Z90" t="s">
        <v>2096</v>
      </c>
      <c r="AA90" t="s">
        <v>74</v>
      </c>
      <c r="AB90" t="s">
        <v>74</v>
      </c>
      <c r="AC90" t="s">
        <v>2097</v>
      </c>
      <c r="AD90" t="s">
        <v>2097</v>
      </c>
      <c r="AE90" t="s">
        <v>456</v>
      </c>
      <c r="AF90" t="s">
        <v>74</v>
      </c>
      <c r="AG90">
        <v>50</v>
      </c>
      <c r="AH90">
        <v>7</v>
      </c>
      <c r="AI90">
        <v>7</v>
      </c>
      <c r="AJ90">
        <v>5</v>
      </c>
      <c r="AK90">
        <v>48</v>
      </c>
      <c r="AL90" t="s">
        <v>222</v>
      </c>
      <c r="AM90" t="s">
        <v>223</v>
      </c>
      <c r="AN90" t="s">
        <v>224</v>
      </c>
      <c r="AO90" t="s">
        <v>74</v>
      </c>
      <c r="AP90" t="s">
        <v>479</v>
      </c>
      <c r="AQ90" t="s">
        <v>74</v>
      </c>
      <c r="AR90" t="s">
        <v>480</v>
      </c>
      <c r="AS90" t="s">
        <v>481</v>
      </c>
      <c r="AT90" t="s">
        <v>99</v>
      </c>
      <c r="AU90">
        <v>2024</v>
      </c>
      <c r="AV90">
        <v>16</v>
      </c>
      <c r="AW90">
        <v>5</v>
      </c>
      <c r="AX90" t="s">
        <v>74</v>
      </c>
      <c r="AY90" t="s">
        <v>74</v>
      </c>
      <c r="AZ90" t="s">
        <v>74</v>
      </c>
      <c r="BA90" t="s">
        <v>74</v>
      </c>
      <c r="BB90" t="s">
        <v>74</v>
      </c>
      <c r="BC90" t="s">
        <v>74</v>
      </c>
      <c r="BD90">
        <v>2199</v>
      </c>
      <c r="BE90" t="s">
        <v>2098</v>
      </c>
      <c r="BF90" t="str">
        <f>HYPERLINK("http://dx.doi.org/10.3390/su16052199","http://dx.doi.org/10.3390/su16052199")</f>
        <v>http://dx.doi.org/10.3390/su16052199</v>
      </c>
      <c r="BG90" t="s">
        <v>74</v>
      </c>
      <c r="BH90" t="s">
        <v>74</v>
      </c>
      <c r="BI90">
        <v>26</v>
      </c>
      <c r="BJ90" t="s">
        <v>484</v>
      </c>
      <c r="BK90" t="s">
        <v>186</v>
      </c>
      <c r="BL90" t="s">
        <v>485</v>
      </c>
      <c r="BM90" t="s">
        <v>2099</v>
      </c>
      <c r="BN90" t="s">
        <v>74</v>
      </c>
      <c r="BO90" t="s">
        <v>231</v>
      </c>
      <c r="BP90" t="s">
        <v>74</v>
      </c>
      <c r="BQ90" t="s">
        <v>74</v>
      </c>
      <c r="BR90" t="s">
        <v>106</v>
      </c>
      <c r="BS90" t="s">
        <v>2100</v>
      </c>
      <c r="BT90" t="str">
        <f>HYPERLINK("https%3A%2F%2Fwww.webofscience.com%2Fwos%2Fwoscc%2Ffull-record%2FWOS:001182983700001","View Full Record in Web of Science")</f>
        <v>View Full Record in Web of Science</v>
      </c>
    </row>
    <row r="91" spans="1:72" x14ac:dyDescent="0.2">
      <c r="A91" t="s">
        <v>72</v>
      </c>
      <c r="B91" t="s">
        <v>2101</v>
      </c>
      <c r="C91" t="s">
        <v>74</v>
      </c>
      <c r="D91" t="s">
        <v>74</v>
      </c>
      <c r="E91" t="s">
        <v>74</v>
      </c>
      <c r="F91" t="s">
        <v>2102</v>
      </c>
      <c r="G91" t="s">
        <v>74</v>
      </c>
      <c r="H91" t="s">
        <v>74</v>
      </c>
      <c r="I91" t="s">
        <v>2103</v>
      </c>
      <c r="J91" t="s">
        <v>2104</v>
      </c>
      <c r="K91" t="s">
        <v>74</v>
      </c>
      <c r="L91" t="s">
        <v>74</v>
      </c>
      <c r="M91" t="s">
        <v>78</v>
      </c>
      <c r="N91" t="s">
        <v>79</v>
      </c>
      <c r="O91" t="s">
        <v>74</v>
      </c>
      <c r="P91" t="s">
        <v>74</v>
      </c>
      <c r="Q91" t="s">
        <v>74</v>
      </c>
      <c r="R91" t="s">
        <v>74</v>
      </c>
      <c r="S91" t="s">
        <v>74</v>
      </c>
      <c r="T91" t="s">
        <v>2105</v>
      </c>
      <c r="U91" t="s">
        <v>2106</v>
      </c>
      <c r="V91" t="s">
        <v>2107</v>
      </c>
      <c r="W91" t="s">
        <v>2108</v>
      </c>
      <c r="X91" t="s">
        <v>2109</v>
      </c>
      <c r="Y91" t="s">
        <v>2110</v>
      </c>
      <c r="Z91" t="s">
        <v>2111</v>
      </c>
      <c r="AA91" t="s">
        <v>2112</v>
      </c>
      <c r="AB91" t="s">
        <v>2113</v>
      </c>
      <c r="AC91" t="s">
        <v>2114</v>
      </c>
      <c r="AD91" t="s">
        <v>2114</v>
      </c>
      <c r="AE91" t="s">
        <v>2115</v>
      </c>
      <c r="AF91" t="s">
        <v>74</v>
      </c>
      <c r="AG91">
        <v>70</v>
      </c>
      <c r="AH91">
        <v>19</v>
      </c>
      <c r="AI91">
        <v>21</v>
      </c>
      <c r="AJ91">
        <v>3</v>
      </c>
      <c r="AK91">
        <v>34</v>
      </c>
      <c r="AL91" t="s">
        <v>1242</v>
      </c>
      <c r="AM91" t="s">
        <v>1243</v>
      </c>
      <c r="AN91" t="s">
        <v>1244</v>
      </c>
      <c r="AO91" t="s">
        <v>2116</v>
      </c>
      <c r="AP91" t="s">
        <v>2117</v>
      </c>
      <c r="AQ91" t="s">
        <v>74</v>
      </c>
      <c r="AR91" t="s">
        <v>2118</v>
      </c>
      <c r="AS91" t="s">
        <v>2119</v>
      </c>
      <c r="AT91" t="s">
        <v>636</v>
      </c>
      <c r="AU91">
        <v>2017</v>
      </c>
      <c r="AV91">
        <v>22</v>
      </c>
      <c r="AW91">
        <v>4</v>
      </c>
      <c r="AX91" t="s">
        <v>74</v>
      </c>
      <c r="AY91" t="s">
        <v>74</v>
      </c>
      <c r="AZ91" t="s">
        <v>74</v>
      </c>
      <c r="BA91" t="s">
        <v>74</v>
      </c>
      <c r="BB91">
        <v>601</v>
      </c>
      <c r="BC91">
        <v>617</v>
      </c>
      <c r="BD91" t="s">
        <v>74</v>
      </c>
      <c r="BE91" t="s">
        <v>2120</v>
      </c>
      <c r="BF91" t="str">
        <f>HYPERLINK("http://dx.doi.org/10.1007/s11367-016-1046-4","http://dx.doi.org/10.1007/s11367-016-1046-4")</f>
        <v>http://dx.doi.org/10.1007/s11367-016-1046-4</v>
      </c>
      <c r="BG91" t="s">
        <v>74</v>
      </c>
      <c r="BH91" t="s">
        <v>74</v>
      </c>
      <c r="BI91">
        <v>17</v>
      </c>
      <c r="BJ91" t="s">
        <v>340</v>
      </c>
      <c r="BK91" t="s">
        <v>102</v>
      </c>
      <c r="BL91" t="s">
        <v>341</v>
      </c>
      <c r="BM91" t="s">
        <v>2121</v>
      </c>
      <c r="BN91" t="s">
        <v>74</v>
      </c>
      <c r="BO91" t="s">
        <v>74</v>
      </c>
      <c r="BP91" t="s">
        <v>74</v>
      </c>
      <c r="BQ91" t="s">
        <v>74</v>
      </c>
      <c r="BR91" t="s">
        <v>106</v>
      </c>
      <c r="BS91" t="s">
        <v>2122</v>
      </c>
      <c r="BT91" t="str">
        <f>HYPERLINK("https%3A%2F%2Fwww.webofscience.com%2Fwos%2Fwoscc%2Ffull-record%2FWOS:000398771100013","View Full Record in Web of Science")</f>
        <v>View Full Record in Web of Science</v>
      </c>
    </row>
    <row r="92" spans="1:72" x14ac:dyDescent="0.2">
      <c r="A92" t="s">
        <v>72</v>
      </c>
      <c r="B92" t="s">
        <v>2123</v>
      </c>
      <c r="C92" t="s">
        <v>74</v>
      </c>
      <c r="D92" t="s">
        <v>74</v>
      </c>
      <c r="E92" t="s">
        <v>74</v>
      </c>
      <c r="F92" t="s">
        <v>2124</v>
      </c>
      <c r="G92" t="s">
        <v>74</v>
      </c>
      <c r="H92" t="s">
        <v>74</v>
      </c>
      <c r="I92" t="s">
        <v>2125</v>
      </c>
      <c r="J92" t="s">
        <v>2126</v>
      </c>
      <c r="K92" t="s">
        <v>74</v>
      </c>
      <c r="L92" t="s">
        <v>74</v>
      </c>
      <c r="M92" t="s">
        <v>78</v>
      </c>
      <c r="N92" t="s">
        <v>79</v>
      </c>
      <c r="O92" t="s">
        <v>74</v>
      </c>
      <c r="P92" t="s">
        <v>74</v>
      </c>
      <c r="Q92" t="s">
        <v>74</v>
      </c>
      <c r="R92" t="s">
        <v>74</v>
      </c>
      <c r="S92" t="s">
        <v>74</v>
      </c>
      <c r="T92" t="s">
        <v>2127</v>
      </c>
      <c r="U92" t="s">
        <v>74</v>
      </c>
      <c r="V92" t="s">
        <v>2128</v>
      </c>
      <c r="W92" t="s">
        <v>2129</v>
      </c>
      <c r="X92" t="s">
        <v>2130</v>
      </c>
      <c r="Y92" t="s">
        <v>2131</v>
      </c>
      <c r="Z92" t="s">
        <v>2132</v>
      </c>
      <c r="AA92" t="s">
        <v>2133</v>
      </c>
      <c r="AB92" t="s">
        <v>74</v>
      </c>
      <c r="AC92" t="s">
        <v>2134</v>
      </c>
      <c r="AD92" t="s">
        <v>2135</v>
      </c>
      <c r="AE92" t="s">
        <v>2136</v>
      </c>
      <c r="AF92" t="s">
        <v>74</v>
      </c>
      <c r="AG92">
        <v>93</v>
      </c>
      <c r="AH92">
        <v>0</v>
      </c>
      <c r="AI92">
        <v>0</v>
      </c>
      <c r="AJ92">
        <v>1</v>
      </c>
      <c r="AK92">
        <v>1</v>
      </c>
      <c r="AL92" t="s">
        <v>934</v>
      </c>
      <c r="AM92" t="s">
        <v>177</v>
      </c>
      <c r="AN92" t="s">
        <v>935</v>
      </c>
      <c r="AO92" t="s">
        <v>2137</v>
      </c>
      <c r="AP92" t="s">
        <v>2138</v>
      </c>
      <c r="AQ92" t="s">
        <v>74</v>
      </c>
      <c r="AR92" t="s">
        <v>2139</v>
      </c>
      <c r="AS92" t="s">
        <v>2140</v>
      </c>
      <c r="AT92" t="s">
        <v>99</v>
      </c>
      <c r="AU92">
        <v>2026</v>
      </c>
      <c r="AV92">
        <v>195</v>
      </c>
      <c r="AW92" t="s">
        <v>74</v>
      </c>
      <c r="AX92" t="s">
        <v>74</v>
      </c>
      <c r="AY92" t="s">
        <v>74</v>
      </c>
      <c r="AZ92" t="s">
        <v>74</v>
      </c>
      <c r="BA92" t="s">
        <v>74</v>
      </c>
      <c r="BB92" t="s">
        <v>74</v>
      </c>
      <c r="BC92" t="s">
        <v>74</v>
      </c>
      <c r="BD92">
        <v>113874</v>
      </c>
      <c r="BE92" t="s">
        <v>2141</v>
      </c>
      <c r="BF92" t="str">
        <f>HYPERLINK("http://dx.doi.org/10.1016/j.materresbull.2025.113874","http://dx.doi.org/10.1016/j.materresbull.2025.113874")</f>
        <v>http://dx.doi.org/10.1016/j.materresbull.2025.113874</v>
      </c>
      <c r="BG92" t="s">
        <v>74</v>
      </c>
      <c r="BH92" t="s">
        <v>962</v>
      </c>
      <c r="BI92">
        <v>19</v>
      </c>
      <c r="BJ92" t="s">
        <v>2142</v>
      </c>
      <c r="BK92" t="s">
        <v>102</v>
      </c>
      <c r="BL92" t="s">
        <v>2143</v>
      </c>
      <c r="BM92" t="s">
        <v>2144</v>
      </c>
      <c r="BN92" t="s">
        <v>74</v>
      </c>
      <c r="BO92" t="s">
        <v>74</v>
      </c>
      <c r="BP92" t="s">
        <v>74</v>
      </c>
      <c r="BQ92" t="s">
        <v>74</v>
      </c>
      <c r="BR92" t="s">
        <v>106</v>
      </c>
      <c r="BS92" t="s">
        <v>2145</v>
      </c>
      <c r="BT92" t="str">
        <f>HYPERLINK("https%3A%2F%2Fwww.webofscience.com%2Fwos%2Fwoscc%2Ffull-record%2FWOS:001623210000002","View Full Record in Web of Science")</f>
        <v>View Full Record in Web of Science</v>
      </c>
    </row>
    <row r="93" spans="1:72" x14ac:dyDescent="0.2">
      <c r="A93" t="s">
        <v>72</v>
      </c>
      <c r="B93" t="s">
        <v>2146</v>
      </c>
      <c r="C93" t="s">
        <v>74</v>
      </c>
      <c r="D93" t="s">
        <v>74</v>
      </c>
      <c r="E93" t="s">
        <v>74</v>
      </c>
      <c r="F93" t="s">
        <v>2147</v>
      </c>
      <c r="G93" t="s">
        <v>74</v>
      </c>
      <c r="H93" t="s">
        <v>74</v>
      </c>
      <c r="I93" t="s">
        <v>2148</v>
      </c>
      <c r="J93" t="s">
        <v>2149</v>
      </c>
      <c r="K93" t="s">
        <v>74</v>
      </c>
      <c r="L93" t="s">
        <v>74</v>
      </c>
      <c r="M93" t="s">
        <v>78</v>
      </c>
      <c r="N93" t="s">
        <v>79</v>
      </c>
      <c r="O93" t="s">
        <v>74</v>
      </c>
      <c r="P93" t="s">
        <v>74</v>
      </c>
      <c r="Q93" t="s">
        <v>74</v>
      </c>
      <c r="R93" t="s">
        <v>74</v>
      </c>
      <c r="S93" t="s">
        <v>74</v>
      </c>
      <c r="T93" t="s">
        <v>2150</v>
      </c>
      <c r="U93" t="s">
        <v>2151</v>
      </c>
      <c r="V93" t="s">
        <v>2152</v>
      </c>
      <c r="W93" t="s">
        <v>2153</v>
      </c>
      <c r="X93" t="s">
        <v>2154</v>
      </c>
      <c r="Y93" t="s">
        <v>2155</v>
      </c>
      <c r="Z93" t="s">
        <v>2156</v>
      </c>
      <c r="AA93" t="s">
        <v>2157</v>
      </c>
      <c r="AB93" t="s">
        <v>2158</v>
      </c>
      <c r="AC93" t="s">
        <v>2159</v>
      </c>
      <c r="AD93" t="s">
        <v>2160</v>
      </c>
      <c r="AE93" t="s">
        <v>2161</v>
      </c>
      <c r="AF93" t="s">
        <v>74</v>
      </c>
      <c r="AG93">
        <v>55</v>
      </c>
      <c r="AH93">
        <v>45</v>
      </c>
      <c r="AI93">
        <v>52</v>
      </c>
      <c r="AJ93">
        <v>5</v>
      </c>
      <c r="AK93">
        <v>188</v>
      </c>
      <c r="AL93" t="s">
        <v>2162</v>
      </c>
      <c r="AM93" t="s">
        <v>124</v>
      </c>
      <c r="AN93" t="s">
        <v>2163</v>
      </c>
      <c r="AO93" t="s">
        <v>2164</v>
      </c>
      <c r="AP93" t="s">
        <v>2165</v>
      </c>
      <c r="AQ93" t="s">
        <v>74</v>
      </c>
      <c r="AR93" t="s">
        <v>2166</v>
      </c>
      <c r="AS93" t="s">
        <v>2167</v>
      </c>
      <c r="AT93" t="s">
        <v>805</v>
      </c>
      <c r="AU93">
        <v>2018</v>
      </c>
      <c r="AV93">
        <v>183</v>
      </c>
      <c r="AW93" t="s">
        <v>74</v>
      </c>
      <c r="AX93" t="s">
        <v>74</v>
      </c>
      <c r="AY93" t="s">
        <v>74</v>
      </c>
      <c r="AZ93" t="s">
        <v>74</v>
      </c>
      <c r="BA93" t="s">
        <v>74</v>
      </c>
      <c r="BB93">
        <v>51</v>
      </c>
      <c r="BC93">
        <v>59</v>
      </c>
      <c r="BD93" t="s">
        <v>74</v>
      </c>
      <c r="BE93" t="s">
        <v>2168</v>
      </c>
      <c r="BF93" t="str">
        <f>HYPERLINK("http://dx.doi.org/10.1016/j.still.2018.06.001","http://dx.doi.org/10.1016/j.still.2018.06.001")</f>
        <v>http://dx.doi.org/10.1016/j.still.2018.06.001</v>
      </c>
      <c r="BG93" t="s">
        <v>74</v>
      </c>
      <c r="BH93" t="s">
        <v>74</v>
      </c>
      <c r="BI93">
        <v>9</v>
      </c>
      <c r="BJ93" t="s">
        <v>256</v>
      </c>
      <c r="BK93" t="s">
        <v>102</v>
      </c>
      <c r="BL93" t="s">
        <v>103</v>
      </c>
      <c r="BM93" t="s">
        <v>2169</v>
      </c>
      <c r="BN93" t="s">
        <v>74</v>
      </c>
      <c r="BO93" t="s">
        <v>74</v>
      </c>
      <c r="BP93" t="s">
        <v>74</v>
      </c>
      <c r="BQ93" t="s">
        <v>74</v>
      </c>
      <c r="BR93" t="s">
        <v>106</v>
      </c>
      <c r="BS93" t="s">
        <v>2170</v>
      </c>
      <c r="BT93" t="str">
        <f>HYPERLINK("https%3A%2F%2Fwww.webofscience.com%2Fwos%2Fwoscc%2Ffull-record%2FWOS:000440119700006","View Full Record in Web of Science")</f>
        <v>View Full Record in Web of Science</v>
      </c>
    </row>
    <row r="94" spans="1:72" x14ac:dyDescent="0.2">
      <c r="A94" t="s">
        <v>72</v>
      </c>
      <c r="B94" t="s">
        <v>2171</v>
      </c>
      <c r="C94" t="s">
        <v>74</v>
      </c>
      <c r="D94" t="s">
        <v>74</v>
      </c>
      <c r="E94" t="s">
        <v>74</v>
      </c>
      <c r="F94" t="s">
        <v>2172</v>
      </c>
      <c r="G94" t="s">
        <v>74</v>
      </c>
      <c r="H94" t="s">
        <v>74</v>
      </c>
      <c r="I94" t="s">
        <v>2173</v>
      </c>
      <c r="J94" t="s">
        <v>2174</v>
      </c>
      <c r="K94" t="s">
        <v>74</v>
      </c>
      <c r="L94" t="s">
        <v>74</v>
      </c>
      <c r="M94" t="s">
        <v>78</v>
      </c>
      <c r="N94" t="s">
        <v>79</v>
      </c>
      <c r="O94" t="s">
        <v>74</v>
      </c>
      <c r="P94" t="s">
        <v>74</v>
      </c>
      <c r="Q94" t="s">
        <v>74</v>
      </c>
      <c r="R94" t="s">
        <v>74</v>
      </c>
      <c r="S94" t="s">
        <v>74</v>
      </c>
      <c r="T94" t="s">
        <v>2175</v>
      </c>
      <c r="U94" t="s">
        <v>2176</v>
      </c>
      <c r="V94" t="s">
        <v>2177</v>
      </c>
      <c r="W94" t="s">
        <v>2178</v>
      </c>
      <c r="X94" t="s">
        <v>2179</v>
      </c>
      <c r="Y94" t="s">
        <v>2180</v>
      </c>
      <c r="Z94" t="s">
        <v>2181</v>
      </c>
      <c r="AA94" t="s">
        <v>2182</v>
      </c>
      <c r="AB94" t="s">
        <v>2183</v>
      </c>
      <c r="AC94" t="s">
        <v>2184</v>
      </c>
      <c r="AD94" t="s">
        <v>2185</v>
      </c>
      <c r="AE94" t="s">
        <v>2186</v>
      </c>
      <c r="AF94" t="s">
        <v>74</v>
      </c>
      <c r="AG94">
        <v>27</v>
      </c>
      <c r="AH94">
        <v>21</v>
      </c>
      <c r="AI94">
        <v>26</v>
      </c>
      <c r="AJ94">
        <v>1</v>
      </c>
      <c r="AK94">
        <v>78</v>
      </c>
      <c r="AL94" t="s">
        <v>2187</v>
      </c>
      <c r="AM94" t="s">
        <v>2188</v>
      </c>
      <c r="AN94" t="s">
        <v>2189</v>
      </c>
      <c r="AO94" t="s">
        <v>2190</v>
      </c>
      <c r="AP94" t="s">
        <v>2191</v>
      </c>
      <c r="AQ94" t="s">
        <v>74</v>
      </c>
      <c r="AR94" t="s">
        <v>2192</v>
      </c>
      <c r="AS94" t="s">
        <v>2193</v>
      </c>
      <c r="AT94" t="s">
        <v>1963</v>
      </c>
      <c r="AU94">
        <v>2018</v>
      </c>
      <c r="AV94">
        <v>98</v>
      </c>
      <c r="AW94">
        <v>3</v>
      </c>
      <c r="AX94" t="s">
        <v>74</v>
      </c>
      <c r="AY94" t="s">
        <v>74</v>
      </c>
      <c r="AZ94" t="s">
        <v>74</v>
      </c>
      <c r="BA94" t="s">
        <v>74</v>
      </c>
      <c r="BB94">
        <v>389</v>
      </c>
      <c r="BC94">
        <v>398</v>
      </c>
      <c r="BD94" t="s">
        <v>74</v>
      </c>
      <c r="BE94" t="s">
        <v>2194</v>
      </c>
      <c r="BF94" t="str">
        <f>HYPERLINK("http://dx.doi.org/10.1139/cjss-2017-0001","http://dx.doi.org/10.1139/cjss-2017-0001")</f>
        <v>http://dx.doi.org/10.1139/cjss-2017-0001</v>
      </c>
      <c r="BG94" t="s">
        <v>74</v>
      </c>
      <c r="BH94" t="s">
        <v>74</v>
      </c>
      <c r="BI94">
        <v>10</v>
      </c>
      <c r="BJ94" t="s">
        <v>256</v>
      </c>
      <c r="BK94" t="s">
        <v>102</v>
      </c>
      <c r="BL94" t="s">
        <v>103</v>
      </c>
      <c r="BM94" t="s">
        <v>2195</v>
      </c>
      <c r="BN94" t="s">
        <v>74</v>
      </c>
      <c r="BO94" t="s">
        <v>74</v>
      </c>
      <c r="BP94" t="s">
        <v>74</v>
      </c>
      <c r="BQ94" t="s">
        <v>74</v>
      </c>
      <c r="BR94" t="s">
        <v>106</v>
      </c>
      <c r="BS94" t="s">
        <v>2196</v>
      </c>
      <c r="BT94" t="str">
        <f>HYPERLINK("https%3A%2F%2Fwww.webofscience.com%2Fwos%2Fwoscc%2Ffull-record%2FWOS:000443434000001","View Full Record in Web of Science")</f>
        <v>View Full Record in Web of Science</v>
      </c>
    </row>
    <row r="95" spans="1:72" x14ac:dyDescent="0.2">
      <c r="A95" t="s">
        <v>72</v>
      </c>
      <c r="B95" t="s">
        <v>2197</v>
      </c>
      <c r="C95" t="s">
        <v>74</v>
      </c>
      <c r="D95" t="s">
        <v>74</v>
      </c>
      <c r="E95" t="s">
        <v>74</v>
      </c>
      <c r="F95" t="s">
        <v>2198</v>
      </c>
      <c r="G95" t="s">
        <v>74</v>
      </c>
      <c r="H95" t="s">
        <v>74</v>
      </c>
      <c r="I95" t="s">
        <v>2199</v>
      </c>
      <c r="J95" t="s">
        <v>468</v>
      </c>
      <c r="K95" t="s">
        <v>74</v>
      </c>
      <c r="L95" t="s">
        <v>74</v>
      </c>
      <c r="M95" t="s">
        <v>78</v>
      </c>
      <c r="N95" t="s">
        <v>79</v>
      </c>
      <c r="O95" t="s">
        <v>74</v>
      </c>
      <c r="P95" t="s">
        <v>74</v>
      </c>
      <c r="Q95" t="s">
        <v>74</v>
      </c>
      <c r="R95" t="s">
        <v>74</v>
      </c>
      <c r="S95" t="s">
        <v>74</v>
      </c>
      <c r="T95" t="s">
        <v>2200</v>
      </c>
      <c r="U95" t="s">
        <v>2201</v>
      </c>
      <c r="V95" t="s">
        <v>2202</v>
      </c>
      <c r="W95" t="s">
        <v>2203</v>
      </c>
      <c r="X95" t="s">
        <v>2204</v>
      </c>
      <c r="Y95" t="s">
        <v>2205</v>
      </c>
      <c r="Z95" t="s">
        <v>2206</v>
      </c>
      <c r="AA95" t="s">
        <v>74</v>
      </c>
      <c r="AB95" t="s">
        <v>2207</v>
      </c>
      <c r="AC95" t="s">
        <v>2208</v>
      </c>
      <c r="AD95" t="s">
        <v>2208</v>
      </c>
      <c r="AE95" t="s">
        <v>2209</v>
      </c>
      <c r="AF95" t="s">
        <v>74</v>
      </c>
      <c r="AG95">
        <v>85</v>
      </c>
      <c r="AH95">
        <v>4</v>
      </c>
      <c r="AI95">
        <v>4</v>
      </c>
      <c r="AJ95">
        <v>7</v>
      </c>
      <c r="AK95">
        <v>8</v>
      </c>
      <c r="AL95" t="s">
        <v>222</v>
      </c>
      <c r="AM95" t="s">
        <v>223</v>
      </c>
      <c r="AN95" t="s">
        <v>478</v>
      </c>
      <c r="AO95" t="s">
        <v>74</v>
      </c>
      <c r="AP95" t="s">
        <v>479</v>
      </c>
      <c r="AQ95" t="s">
        <v>74</v>
      </c>
      <c r="AR95" t="s">
        <v>480</v>
      </c>
      <c r="AS95" t="s">
        <v>481</v>
      </c>
      <c r="AT95" t="s">
        <v>2210</v>
      </c>
      <c r="AU95">
        <v>2025</v>
      </c>
      <c r="AV95">
        <v>17</v>
      </c>
      <c r="AW95">
        <v>8</v>
      </c>
      <c r="AX95" t="s">
        <v>74</v>
      </c>
      <c r="AY95" t="s">
        <v>74</v>
      </c>
      <c r="AZ95" t="s">
        <v>74</v>
      </c>
      <c r="BA95" t="s">
        <v>74</v>
      </c>
      <c r="BB95" t="s">
        <v>74</v>
      </c>
      <c r="BC95" t="s">
        <v>74</v>
      </c>
      <c r="BD95">
        <v>3498</v>
      </c>
      <c r="BE95" t="s">
        <v>2211</v>
      </c>
      <c r="BF95" t="str">
        <f>HYPERLINK("http://dx.doi.org/10.3390/su17083498","http://dx.doi.org/10.3390/su17083498")</f>
        <v>http://dx.doi.org/10.3390/su17083498</v>
      </c>
      <c r="BG95" t="s">
        <v>74</v>
      </c>
      <c r="BH95" t="s">
        <v>74</v>
      </c>
      <c r="BI95">
        <v>29</v>
      </c>
      <c r="BJ95" t="s">
        <v>484</v>
      </c>
      <c r="BK95" t="s">
        <v>186</v>
      </c>
      <c r="BL95" t="s">
        <v>485</v>
      </c>
      <c r="BM95" t="s">
        <v>2212</v>
      </c>
      <c r="BN95" t="s">
        <v>74</v>
      </c>
      <c r="BO95" t="s">
        <v>231</v>
      </c>
      <c r="BP95" t="s">
        <v>74</v>
      </c>
      <c r="BQ95" t="s">
        <v>74</v>
      </c>
      <c r="BR95" t="s">
        <v>106</v>
      </c>
      <c r="BS95" t="s">
        <v>2213</v>
      </c>
      <c r="BT95" t="str">
        <f>HYPERLINK("https%3A%2F%2Fwww.webofscience.com%2Fwos%2Fwoscc%2Ffull-record%2FWOS:001475699900001","View Full Record in Web of Science")</f>
        <v>View Full Record in Web of Science</v>
      </c>
    </row>
    <row r="96" spans="1:72" x14ac:dyDescent="0.2">
      <c r="A96" t="s">
        <v>72</v>
      </c>
      <c r="B96" t="s">
        <v>2214</v>
      </c>
      <c r="C96" t="s">
        <v>74</v>
      </c>
      <c r="D96" t="s">
        <v>74</v>
      </c>
      <c r="E96" t="s">
        <v>74</v>
      </c>
      <c r="F96" t="s">
        <v>2215</v>
      </c>
      <c r="G96" t="s">
        <v>74</v>
      </c>
      <c r="H96" t="s">
        <v>74</v>
      </c>
      <c r="I96" t="s">
        <v>2216</v>
      </c>
      <c r="J96" t="s">
        <v>1526</v>
      </c>
      <c r="K96" t="s">
        <v>74</v>
      </c>
      <c r="L96" t="s">
        <v>74</v>
      </c>
      <c r="M96" t="s">
        <v>78</v>
      </c>
      <c r="N96" t="s">
        <v>79</v>
      </c>
      <c r="O96" t="s">
        <v>74</v>
      </c>
      <c r="P96" t="s">
        <v>74</v>
      </c>
      <c r="Q96" t="s">
        <v>74</v>
      </c>
      <c r="R96" t="s">
        <v>74</v>
      </c>
      <c r="S96" t="s">
        <v>74</v>
      </c>
      <c r="T96" t="s">
        <v>2217</v>
      </c>
      <c r="U96" t="s">
        <v>2218</v>
      </c>
      <c r="V96" t="s">
        <v>2219</v>
      </c>
      <c r="W96" t="s">
        <v>2220</v>
      </c>
      <c r="X96" t="s">
        <v>2221</v>
      </c>
      <c r="Y96" t="s">
        <v>2222</v>
      </c>
      <c r="Z96" t="s">
        <v>2223</v>
      </c>
      <c r="AA96" t="s">
        <v>2224</v>
      </c>
      <c r="AB96" t="s">
        <v>2225</v>
      </c>
      <c r="AC96" t="s">
        <v>2226</v>
      </c>
      <c r="AD96" t="s">
        <v>2227</v>
      </c>
      <c r="AE96" t="s">
        <v>2228</v>
      </c>
      <c r="AF96" t="s">
        <v>74</v>
      </c>
      <c r="AG96">
        <v>66</v>
      </c>
      <c r="AH96">
        <v>31</v>
      </c>
      <c r="AI96">
        <v>37</v>
      </c>
      <c r="AJ96">
        <v>0</v>
      </c>
      <c r="AK96">
        <v>36</v>
      </c>
      <c r="AL96" t="s">
        <v>176</v>
      </c>
      <c r="AM96" t="s">
        <v>177</v>
      </c>
      <c r="AN96" t="s">
        <v>178</v>
      </c>
      <c r="AO96" t="s">
        <v>1538</v>
      </c>
      <c r="AP96" t="s">
        <v>1539</v>
      </c>
      <c r="AQ96" t="s">
        <v>74</v>
      </c>
      <c r="AR96" t="s">
        <v>1540</v>
      </c>
      <c r="AS96" t="s">
        <v>1541</v>
      </c>
      <c r="AT96" t="s">
        <v>2229</v>
      </c>
      <c r="AU96">
        <v>2019</v>
      </c>
      <c r="AV96">
        <v>213</v>
      </c>
      <c r="AW96" t="s">
        <v>74</v>
      </c>
      <c r="AX96" t="s">
        <v>74</v>
      </c>
      <c r="AY96" t="s">
        <v>74</v>
      </c>
      <c r="AZ96" t="s">
        <v>74</v>
      </c>
      <c r="BA96" t="s">
        <v>74</v>
      </c>
      <c r="BB96">
        <v>1051</v>
      </c>
      <c r="BC96">
        <v>1062</v>
      </c>
      <c r="BD96" t="s">
        <v>74</v>
      </c>
      <c r="BE96" t="s">
        <v>2230</v>
      </c>
      <c r="BF96" t="str">
        <f>HYPERLINK("http://dx.doi.org/10.1016/j.jclepro.2018.12.113","http://dx.doi.org/10.1016/j.jclepro.2018.12.113")</f>
        <v>http://dx.doi.org/10.1016/j.jclepro.2018.12.113</v>
      </c>
      <c r="BG96" t="s">
        <v>74</v>
      </c>
      <c r="BH96" t="s">
        <v>74</v>
      </c>
      <c r="BI96">
        <v>12</v>
      </c>
      <c r="BJ96" t="s">
        <v>1543</v>
      </c>
      <c r="BK96" t="s">
        <v>186</v>
      </c>
      <c r="BL96" t="s">
        <v>1544</v>
      </c>
      <c r="BM96" t="s">
        <v>2231</v>
      </c>
      <c r="BN96" t="s">
        <v>74</v>
      </c>
      <c r="BO96" t="s">
        <v>74</v>
      </c>
      <c r="BP96" t="s">
        <v>74</v>
      </c>
      <c r="BQ96" t="s">
        <v>74</v>
      </c>
      <c r="BR96" t="s">
        <v>106</v>
      </c>
      <c r="BS96" t="s">
        <v>2232</v>
      </c>
      <c r="BT96" t="str">
        <f>HYPERLINK("https%3A%2F%2Fwww.webofscience.com%2Fwos%2Fwoscc%2Ffull-record%2FWOS:000461132600093","View Full Record in Web of Science")</f>
        <v>View Full Record in Web of Science</v>
      </c>
    </row>
    <row r="97" spans="1:72" x14ac:dyDescent="0.2">
      <c r="A97" t="s">
        <v>72</v>
      </c>
      <c r="B97" t="s">
        <v>2233</v>
      </c>
      <c r="C97" t="s">
        <v>74</v>
      </c>
      <c r="D97" t="s">
        <v>74</v>
      </c>
      <c r="E97" t="s">
        <v>74</v>
      </c>
      <c r="F97" t="s">
        <v>2234</v>
      </c>
      <c r="G97" t="s">
        <v>74</v>
      </c>
      <c r="H97" t="s">
        <v>74</v>
      </c>
      <c r="I97" t="s">
        <v>2235</v>
      </c>
      <c r="J97" t="s">
        <v>2236</v>
      </c>
      <c r="K97" t="s">
        <v>74</v>
      </c>
      <c r="L97" t="s">
        <v>74</v>
      </c>
      <c r="M97" t="s">
        <v>78</v>
      </c>
      <c r="N97" t="s">
        <v>79</v>
      </c>
      <c r="O97" t="s">
        <v>74</v>
      </c>
      <c r="P97" t="s">
        <v>74</v>
      </c>
      <c r="Q97" t="s">
        <v>74</v>
      </c>
      <c r="R97" t="s">
        <v>74</v>
      </c>
      <c r="S97" t="s">
        <v>74</v>
      </c>
      <c r="T97" t="s">
        <v>2237</v>
      </c>
      <c r="U97" t="s">
        <v>2238</v>
      </c>
      <c r="V97" t="s">
        <v>2239</v>
      </c>
      <c r="W97" t="s">
        <v>2240</v>
      </c>
      <c r="X97" t="s">
        <v>2241</v>
      </c>
      <c r="Y97" t="s">
        <v>2242</v>
      </c>
      <c r="Z97" t="s">
        <v>2243</v>
      </c>
      <c r="AA97" t="s">
        <v>2244</v>
      </c>
      <c r="AB97" t="s">
        <v>2245</v>
      </c>
      <c r="AC97" t="s">
        <v>2246</v>
      </c>
      <c r="AD97" t="s">
        <v>2246</v>
      </c>
      <c r="AE97" t="s">
        <v>2247</v>
      </c>
      <c r="AF97" t="s">
        <v>74</v>
      </c>
      <c r="AG97">
        <v>53</v>
      </c>
      <c r="AH97">
        <v>61</v>
      </c>
      <c r="AI97">
        <v>67</v>
      </c>
      <c r="AJ97">
        <v>2</v>
      </c>
      <c r="AK97">
        <v>77</v>
      </c>
      <c r="AL97" t="s">
        <v>176</v>
      </c>
      <c r="AM97" t="s">
        <v>177</v>
      </c>
      <c r="AN97" t="s">
        <v>178</v>
      </c>
      <c r="AO97" t="s">
        <v>2248</v>
      </c>
      <c r="AP97" t="s">
        <v>2249</v>
      </c>
      <c r="AQ97" t="s">
        <v>74</v>
      </c>
      <c r="AR97" t="s">
        <v>2250</v>
      </c>
      <c r="AS97" t="s">
        <v>2251</v>
      </c>
      <c r="AT97" t="s">
        <v>227</v>
      </c>
      <c r="AU97">
        <v>2014</v>
      </c>
      <c r="AV97">
        <v>123</v>
      </c>
      <c r="AW97" t="s">
        <v>74</v>
      </c>
      <c r="AX97" t="s">
        <v>74</v>
      </c>
      <c r="AY97" t="s">
        <v>74</v>
      </c>
      <c r="AZ97" t="s">
        <v>74</v>
      </c>
      <c r="BA97" t="s">
        <v>74</v>
      </c>
      <c r="BB97">
        <v>97</v>
      </c>
      <c r="BC97">
        <v>107</v>
      </c>
      <c r="BD97" t="s">
        <v>74</v>
      </c>
      <c r="BE97" t="s">
        <v>2252</v>
      </c>
      <c r="BF97" t="str">
        <f>HYPERLINK("http://dx.doi.org/10.1016/j.agsy.2013.09.006","http://dx.doi.org/10.1016/j.agsy.2013.09.006")</f>
        <v>http://dx.doi.org/10.1016/j.agsy.2013.09.006</v>
      </c>
      <c r="BG97" t="s">
        <v>74</v>
      </c>
      <c r="BH97" t="s">
        <v>74</v>
      </c>
      <c r="BI97">
        <v>11</v>
      </c>
      <c r="BJ97" t="s">
        <v>101</v>
      </c>
      <c r="BK97" t="s">
        <v>102</v>
      </c>
      <c r="BL97" t="s">
        <v>103</v>
      </c>
      <c r="BM97" t="s">
        <v>2253</v>
      </c>
      <c r="BN97" t="s">
        <v>74</v>
      </c>
      <c r="BO97" t="s">
        <v>74</v>
      </c>
      <c r="BP97" t="s">
        <v>74</v>
      </c>
      <c r="BQ97" t="s">
        <v>74</v>
      </c>
      <c r="BR97" t="s">
        <v>106</v>
      </c>
      <c r="BS97" t="s">
        <v>2254</v>
      </c>
      <c r="BT97" t="str">
        <f>HYPERLINK("https%3A%2F%2Fwww.webofscience.com%2Fwos%2Fwoscc%2Ffull-record%2FWOS:000329422700010","View Full Record in Web of Science")</f>
        <v>View Full Record in Web of Science</v>
      </c>
    </row>
    <row r="98" spans="1:72" x14ac:dyDescent="0.2">
      <c r="A98" t="s">
        <v>72</v>
      </c>
      <c r="B98" t="s">
        <v>2255</v>
      </c>
      <c r="C98" t="s">
        <v>74</v>
      </c>
      <c r="D98" t="s">
        <v>74</v>
      </c>
      <c r="E98" t="s">
        <v>74</v>
      </c>
      <c r="F98" t="s">
        <v>2256</v>
      </c>
      <c r="G98" t="s">
        <v>74</v>
      </c>
      <c r="H98" t="s">
        <v>74</v>
      </c>
      <c r="I98" t="s">
        <v>2257</v>
      </c>
      <c r="J98" t="s">
        <v>1320</v>
      </c>
      <c r="K98" t="s">
        <v>74</v>
      </c>
      <c r="L98" t="s">
        <v>74</v>
      </c>
      <c r="M98" t="s">
        <v>78</v>
      </c>
      <c r="N98" t="s">
        <v>79</v>
      </c>
      <c r="O98" t="s">
        <v>74</v>
      </c>
      <c r="P98" t="s">
        <v>74</v>
      </c>
      <c r="Q98" t="s">
        <v>74</v>
      </c>
      <c r="R98" t="s">
        <v>74</v>
      </c>
      <c r="S98" t="s">
        <v>74</v>
      </c>
      <c r="T98" t="s">
        <v>2258</v>
      </c>
      <c r="U98" t="s">
        <v>2259</v>
      </c>
      <c r="V98" t="s">
        <v>2260</v>
      </c>
      <c r="W98" t="s">
        <v>2261</v>
      </c>
      <c r="X98" t="s">
        <v>2262</v>
      </c>
      <c r="Y98" t="s">
        <v>2263</v>
      </c>
      <c r="Z98" t="s">
        <v>2264</v>
      </c>
      <c r="AA98" t="s">
        <v>74</v>
      </c>
      <c r="AB98" t="s">
        <v>2265</v>
      </c>
      <c r="AC98" t="s">
        <v>2266</v>
      </c>
      <c r="AD98" t="s">
        <v>2267</v>
      </c>
      <c r="AE98" t="s">
        <v>2268</v>
      </c>
      <c r="AF98" t="s">
        <v>74</v>
      </c>
      <c r="AG98">
        <v>42</v>
      </c>
      <c r="AH98">
        <v>3</v>
      </c>
      <c r="AI98">
        <v>3</v>
      </c>
      <c r="AJ98">
        <v>8</v>
      </c>
      <c r="AK98">
        <v>49</v>
      </c>
      <c r="AL98" t="s">
        <v>504</v>
      </c>
      <c r="AM98" t="s">
        <v>505</v>
      </c>
      <c r="AN98" t="s">
        <v>506</v>
      </c>
      <c r="AO98" t="s">
        <v>1332</v>
      </c>
      <c r="AP98" t="s">
        <v>1333</v>
      </c>
      <c r="AQ98" t="s">
        <v>74</v>
      </c>
      <c r="AR98" t="s">
        <v>1334</v>
      </c>
      <c r="AS98" t="s">
        <v>1335</v>
      </c>
      <c r="AT98" t="s">
        <v>912</v>
      </c>
      <c r="AU98">
        <v>2024</v>
      </c>
      <c r="AV98">
        <v>15</v>
      </c>
      <c r="AW98">
        <v>5</v>
      </c>
      <c r="AX98" t="s">
        <v>74</v>
      </c>
      <c r="AY98" t="s">
        <v>74</v>
      </c>
      <c r="AZ98" t="s">
        <v>74</v>
      </c>
      <c r="BA98" t="s">
        <v>74</v>
      </c>
      <c r="BB98">
        <v>2989</v>
      </c>
      <c r="BC98">
        <v>3001</v>
      </c>
      <c r="BD98" t="s">
        <v>74</v>
      </c>
      <c r="BE98" t="s">
        <v>2269</v>
      </c>
      <c r="BF98" t="str">
        <f>HYPERLINK("http://dx.doi.org/10.1007/s12649-023-02370-7","http://dx.doi.org/10.1007/s12649-023-02370-7")</f>
        <v>http://dx.doi.org/10.1007/s12649-023-02370-7</v>
      </c>
      <c r="BG98" t="s">
        <v>74</v>
      </c>
      <c r="BH98" t="s">
        <v>1712</v>
      </c>
      <c r="BI98">
        <v>13</v>
      </c>
      <c r="BJ98" t="s">
        <v>567</v>
      </c>
      <c r="BK98" t="s">
        <v>102</v>
      </c>
      <c r="BL98" t="s">
        <v>568</v>
      </c>
      <c r="BM98" t="s">
        <v>2270</v>
      </c>
      <c r="BN98" t="s">
        <v>74</v>
      </c>
      <c r="BO98" t="s">
        <v>74</v>
      </c>
      <c r="BP98" t="s">
        <v>74</v>
      </c>
      <c r="BQ98" t="s">
        <v>74</v>
      </c>
      <c r="BR98" t="s">
        <v>106</v>
      </c>
      <c r="BS98" t="s">
        <v>2271</v>
      </c>
      <c r="BT98" t="str">
        <f>HYPERLINK("https%3A%2F%2Fwww.webofscience.com%2Fwos%2Fwoscc%2Ffull-record%2FWOS:001118293800001","View Full Record in Web of Science")</f>
        <v>View Full Record in Web of Science</v>
      </c>
    </row>
    <row r="99" spans="1:72" x14ac:dyDescent="0.2">
      <c r="A99" t="s">
        <v>72</v>
      </c>
      <c r="B99" t="s">
        <v>2272</v>
      </c>
      <c r="C99" t="s">
        <v>74</v>
      </c>
      <c r="D99" t="s">
        <v>74</v>
      </c>
      <c r="E99" t="s">
        <v>74</v>
      </c>
      <c r="F99" t="s">
        <v>2273</v>
      </c>
      <c r="G99" t="s">
        <v>74</v>
      </c>
      <c r="H99" t="s">
        <v>74</v>
      </c>
      <c r="I99" t="s">
        <v>2274</v>
      </c>
      <c r="J99" t="s">
        <v>2275</v>
      </c>
      <c r="K99" t="s">
        <v>74</v>
      </c>
      <c r="L99" t="s">
        <v>74</v>
      </c>
      <c r="M99" t="s">
        <v>78</v>
      </c>
      <c r="N99" t="s">
        <v>79</v>
      </c>
      <c r="O99" t="s">
        <v>74</v>
      </c>
      <c r="P99" t="s">
        <v>74</v>
      </c>
      <c r="Q99" t="s">
        <v>74</v>
      </c>
      <c r="R99" t="s">
        <v>74</v>
      </c>
      <c r="S99" t="s">
        <v>74</v>
      </c>
      <c r="T99" t="s">
        <v>2276</v>
      </c>
      <c r="U99" t="s">
        <v>2277</v>
      </c>
      <c r="V99" t="s">
        <v>2278</v>
      </c>
      <c r="W99" t="s">
        <v>2279</v>
      </c>
      <c r="X99" t="s">
        <v>2280</v>
      </c>
      <c r="Y99" t="s">
        <v>2281</v>
      </c>
      <c r="Z99" t="s">
        <v>2282</v>
      </c>
      <c r="AA99" t="s">
        <v>2283</v>
      </c>
      <c r="AB99" t="s">
        <v>2284</v>
      </c>
      <c r="AC99" t="s">
        <v>2285</v>
      </c>
      <c r="AD99" t="s">
        <v>2286</v>
      </c>
      <c r="AE99" t="s">
        <v>2287</v>
      </c>
      <c r="AF99" t="s">
        <v>74</v>
      </c>
      <c r="AG99">
        <v>58</v>
      </c>
      <c r="AH99">
        <v>11</v>
      </c>
      <c r="AI99">
        <v>11</v>
      </c>
      <c r="AJ99">
        <v>0</v>
      </c>
      <c r="AK99">
        <v>39</v>
      </c>
      <c r="AL99" t="s">
        <v>247</v>
      </c>
      <c r="AM99" t="s">
        <v>248</v>
      </c>
      <c r="AN99" t="s">
        <v>249</v>
      </c>
      <c r="AO99" t="s">
        <v>2288</v>
      </c>
      <c r="AP99" t="s">
        <v>2289</v>
      </c>
      <c r="AQ99" t="s">
        <v>74</v>
      </c>
      <c r="AR99" t="s">
        <v>2290</v>
      </c>
      <c r="AS99" t="s">
        <v>2291</v>
      </c>
      <c r="AT99" t="s">
        <v>912</v>
      </c>
      <c r="AU99">
        <v>2022</v>
      </c>
      <c r="AV99">
        <v>16</v>
      </c>
      <c r="AW99">
        <v>3</v>
      </c>
      <c r="AX99" t="s">
        <v>74</v>
      </c>
      <c r="AY99" t="s">
        <v>74</v>
      </c>
      <c r="AZ99" t="s">
        <v>74</v>
      </c>
      <c r="BA99" t="s">
        <v>74</v>
      </c>
      <c r="BB99">
        <v>653</v>
      </c>
      <c r="BC99">
        <v>670</v>
      </c>
      <c r="BD99" t="s">
        <v>74</v>
      </c>
      <c r="BE99" t="s">
        <v>2292</v>
      </c>
      <c r="BF99" t="str">
        <f>HYPERLINK("http://dx.doi.org/10.1002/bbb.2347","http://dx.doi.org/10.1002/bbb.2347")</f>
        <v>http://dx.doi.org/10.1002/bbb.2347</v>
      </c>
      <c r="BG99" t="s">
        <v>74</v>
      </c>
      <c r="BH99" t="s">
        <v>2293</v>
      </c>
      <c r="BI99">
        <v>18</v>
      </c>
      <c r="BJ99" t="s">
        <v>2294</v>
      </c>
      <c r="BK99" t="s">
        <v>102</v>
      </c>
      <c r="BL99" t="s">
        <v>2294</v>
      </c>
      <c r="BM99" t="s">
        <v>2295</v>
      </c>
      <c r="BN99" t="s">
        <v>74</v>
      </c>
      <c r="BO99" t="s">
        <v>2296</v>
      </c>
      <c r="BP99" t="s">
        <v>74</v>
      </c>
      <c r="BQ99" t="s">
        <v>74</v>
      </c>
      <c r="BR99" t="s">
        <v>106</v>
      </c>
      <c r="BS99" t="s">
        <v>2297</v>
      </c>
      <c r="BT99" t="str">
        <f>HYPERLINK("https%3A%2F%2Fwww.webofscience.com%2Fwos%2Fwoscc%2Ffull-record%2FWOS:000780115900001","View Full Record in Web of Science")</f>
        <v>View Full Record in Web of Science</v>
      </c>
    </row>
    <row r="100" spans="1:72" x14ac:dyDescent="0.2">
      <c r="A100" t="s">
        <v>72</v>
      </c>
      <c r="B100" t="s">
        <v>2298</v>
      </c>
      <c r="C100" t="s">
        <v>74</v>
      </c>
      <c r="D100" t="s">
        <v>74</v>
      </c>
      <c r="E100" t="s">
        <v>74</v>
      </c>
      <c r="F100" t="s">
        <v>2299</v>
      </c>
      <c r="G100" t="s">
        <v>74</v>
      </c>
      <c r="H100" t="s">
        <v>74</v>
      </c>
      <c r="I100" t="s">
        <v>2300</v>
      </c>
      <c r="J100" t="s">
        <v>2301</v>
      </c>
      <c r="K100" t="s">
        <v>74</v>
      </c>
      <c r="L100" t="s">
        <v>74</v>
      </c>
      <c r="M100" t="s">
        <v>78</v>
      </c>
      <c r="N100" t="s">
        <v>79</v>
      </c>
      <c r="O100" t="s">
        <v>74</v>
      </c>
      <c r="P100" t="s">
        <v>74</v>
      </c>
      <c r="Q100" t="s">
        <v>74</v>
      </c>
      <c r="R100" t="s">
        <v>74</v>
      </c>
      <c r="S100" t="s">
        <v>74</v>
      </c>
      <c r="T100" t="s">
        <v>2302</v>
      </c>
      <c r="U100" t="s">
        <v>2303</v>
      </c>
      <c r="V100" t="s">
        <v>2304</v>
      </c>
      <c r="W100" t="s">
        <v>2305</v>
      </c>
      <c r="X100" t="s">
        <v>2306</v>
      </c>
      <c r="Y100" t="s">
        <v>2307</v>
      </c>
      <c r="Z100" t="s">
        <v>2308</v>
      </c>
      <c r="AA100" t="s">
        <v>2309</v>
      </c>
      <c r="AB100" t="s">
        <v>74</v>
      </c>
      <c r="AC100" t="s">
        <v>2310</v>
      </c>
      <c r="AD100" t="s">
        <v>2311</v>
      </c>
      <c r="AE100" t="s">
        <v>2312</v>
      </c>
      <c r="AF100" t="s">
        <v>74</v>
      </c>
      <c r="AG100">
        <v>59</v>
      </c>
      <c r="AH100">
        <v>0</v>
      </c>
      <c r="AI100">
        <v>0</v>
      </c>
      <c r="AJ100">
        <v>15</v>
      </c>
      <c r="AK100">
        <v>15</v>
      </c>
      <c r="AL100" t="s">
        <v>123</v>
      </c>
      <c r="AM100" t="s">
        <v>124</v>
      </c>
      <c r="AN100" t="s">
        <v>125</v>
      </c>
      <c r="AO100" t="s">
        <v>2313</v>
      </c>
      <c r="AP100" t="s">
        <v>2314</v>
      </c>
      <c r="AQ100" t="s">
        <v>74</v>
      </c>
      <c r="AR100" t="s">
        <v>2315</v>
      </c>
      <c r="AS100" t="s">
        <v>2316</v>
      </c>
      <c r="AT100" t="s">
        <v>227</v>
      </c>
      <c r="AU100">
        <v>2026</v>
      </c>
      <c r="AV100">
        <v>664</v>
      </c>
      <c r="AW100" t="s">
        <v>74</v>
      </c>
      <c r="AX100" t="s">
        <v>2317</v>
      </c>
      <c r="AY100" t="s">
        <v>74</v>
      </c>
      <c r="AZ100" t="s">
        <v>74</v>
      </c>
      <c r="BA100" t="s">
        <v>74</v>
      </c>
      <c r="BB100" t="s">
        <v>74</v>
      </c>
      <c r="BC100" t="s">
        <v>74</v>
      </c>
      <c r="BD100">
        <v>134408</v>
      </c>
      <c r="BE100" t="s">
        <v>2318</v>
      </c>
      <c r="BF100" t="str">
        <f>HYPERLINK("http://dx.doi.org/10.1016/j.jhydrol.2025.134408","http://dx.doi.org/10.1016/j.jhydrol.2025.134408")</f>
        <v>http://dx.doi.org/10.1016/j.jhydrol.2025.134408</v>
      </c>
      <c r="BG100" t="s">
        <v>74</v>
      </c>
      <c r="BH100" t="s">
        <v>2319</v>
      </c>
      <c r="BI100">
        <v>16</v>
      </c>
      <c r="BJ100" t="s">
        <v>2320</v>
      </c>
      <c r="BK100" t="s">
        <v>102</v>
      </c>
      <c r="BL100" t="s">
        <v>2321</v>
      </c>
      <c r="BM100" t="s">
        <v>2322</v>
      </c>
      <c r="BN100" t="s">
        <v>74</v>
      </c>
      <c r="BO100" t="s">
        <v>74</v>
      </c>
      <c r="BP100" t="s">
        <v>74</v>
      </c>
      <c r="BQ100" t="s">
        <v>74</v>
      </c>
      <c r="BR100" t="s">
        <v>106</v>
      </c>
      <c r="BS100" t="s">
        <v>2323</v>
      </c>
      <c r="BT100" t="str">
        <f>HYPERLINK("https%3A%2F%2Fwww.webofscience.com%2Fwos%2Fwoscc%2Ffull-record%2FWOS:001599004300005","View Full Record in Web of Science")</f>
        <v>View Full Record in Web of Science</v>
      </c>
    </row>
    <row r="101" spans="1:72" x14ac:dyDescent="0.2">
      <c r="A101" t="s">
        <v>72</v>
      </c>
      <c r="B101" t="s">
        <v>2324</v>
      </c>
      <c r="C101" t="s">
        <v>74</v>
      </c>
      <c r="D101" t="s">
        <v>74</v>
      </c>
      <c r="E101" t="s">
        <v>74</v>
      </c>
      <c r="F101" t="s">
        <v>2325</v>
      </c>
      <c r="G101" t="s">
        <v>74</v>
      </c>
      <c r="H101" t="s">
        <v>74</v>
      </c>
      <c r="I101" t="s">
        <v>2326</v>
      </c>
      <c r="J101" t="s">
        <v>2327</v>
      </c>
      <c r="K101" t="s">
        <v>74</v>
      </c>
      <c r="L101" t="s">
        <v>74</v>
      </c>
      <c r="M101" t="s">
        <v>78</v>
      </c>
      <c r="N101" t="s">
        <v>79</v>
      </c>
      <c r="O101" t="s">
        <v>74</v>
      </c>
      <c r="P101" t="s">
        <v>74</v>
      </c>
      <c r="Q101" t="s">
        <v>74</v>
      </c>
      <c r="R101" t="s">
        <v>74</v>
      </c>
      <c r="S101" t="s">
        <v>74</v>
      </c>
      <c r="T101" t="s">
        <v>2328</v>
      </c>
      <c r="U101" t="s">
        <v>2329</v>
      </c>
      <c r="V101" t="s">
        <v>2330</v>
      </c>
      <c r="W101" t="s">
        <v>2331</v>
      </c>
      <c r="X101" t="s">
        <v>2332</v>
      </c>
      <c r="Y101" t="s">
        <v>2333</v>
      </c>
      <c r="Z101" t="s">
        <v>2334</v>
      </c>
      <c r="AA101" t="s">
        <v>74</v>
      </c>
      <c r="AB101" t="s">
        <v>2335</v>
      </c>
      <c r="AC101" t="s">
        <v>2336</v>
      </c>
      <c r="AD101" t="s">
        <v>2337</v>
      </c>
      <c r="AE101" t="s">
        <v>2338</v>
      </c>
      <c r="AF101" t="s">
        <v>74</v>
      </c>
      <c r="AG101">
        <v>88</v>
      </c>
      <c r="AH101">
        <v>0</v>
      </c>
      <c r="AI101">
        <v>0</v>
      </c>
      <c r="AJ101">
        <v>11</v>
      </c>
      <c r="AK101">
        <v>27</v>
      </c>
      <c r="AL101" t="s">
        <v>222</v>
      </c>
      <c r="AM101" t="s">
        <v>223</v>
      </c>
      <c r="AN101" t="s">
        <v>224</v>
      </c>
      <c r="AO101" t="s">
        <v>74</v>
      </c>
      <c r="AP101" t="s">
        <v>2339</v>
      </c>
      <c r="AQ101" t="s">
        <v>74</v>
      </c>
      <c r="AR101" t="s">
        <v>2340</v>
      </c>
      <c r="AS101" t="s">
        <v>2341</v>
      </c>
      <c r="AT101" t="s">
        <v>1109</v>
      </c>
      <c r="AU101">
        <v>2024</v>
      </c>
      <c r="AV101">
        <v>16</v>
      </c>
      <c r="AW101">
        <v>24</v>
      </c>
      <c r="AX101" t="s">
        <v>74</v>
      </c>
      <c r="AY101" t="s">
        <v>74</v>
      </c>
      <c r="AZ101" t="s">
        <v>74</v>
      </c>
      <c r="BA101" t="s">
        <v>74</v>
      </c>
      <c r="BB101" t="s">
        <v>74</v>
      </c>
      <c r="BC101" t="s">
        <v>74</v>
      </c>
      <c r="BD101">
        <v>3693</v>
      </c>
      <c r="BE101" t="s">
        <v>2342</v>
      </c>
      <c r="BF101" t="str">
        <f>HYPERLINK("http://dx.doi.org/10.3390/w16243693","http://dx.doi.org/10.3390/w16243693")</f>
        <v>http://dx.doi.org/10.3390/w16243693</v>
      </c>
      <c r="BG101" t="s">
        <v>74</v>
      </c>
      <c r="BH101" t="s">
        <v>74</v>
      </c>
      <c r="BI101">
        <v>21</v>
      </c>
      <c r="BJ101" t="s">
        <v>2343</v>
      </c>
      <c r="BK101" t="s">
        <v>102</v>
      </c>
      <c r="BL101" t="s">
        <v>2344</v>
      </c>
      <c r="BM101" t="s">
        <v>2345</v>
      </c>
      <c r="BN101" t="s">
        <v>74</v>
      </c>
      <c r="BO101" t="s">
        <v>231</v>
      </c>
      <c r="BP101" t="s">
        <v>74</v>
      </c>
      <c r="BQ101" t="s">
        <v>74</v>
      </c>
      <c r="BR101" t="s">
        <v>106</v>
      </c>
      <c r="BS101" t="s">
        <v>2346</v>
      </c>
      <c r="BT101" t="str">
        <f>HYPERLINK("https%3A%2F%2Fwww.webofscience.com%2Fwos%2Fwoscc%2Ffull-record%2FWOS:001387777000001","View Full Record in Web of Science")</f>
        <v>View Full Record in Web of Science</v>
      </c>
    </row>
    <row r="102" spans="1:72" x14ac:dyDescent="0.2">
      <c r="A102" t="s">
        <v>72</v>
      </c>
      <c r="B102" t="s">
        <v>2347</v>
      </c>
      <c r="C102" t="s">
        <v>74</v>
      </c>
      <c r="D102" t="s">
        <v>74</v>
      </c>
      <c r="E102" t="s">
        <v>74</v>
      </c>
      <c r="F102" t="s">
        <v>2348</v>
      </c>
      <c r="G102" t="s">
        <v>74</v>
      </c>
      <c r="H102" t="s">
        <v>74</v>
      </c>
      <c r="I102" t="s">
        <v>2349</v>
      </c>
      <c r="J102" t="s">
        <v>2350</v>
      </c>
      <c r="K102" t="s">
        <v>74</v>
      </c>
      <c r="L102" t="s">
        <v>74</v>
      </c>
      <c r="M102" t="s">
        <v>78</v>
      </c>
      <c r="N102" t="s">
        <v>79</v>
      </c>
      <c r="O102" t="s">
        <v>74</v>
      </c>
      <c r="P102" t="s">
        <v>74</v>
      </c>
      <c r="Q102" t="s">
        <v>74</v>
      </c>
      <c r="R102" t="s">
        <v>74</v>
      </c>
      <c r="S102" t="s">
        <v>74</v>
      </c>
      <c r="T102" t="s">
        <v>2351</v>
      </c>
      <c r="U102" t="s">
        <v>2352</v>
      </c>
      <c r="V102" t="s">
        <v>2353</v>
      </c>
      <c r="W102" t="s">
        <v>2354</v>
      </c>
      <c r="X102" t="s">
        <v>2355</v>
      </c>
      <c r="Y102" t="s">
        <v>2356</v>
      </c>
      <c r="Z102" t="s">
        <v>2357</v>
      </c>
      <c r="AA102" t="s">
        <v>2358</v>
      </c>
      <c r="AB102" t="s">
        <v>2359</v>
      </c>
      <c r="AC102" t="s">
        <v>74</v>
      </c>
      <c r="AD102" t="s">
        <v>74</v>
      </c>
      <c r="AE102" t="s">
        <v>74</v>
      </c>
      <c r="AF102" t="s">
        <v>74</v>
      </c>
      <c r="AG102">
        <v>60</v>
      </c>
      <c r="AH102">
        <v>80</v>
      </c>
      <c r="AI102">
        <v>93</v>
      </c>
      <c r="AJ102">
        <v>0</v>
      </c>
      <c r="AK102">
        <v>20</v>
      </c>
      <c r="AL102" t="s">
        <v>222</v>
      </c>
      <c r="AM102" t="s">
        <v>223</v>
      </c>
      <c r="AN102" t="s">
        <v>224</v>
      </c>
      <c r="AO102" t="s">
        <v>74</v>
      </c>
      <c r="AP102" t="s">
        <v>2360</v>
      </c>
      <c r="AQ102" t="s">
        <v>74</v>
      </c>
      <c r="AR102" t="s">
        <v>2361</v>
      </c>
      <c r="AS102" t="s">
        <v>2362</v>
      </c>
      <c r="AT102" t="s">
        <v>2363</v>
      </c>
      <c r="AU102">
        <v>2019</v>
      </c>
      <c r="AV102">
        <v>9</v>
      </c>
      <c r="AW102">
        <v>8</v>
      </c>
      <c r="AX102" t="s">
        <v>74</v>
      </c>
      <c r="AY102" t="s">
        <v>74</v>
      </c>
      <c r="AZ102" t="s">
        <v>74</v>
      </c>
      <c r="BA102" t="s">
        <v>74</v>
      </c>
      <c r="BB102" t="s">
        <v>74</v>
      </c>
      <c r="BC102" t="s">
        <v>74</v>
      </c>
      <c r="BD102">
        <v>1692</v>
      </c>
      <c r="BE102" t="s">
        <v>2364</v>
      </c>
      <c r="BF102" t="str">
        <f>HYPERLINK("http://dx.doi.org/10.3390/app9081692","http://dx.doi.org/10.3390/app9081692")</f>
        <v>http://dx.doi.org/10.3390/app9081692</v>
      </c>
      <c r="BG102" t="s">
        <v>74</v>
      </c>
      <c r="BH102" t="s">
        <v>74</v>
      </c>
      <c r="BI102">
        <v>16</v>
      </c>
      <c r="BJ102" t="s">
        <v>2365</v>
      </c>
      <c r="BK102" t="s">
        <v>186</v>
      </c>
      <c r="BL102" t="s">
        <v>2366</v>
      </c>
      <c r="BM102" t="s">
        <v>2367</v>
      </c>
      <c r="BN102" t="s">
        <v>74</v>
      </c>
      <c r="BO102" t="s">
        <v>161</v>
      </c>
      <c r="BP102" t="s">
        <v>74</v>
      </c>
      <c r="BQ102" t="s">
        <v>74</v>
      </c>
      <c r="BR102" t="s">
        <v>106</v>
      </c>
      <c r="BS102" t="s">
        <v>2368</v>
      </c>
      <c r="BT102" t="str">
        <f>HYPERLINK("https%3A%2F%2Fwww.webofscience.com%2Fwos%2Fwoscc%2Ffull-record%2FWOS:000467316400177","View Full Record in Web of Science")</f>
        <v>View Full Record in Web of Science</v>
      </c>
    </row>
    <row r="103" spans="1:72" x14ac:dyDescent="0.2">
      <c r="A103" t="s">
        <v>72</v>
      </c>
      <c r="B103" t="s">
        <v>2369</v>
      </c>
      <c r="C103" t="s">
        <v>74</v>
      </c>
      <c r="D103" t="s">
        <v>74</v>
      </c>
      <c r="E103" t="s">
        <v>74</v>
      </c>
      <c r="F103" t="s">
        <v>2370</v>
      </c>
      <c r="G103" t="s">
        <v>74</v>
      </c>
      <c r="H103" t="s">
        <v>74</v>
      </c>
      <c r="I103" t="s">
        <v>2371</v>
      </c>
      <c r="J103" t="s">
        <v>1430</v>
      </c>
      <c r="K103" t="s">
        <v>74</v>
      </c>
      <c r="L103" t="s">
        <v>74</v>
      </c>
      <c r="M103" t="s">
        <v>78</v>
      </c>
      <c r="N103" t="s">
        <v>79</v>
      </c>
      <c r="O103" t="s">
        <v>74</v>
      </c>
      <c r="P103" t="s">
        <v>74</v>
      </c>
      <c r="Q103" t="s">
        <v>74</v>
      </c>
      <c r="R103" t="s">
        <v>74</v>
      </c>
      <c r="S103" t="s">
        <v>74</v>
      </c>
      <c r="T103" t="s">
        <v>2372</v>
      </c>
      <c r="U103" t="s">
        <v>2373</v>
      </c>
      <c r="V103" t="s">
        <v>2374</v>
      </c>
      <c r="W103" t="s">
        <v>2375</v>
      </c>
      <c r="X103" t="s">
        <v>2376</v>
      </c>
      <c r="Y103" t="s">
        <v>2377</v>
      </c>
      <c r="Z103" t="s">
        <v>2378</v>
      </c>
      <c r="AA103" t="s">
        <v>2379</v>
      </c>
      <c r="AB103" t="s">
        <v>2380</v>
      </c>
      <c r="AC103" t="s">
        <v>74</v>
      </c>
      <c r="AD103" t="s">
        <v>74</v>
      </c>
      <c r="AE103" t="s">
        <v>74</v>
      </c>
      <c r="AF103" t="s">
        <v>74</v>
      </c>
      <c r="AG103">
        <v>54</v>
      </c>
      <c r="AH103">
        <v>3</v>
      </c>
      <c r="AI103">
        <v>3</v>
      </c>
      <c r="AJ103">
        <v>6</v>
      </c>
      <c r="AK103">
        <v>7</v>
      </c>
      <c r="AL103" t="s">
        <v>504</v>
      </c>
      <c r="AM103" t="s">
        <v>676</v>
      </c>
      <c r="AN103" t="s">
        <v>677</v>
      </c>
      <c r="AO103" t="s">
        <v>1440</v>
      </c>
      <c r="AP103" t="s">
        <v>1441</v>
      </c>
      <c r="AQ103" t="s">
        <v>74</v>
      </c>
      <c r="AR103" t="s">
        <v>1442</v>
      </c>
      <c r="AS103" t="s">
        <v>1443</v>
      </c>
      <c r="AT103" t="s">
        <v>281</v>
      </c>
      <c r="AU103">
        <v>2025</v>
      </c>
      <c r="AV103">
        <v>67</v>
      </c>
      <c r="AW103">
        <v>3</v>
      </c>
      <c r="AX103" t="s">
        <v>74</v>
      </c>
      <c r="AY103" t="s">
        <v>74</v>
      </c>
      <c r="AZ103" t="s">
        <v>74</v>
      </c>
      <c r="BA103" t="s">
        <v>74</v>
      </c>
      <c r="BB103" t="s">
        <v>74</v>
      </c>
      <c r="BC103" t="s">
        <v>74</v>
      </c>
      <c r="BD103">
        <v>99</v>
      </c>
      <c r="BE103" t="s">
        <v>2381</v>
      </c>
      <c r="BF103" t="str">
        <f>HYPERLINK("http://dx.doi.org/10.1007/s10341-025-01322-w","http://dx.doi.org/10.1007/s10341-025-01322-w")</f>
        <v>http://dx.doi.org/10.1007/s10341-025-01322-w</v>
      </c>
      <c r="BG103" t="s">
        <v>74</v>
      </c>
      <c r="BH103" t="s">
        <v>74</v>
      </c>
      <c r="BI103">
        <v>7</v>
      </c>
      <c r="BJ103" t="s">
        <v>1445</v>
      </c>
      <c r="BK103" t="s">
        <v>102</v>
      </c>
      <c r="BL103" t="s">
        <v>103</v>
      </c>
      <c r="BM103" t="s">
        <v>2382</v>
      </c>
      <c r="BN103" t="s">
        <v>74</v>
      </c>
      <c r="BO103" t="s">
        <v>74</v>
      </c>
      <c r="BP103" t="s">
        <v>74</v>
      </c>
      <c r="BQ103" t="s">
        <v>74</v>
      </c>
      <c r="BR103" t="s">
        <v>106</v>
      </c>
      <c r="BS103" t="s">
        <v>2383</v>
      </c>
      <c r="BT103" t="str">
        <f>HYPERLINK("https%3A%2F%2Fwww.webofscience.com%2Fwos%2Fwoscc%2Ffull-record%2FWOS:001482753600002","View Full Record in Web of Science")</f>
        <v>View Full Record in Web of Science</v>
      </c>
    </row>
    <row r="104" spans="1:72" x14ac:dyDescent="0.2">
      <c r="A104" t="s">
        <v>72</v>
      </c>
      <c r="B104" t="s">
        <v>2384</v>
      </c>
      <c r="C104" t="s">
        <v>74</v>
      </c>
      <c r="D104" t="s">
        <v>74</v>
      </c>
      <c r="E104" t="s">
        <v>74</v>
      </c>
      <c r="F104" t="s">
        <v>2385</v>
      </c>
      <c r="G104" t="s">
        <v>74</v>
      </c>
      <c r="H104" t="s">
        <v>74</v>
      </c>
      <c r="I104" t="s">
        <v>2386</v>
      </c>
      <c r="J104" t="s">
        <v>2387</v>
      </c>
      <c r="K104" t="s">
        <v>74</v>
      </c>
      <c r="L104" t="s">
        <v>74</v>
      </c>
      <c r="M104" t="s">
        <v>78</v>
      </c>
      <c r="N104" t="s">
        <v>79</v>
      </c>
      <c r="O104" t="s">
        <v>74</v>
      </c>
      <c r="P104" t="s">
        <v>74</v>
      </c>
      <c r="Q104" t="s">
        <v>74</v>
      </c>
      <c r="R104" t="s">
        <v>74</v>
      </c>
      <c r="S104" t="s">
        <v>74</v>
      </c>
      <c r="T104" t="s">
        <v>2388</v>
      </c>
      <c r="U104" t="s">
        <v>2389</v>
      </c>
      <c r="V104" t="s">
        <v>2390</v>
      </c>
      <c r="W104" t="s">
        <v>2391</v>
      </c>
      <c r="X104" t="s">
        <v>2392</v>
      </c>
      <c r="Y104" t="s">
        <v>2393</v>
      </c>
      <c r="Z104" t="s">
        <v>2394</v>
      </c>
      <c r="AA104" t="s">
        <v>2395</v>
      </c>
      <c r="AB104" t="s">
        <v>2396</v>
      </c>
      <c r="AC104" t="s">
        <v>2397</v>
      </c>
      <c r="AD104" t="s">
        <v>2398</v>
      </c>
      <c r="AE104" t="s">
        <v>2399</v>
      </c>
      <c r="AF104" t="s">
        <v>74</v>
      </c>
      <c r="AG104">
        <v>35</v>
      </c>
      <c r="AH104">
        <v>0</v>
      </c>
      <c r="AI104">
        <v>0</v>
      </c>
      <c r="AJ104">
        <v>4</v>
      </c>
      <c r="AK104">
        <v>15</v>
      </c>
      <c r="AL104" t="s">
        <v>176</v>
      </c>
      <c r="AM104" t="s">
        <v>1610</v>
      </c>
      <c r="AN104" t="s">
        <v>1611</v>
      </c>
      <c r="AO104" t="s">
        <v>2400</v>
      </c>
      <c r="AP104" t="s">
        <v>2401</v>
      </c>
      <c r="AQ104" t="s">
        <v>74</v>
      </c>
      <c r="AR104" t="s">
        <v>2387</v>
      </c>
      <c r="AS104" t="s">
        <v>2402</v>
      </c>
      <c r="AT104" t="s">
        <v>227</v>
      </c>
      <c r="AU104">
        <v>2025</v>
      </c>
      <c r="AV104">
        <v>130</v>
      </c>
      <c r="AW104" t="s">
        <v>74</v>
      </c>
      <c r="AX104" t="s">
        <v>74</v>
      </c>
      <c r="AY104" t="s">
        <v>74</v>
      </c>
      <c r="AZ104" t="s">
        <v>74</v>
      </c>
      <c r="BA104" t="s">
        <v>74</v>
      </c>
      <c r="BB104" t="s">
        <v>74</v>
      </c>
      <c r="BC104" t="s">
        <v>74</v>
      </c>
      <c r="BD104">
        <v>102795</v>
      </c>
      <c r="BE104" t="s">
        <v>2403</v>
      </c>
      <c r="BF104" t="str">
        <f>HYPERLINK("http://dx.doi.org/10.1016/j.foodpol.2024.102795","http://dx.doi.org/10.1016/j.foodpol.2024.102795")</f>
        <v>http://dx.doi.org/10.1016/j.foodpol.2024.102795</v>
      </c>
      <c r="BG104" t="s">
        <v>74</v>
      </c>
      <c r="BH104" t="s">
        <v>2404</v>
      </c>
      <c r="BI104">
        <v>12</v>
      </c>
      <c r="BJ104" t="s">
        <v>2405</v>
      </c>
      <c r="BK104" t="s">
        <v>186</v>
      </c>
      <c r="BL104" t="s">
        <v>2406</v>
      </c>
      <c r="BM104" t="s">
        <v>2407</v>
      </c>
      <c r="BN104" t="s">
        <v>74</v>
      </c>
      <c r="BO104" t="s">
        <v>74</v>
      </c>
      <c r="BP104" t="s">
        <v>74</v>
      </c>
      <c r="BQ104" t="s">
        <v>74</v>
      </c>
      <c r="BR104" t="s">
        <v>106</v>
      </c>
      <c r="BS104" t="s">
        <v>2408</v>
      </c>
      <c r="BT104" t="str">
        <f>HYPERLINK("https%3A%2F%2Fwww.webofscience.com%2Fwos%2Fwoscc%2Ffull-record%2FWOS:001398422000001","View Full Record in Web of Science")</f>
        <v>View Full Record in Web of Science</v>
      </c>
    </row>
    <row r="105" spans="1:72" x14ac:dyDescent="0.2">
      <c r="A105" t="s">
        <v>72</v>
      </c>
      <c r="B105" t="s">
        <v>2409</v>
      </c>
      <c r="C105" t="s">
        <v>74</v>
      </c>
      <c r="D105" t="s">
        <v>74</v>
      </c>
      <c r="E105" t="s">
        <v>74</v>
      </c>
      <c r="F105" t="s">
        <v>2410</v>
      </c>
      <c r="G105" t="s">
        <v>74</v>
      </c>
      <c r="H105" t="s">
        <v>74</v>
      </c>
      <c r="I105" t="s">
        <v>2411</v>
      </c>
      <c r="J105" t="s">
        <v>2412</v>
      </c>
      <c r="K105" t="s">
        <v>74</v>
      </c>
      <c r="L105" t="s">
        <v>74</v>
      </c>
      <c r="M105" t="s">
        <v>78</v>
      </c>
      <c r="N105" t="s">
        <v>79</v>
      </c>
      <c r="O105" t="s">
        <v>74</v>
      </c>
      <c r="P105" t="s">
        <v>74</v>
      </c>
      <c r="Q105" t="s">
        <v>74</v>
      </c>
      <c r="R105" t="s">
        <v>74</v>
      </c>
      <c r="S105" t="s">
        <v>74</v>
      </c>
      <c r="T105" t="s">
        <v>2413</v>
      </c>
      <c r="U105" t="s">
        <v>2414</v>
      </c>
      <c r="V105" t="s">
        <v>2415</v>
      </c>
      <c r="W105" t="s">
        <v>2416</v>
      </c>
      <c r="X105" t="s">
        <v>2417</v>
      </c>
      <c r="Y105" t="s">
        <v>2418</v>
      </c>
      <c r="Z105" t="s">
        <v>2419</v>
      </c>
      <c r="AA105" t="s">
        <v>2420</v>
      </c>
      <c r="AB105" t="s">
        <v>2421</v>
      </c>
      <c r="AC105" t="s">
        <v>2422</v>
      </c>
      <c r="AD105" t="s">
        <v>2423</v>
      </c>
      <c r="AE105" t="s">
        <v>2424</v>
      </c>
      <c r="AF105" t="s">
        <v>74</v>
      </c>
      <c r="AG105">
        <v>45</v>
      </c>
      <c r="AH105">
        <v>5</v>
      </c>
      <c r="AI105">
        <v>5</v>
      </c>
      <c r="AJ105">
        <v>7</v>
      </c>
      <c r="AK105">
        <v>36</v>
      </c>
      <c r="AL105" t="s">
        <v>1033</v>
      </c>
      <c r="AM105" t="s">
        <v>1034</v>
      </c>
      <c r="AN105" t="s">
        <v>1035</v>
      </c>
      <c r="AO105" t="s">
        <v>2425</v>
      </c>
      <c r="AP105" t="s">
        <v>2426</v>
      </c>
      <c r="AQ105" t="s">
        <v>74</v>
      </c>
      <c r="AR105" t="s">
        <v>2427</v>
      </c>
      <c r="AS105" t="s">
        <v>2428</v>
      </c>
      <c r="AT105" t="s">
        <v>1312</v>
      </c>
      <c r="AU105">
        <v>2024</v>
      </c>
      <c r="AV105">
        <v>272</v>
      </c>
      <c r="AW105" t="s">
        <v>74</v>
      </c>
      <c r="AX105" t="s">
        <v>74</v>
      </c>
      <c r="AY105" t="s">
        <v>74</v>
      </c>
      <c r="AZ105" t="s">
        <v>74</v>
      </c>
      <c r="BA105" t="s">
        <v>74</v>
      </c>
      <c r="BB105" t="s">
        <v>74</v>
      </c>
      <c r="BC105" t="s">
        <v>74</v>
      </c>
      <c r="BD105">
        <v>116073</v>
      </c>
      <c r="BE105" t="s">
        <v>2429</v>
      </c>
      <c r="BF105" t="str">
        <f>HYPERLINK("http://dx.doi.org/10.1016/j.ecoenv.2024.116073","http://dx.doi.org/10.1016/j.ecoenv.2024.116073")</f>
        <v>http://dx.doi.org/10.1016/j.ecoenv.2024.116073</v>
      </c>
      <c r="BG105" t="s">
        <v>74</v>
      </c>
      <c r="BH105" t="s">
        <v>2430</v>
      </c>
      <c r="BI105">
        <v>9</v>
      </c>
      <c r="BJ105" t="s">
        <v>2431</v>
      </c>
      <c r="BK105" t="s">
        <v>102</v>
      </c>
      <c r="BL105" t="s">
        <v>2432</v>
      </c>
      <c r="BM105" t="s">
        <v>2433</v>
      </c>
      <c r="BN105">
        <v>38335580</v>
      </c>
      <c r="BO105" t="s">
        <v>231</v>
      </c>
      <c r="BP105" t="s">
        <v>74</v>
      </c>
      <c r="BQ105" t="s">
        <v>74</v>
      </c>
      <c r="BR105" t="s">
        <v>106</v>
      </c>
      <c r="BS105" t="s">
        <v>2434</v>
      </c>
      <c r="BT105" t="str">
        <f>HYPERLINK("https%3A%2F%2Fwww.webofscience.com%2Fwos%2Fwoscc%2Ffull-record%2FWOS:001181809600001","View Full Record in Web of Science")</f>
        <v>View Full Record in Web of Science</v>
      </c>
    </row>
    <row r="106" spans="1:72" x14ac:dyDescent="0.2">
      <c r="A106" t="s">
        <v>72</v>
      </c>
      <c r="B106" t="s">
        <v>2435</v>
      </c>
      <c r="C106" t="s">
        <v>74</v>
      </c>
      <c r="D106" t="s">
        <v>74</v>
      </c>
      <c r="E106" t="s">
        <v>74</v>
      </c>
      <c r="F106" t="s">
        <v>2436</v>
      </c>
      <c r="G106" t="s">
        <v>74</v>
      </c>
      <c r="H106" t="s">
        <v>74</v>
      </c>
      <c r="I106" t="s">
        <v>2437</v>
      </c>
      <c r="J106" t="s">
        <v>446</v>
      </c>
      <c r="K106" t="s">
        <v>74</v>
      </c>
      <c r="L106" t="s">
        <v>74</v>
      </c>
      <c r="M106" t="s">
        <v>78</v>
      </c>
      <c r="N106" t="s">
        <v>79</v>
      </c>
      <c r="O106" t="s">
        <v>74</v>
      </c>
      <c r="P106" t="s">
        <v>74</v>
      </c>
      <c r="Q106" t="s">
        <v>74</v>
      </c>
      <c r="R106" t="s">
        <v>74</v>
      </c>
      <c r="S106" t="s">
        <v>74</v>
      </c>
      <c r="T106" t="s">
        <v>2438</v>
      </c>
      <c r="U106" t="s">
        <v>74</v>
      </c>
      <c r="V106" t="s">
        <v>2439</v>
      </c>
      <c r="W106" t="s">
        <v>2440</v>
      </c>
      <c r="X106" t="s">
        <v>2441</v>
      </c>
      <c r="Y106" t="s">
        <v>2442</v>
      </c>
      <c r="Z106" t="s">
        <v>2443</v>
      </c>
      <c r="AA106" t="s">
        <v>2444</v>
      </c>
      <c r="AB106" t="s">
        <v>2445</v>
      </c>
      <c r="AC106" t="s">
        <v>2446</v>
      </c>
      <c r="AD106" t="s">
        <v>2447</v>
      </c>
      <c r="AE106" t="s">
        <v>2448</v>
      </c>
      <c r="AF106" t="s">
        <v>74</v>
      </c>
      <c r="AG106">
        <v>58</v>
      </c>
      <c r="AH106">
        <v>1</v>
      </c>
      <c r="AI106">
        <v>1</v>
      </c>
      <c r="AJ106">
        <v>5</v>
      </c>
      <c r="AK106">
        <v>5</v>
      </c>
      <c r="AL106" t="s">
        <v>222</v>
      </c>
      <c r="AM106" t="s">
        <v>223</v>
      </c>
      <c r="AN106" t="s">
        <v>478</v>
      </c>
      <c r="AO106" t="s">
        <v>74</v>
      </c>
      <c r="AP106" t="s">
        <v>457</v>
      </c>
      <c r="AQ106" t="s">
        <v>74</v>
      </c>
      <c r="AR106" t="s">
        <v>446</v>
      </c>
      <c r="AS106" t="s">
        <v>458</v>
      </c>
      <c r="AT106" t="s">
        <v>2449</v>
      </c>
      <c r="AU106">
        <v>2025</v>
      </c>
      <c r="AV106">
        <v>15</v>
      </c>
      <c r="AW106">
        <v>10</v>
      </c>
      <c r="AX106" t="s">
        <v>74</v>
      </c>
      <c r="AY106" t="s">
        <v>74</v>
      </c>
      <c r="AZ106" t="s">
        <v>74</v>
      </c>
      <c r="BA106" t="s">
        <v>74</v>
      </c>
      <c r="BB106" t="s">
        <v>74</v>
      </c>
      <c r="BC106" t="s">
        <v>74</v>
      </c>
      <c r="BD106">
        <v>2307</v>
      </c>
      <c r="BE106" t="s">
        <v>2450</v>
      </c>
      <c r="BF106" t="str">
        <f>HYPERLINK("http://dx.doi.org/10.3390/agronomy15102307","http://dx.doi.org/10.3390/agronomy15102307")</f>
        <v>http://dx.doi.org/10.3390/agronomy15102307</v>
      </c>
      <c r="BG106" t="s">
        <v>74</v>
      </c>
      <c r="BH106" t="s">
        <v>74</v>
      </c>
      <c r="BI106">
        <v>28</v>
      </c>
      <c r="BJ106" t="s">
        <v>461</v>
      </c>
      <c r="BK106" t="s">
        <v>102</v>
      </c>
      <c r="BL106" t="s">
        <v>462</v>
      </c>
      <c r="BM106" t="s">
        <v>2451</v>
      </c>
      <c r="BN106" t="s">
        <v>74</v>
      </c>
      <c r="BO106" t="s">
        <v>231</v>
      </c>
      <c r="BP106" t="s">
        <v>74</v>
      </c>
      <c r="BQ106" t="s">
        <v>74</v>
      </c>
      <c r="BR106" t="s">
        <v>106</v>
      </c>
      <c r="BS106" t="s">
        <v>2452</v>
      </c>
      <c r="BT106" t="str">
        <f>HYPERLINK("https%3A%2F%2Fwww.webofscience.com%2Fwos%2Fwoscc%2Ffull-record%2FWOS:001602227100001","View Full Record in Web of Science")</f>
        <v>View Full Record in Web of Science</v>
      </c>
    </row>
    <row r="107" spans="1:72" x14ac:dyDescent="0.2">
      <c r="A107" t="s">
        <v>72</v>
      </c>
      <c r="B107" t="s">
        <v>2453</v>
      </c>
      <c r="C107" t="s">
        <v>74</v>
      </c>
      <c r="D107" t="s">
        <v>74</v>
      </c>
      <c r="E107" t="s">
        <v>74</v>
      </c>
      <c r="F107" t="s">
        <v>2454</v>
      </c>
      <c r="G107" t="s">
        <v>74</v>
      </c>
      <c r="H107" t="s">
        <v>74</v>
      </c>
      <c r="I107" t="s">
        <v>2455</v>
      </c>
      <c r="J107" t="s">
        <v>2456</v>
      </c>
      <c r="K107" t="s">
        <v>74</v>
      </c>
      <c r="L107" t="s">
        <v>74</v>
      </c>
      <c r="M107" t="s">
        <v>78</v>
      </c>
      <c r="N107" t="s">
        <v>79</v>
      </c>
      <c r="O107" t="s">
        <v>74</v>
      </c>
      <c r="P107" t="s">
        <v>74</v>
      </c>
      <c r="Q107" t="s">
        <v>74</v>
      </c>
      <c r="R107" t="s">
        <v>74</v>
      </c>
      <c r="S107" t="s">
        <v>74</v>
      </c>
      <c r="T107" t="s">
        <v>2457</v>
      </c>
      <c r="U107" t="s">
        <v>2458</v>
      </c>
      <c r="V107" t="s">
        <v>2459</v>
      </c>
      <c r="W107" t="s">
        <v>2460</v>
      </c>
      <c r="X107" t="s">
        <v>2461</v>
      </c>
      <c r="Y107" t="s">
        <v>2462</v>
      </c>
      <c r="Z107" t="s">
        <v>2463</v>
      </c>
      <c r="AA107" t="s">
        <v>2464</v>
      </c>
      <c r="AB107" t="s">
        <v>74</v>
      </c>
      <c r="AC107" t="s">
        <v>2465</v>
      </c>
      <c r="AD107" t="s">
        <v>2466</v>
      </c>
      <c r="AE107" t="s">
        <v>2467</v>
      </c>
      <c r="AF107" t="s">
        <v>74</v>
      </c>
      <c r="AG107">
        <v>89</v>
      </c>
      <c r="AH107">
        <v>0</v>
      </c>
      <c r="AI107">
        <v>0</v>
      </c>
      <c r="AJ107">
        <v>13</v>
      </c>
      <c r="AK107">
        <v>45</v>
      </c>
      <c r="AL107" t="s">
        <v>655</v>
      </c>
      <c r="AM107" t="s">
        <v>405</v>
      </c>
      <c r="AN107" t="s">
        <v>656</v>
      </c>
      <c r="AO107" t="s">
        <v>74</v>
      </c>
      <c r="AP107" t="s">
        <v>2468</v>
      </c>
      <c r="AQ107" t="s">
        <v>74</v>
      </c>
      <c r="AR107" t="s">
        <v>2469</v>
      </c>
      <c r="AS107" t="s">
        <v>2470</v>
      </c>
      <c r="AT107" t="s">
        <v>2471</v>
      </c>
      <c r="AU107">
        <v>2024</v>
      </c>
      <c r="AV107">
        <v>15</v>
      </c>
      <c r="AW107" t="s">
        <v>74</v>
      </c>
      <c r="AX107" t="s">
        <v>74</v>
      </c>
      <c r="AY107" t="s">
        <v>74</v>
      </c>
      <c r="AZ107" t="s">
        <v>74</v>
      </c>
      <c r="BA107" t="s">
        <v>74</v>
      </c>
      <c r="BB107" t="s">
        <v>74</v>
      </c>
      <c r="BC107" t="s">
        <v>74</v>
      </c>
      <c r="BD107">
        <v>1406661</v>
      </c>
      <c r="BE107" t="s">
        <v>2472</v>
      </c>
      <c r="BF107" t="str">
        <f>HYPERLINK("http://dx.doi.org/10.3389/fmicb.2024.1406661","http://dx.doi.org/10.3389/fmicb.2024.1406661")</f>
        <v>http://dx.doi.org/10.3389/fmicb.2024.1406661</v>
      </c>
      <c r="BG107" t="s">
        <v>74</v>
      </c>
      <c r="BH107" t="s">
        <v>74</v>
      </c>
      <c r="BI107">
        <v>15</v>
      </c>
      <c r="BJ107" t="s">
        <v>2473</v>
      </c>
      <c r="BK107" t="s">
        <v>102</v>
      </c>
      <c r="BL107" t="s">
        <v>2473</v>
      </c>
      <c r="BM107" t="s">
        <v>2474</v>
      </c>
      <c r="BN107">
        <v>38957617</v>
      </c>
      <c r="BO107" t="s">
        <v>161</v>
      </c>
      <c r="BP107" t="s">
        <v>74</v>
      </c>
      <c r="BQ107" t="s">
        <v>74</v>
      </c>
      <c r="BR107" t="s">
        <v>106</v>
      </c>
      <c r="BS107" t="s">
        <v>2475</v>
      </c>
      <c r="BT107" t="str">
        <f>HYPERLINK("https%3A%2F%2Fwww.webofscience.com%2Fwos%2Fwoscc%2Ffull-record%2FWOS:001260204800001","View Full Record in Web of Science")</f>
        <v>View Full Record in Web of Science</v>
      </c>
    </row>
    <row r="108" spans="1:72" x14ac:dyDescent="0.2">
      <c r="A108" t="s">
        <v>72</v>
      </c>
      <c r="B108" t="s">
        <v>2476</v>
      </c>
      <c r="C108" t="s">
        <v>74</v>
      </c>
      <c r="D108" t="s">
        <v>74</v>
      </c>
      <c r="E108" t="s">
        <v>74</v>
      </c>
      <c r="F108" t="s">
        <v>2477</v>
      </c>
      <c r="G108" t="s">
        <v>74</v>
      </c>
      <c r="H108" t="s">
        <v>74</v>
      </c>
      <c r="I108" t="s">
        <v>2478</v>
      </c>
      <c r="J108" t="s">
        <v>2479</v>
      </c>
      <c r="K108" t="s">
        <v>74</v>
      </c>
      <c r="L108" t="s">
        <v>74</v>
      </c>
      <c r="M108" t="s">
        <v>78</v>
      </c>
      <c r="N108" t="s">
        <v>79</v>
      </c>
      <c r="O108" t="s">
        <v>74</v>
      </c>
      <c r="P108" t="s">
        <v>74</v>
      </c>
      <c r="Q108" t="s">
        <v>74</v>
      </c>
      <c r="R108" t="s">
        <v>74</v>
      </c>
      <c r="S108" t="s">
        <v>74</v>
      </c>
      <c r="T108" t="s">
        <v>2480</v>
      </c>
      <c r="U108" t="s">
        <v>2481</v>
      </c>
      <c r="V108" t="s">
        <v>2482</v>
      </c>
      <c r="W108" t="s">
        <v>2483</v>
      </c>
      <c r="X108" t="s">
        <v>2484</v>
      </c>
      <c r="Y108" t="s">
        <v>2485</v>
      </c>
      <c r="Z108" t="s">
        <v>2486</v>
      </c>
      <c r="AA108" t="s">
        <v>2487</v>
      </c>
      <c r="AB108" t="s">
        <v>2488</v>
      </c>
      <c r="AC108" t="s">
        <v>2489</v>
      </c>
      <c r="AD108" t="s">
        <v>2490</v>
      </c>
      <c r="AE108" t="s">
        <v>2491</v>
      </c>
      <c r="AF108" t="s">
        <v>74</v>
      </c>
      <c r="AG108">
        <v>15</v>
      </c>
      <c r="AH108">
        <v>21</v>
      </c>
      <c r="AI108">
        <v>23</v>
      </c>
      <c r="AJ108">
        <v>0</v>
      </c>
      <c r="AK108">
        <v>41</v>
      </c>
      <c r="AL108" t="s">
        <v>2492</v>
      </c>
      <c r="AM108" t="s">
        <v>2493</v>
      </c>
      <c r="AN108" t="s">
        <v>2494</v>
      </c>
      <c r="AO108" t="s">
        <v>2495</v>
      </c>
      <c r="AP108" t="s">
        <v>74</v>
      </c>
      <c r="AQ108" t="s">
        <v>74</v>
      </c>
      <c r="AR108" t="s">
        <v>2496</v>
      </c>
      <c r="AS108" t="s">
        <v>2497</v>
      </c>
      <c r="AT108" t="s">
        <v>2017</v>
      </c>
      <c r="AU108">
        <v>2014</v>
      </c>
      <c r="AV108">
        <v>36</v>
      </c>
      <c r="AW108">
        <v>5</v>
      </c>
      <c r="AX108" t="s">
        <v>74</v>
      </c>
      <c r="AY108" t="s">
        <v>74</v>
      </c>
      <c r="AZ108" t="s">
        <v>74</v>
      </c>
      <c r="BA108" t="s">
        <v>74</v>
      </c>
      <c r="BB108">
        <v>875</v>
      </c>
      <c r="BC108">
        <v>879</v>
      </c>
      <c r="BD108" t="s">
        <v>74</v>
      </c>
      <c r="BE108" t="s">
        <v>74</v>
      </c>
      <c r="BF108" t="s">
        <v>74</v>
      </c>
      <c r="BG108" t="s">
        <v>74</v>
      </c>
      <c r="BH108" t="s">
        <v>74</v>
      </c>
      <c r="BI108">
        <v>5</v>
      </c>
      <c r="BJ108" t="s">
        <v>2498</v>
      </c>
      <c r="BK108" t="s">
        <v>102</v>
      </c>
      <c r="BL108" t="s">
        <v>2499</v>
      </c>
      <c r="BM108" t="s">
        <v>2500</v>
      </c>
      <c r="BN108" t="s">
        <v>74</v>
      </c>
      <c r="BO108" t="s">
        <v>74</v>
      </c>
      <c r="BP108" t="s">
        <v>74</v>
      </c>
      <c r="BQ108" t="s">
        <v>74</v>
      </c>
      <c r="BR108" t="s">
        <v>106</v>
      </c>
      <c r="BS108" t="s">
        <v>2501</v>
      </c>
      <c r="BT108" t="str">
        <f>HYPERLINK("https%3A%2F%2Fwww.webofscience.com%2Fwos%2Fwoscc%2Ffull-record%2FWOS:000349435900015","View Full Record in Web of Science")</f>
        <v>View Full Record in Web of Science</v>
      </c>
    </row>
    <row r="109" spans="1:72" x14ac:dyDescent="0.2">
      <c r="A109" t="s">
        <v>72</v>
      </c>
      <c r="B109" t="s">
        <v>2502</v>
      </c>
      <c r="C109" t="s">
        <v>74</v>
      </c>
      <c r="D109" t="s">
        <v>74</v>
      </c>
      <c r="E109" t="s">
        <v>74</v>
      </c>
      <c r="F109" t="s">
        <v>2503</v>
      </c>
      <c r="G109" t="s">
        <v>74</v>
      </c>
      <c r="H109" t="s">
        <v>74</v>
      </c>
      <c r="I109" t="s">
        <v>2504</v>
      </c>
      <c r="J109" t="s">
        <v>2505</v>
      </c>
      <c r="K109" t="s">
        <v>74</v>
      </c>
      <c r="L109" t="s">
        <v>74</v>
      </c>
      <c r="M109" t="s">
        <v>78</v>
      </c>
      <c r="N109" t="s">
        <v>2506</v>
      </c>
      <c r="O109" t="s">
        <v>74</v>
      </c>
      <c r="P109" t="s">
        <v>74</v>
      </c>
      <c r="Q109" t="s">
        <v>74</v>
      </c>
      <c r="R109" t="s">
        <v>74</v>
      </c>
      <c r="S109" t="s">
        <v>74</v>
      </c>
      <c r="T109" t="s">
        <v>2507</v>
      </c>
      <c r="U109" t="s">
        <v>2508</v>
      </c>
      <c r="V109" t="s">
        <v>2509</v>
      </c>
      <c r="W109" t="s">
        <v>2510</v>
      </c>
      <c r="X109" t="s">
        <v>2511</v>
      </c>
      <c r="Y109" t="s">
        <v>2512</v>
      </c>
      <c r="Z109" t="s">
        <v>2513</v>
      </c>
      <c r="AA109" t="s">
        <v>2514</v>
      </c>
      <c r="AB109" t="s">
        <v>74</v>
      </c>
      <c r="AC109" t="s">
        <v>74</v>
      </c>
      <c r="AD109" t="s">
        <v>74</v>
      </c>
      <c r="AE109" t="s">
        <v>74</v>
      </c>
      <c r="AF109" t="s">
        <v>74</v>
      </c>
      <c r="AG109">
        <v>60</v>
      </c>
      <c r="AH109">
        <v>5</v>
      </c>
      <c r="AI109">
        <v>6</v>
      </c>
      <c r="AJ109">
        <v>2</v>
      </c>
      <c r="AK109">
        <v>77</v>
      </c>
      <c r="AL109" t="s">
        <v>222</v>
      </c>
      <c r="AM109" t="s">
        <v>223</v>
      </c>
      <c r="AN109" t="s">
        <v>478</v>
      </c>
      <c r="AO109" t="s">
        <v>74</v>
      </c>
      <c r="AP109" t="s">
        <v>2515</v>
      </c>
      <c r="AQ109" t="s">
        <v>74</v>
      </c>
      <c r="AR109" t="s">
        <v>2505</v>
      </c>
      <c r="AS109" t="s">
        <v>2516</v>
      </c>
      <c r="AT109" t="s">
        <v>183</v>
      </c>
      <c r="AU109">
        <v>2022</v>
      </c>
      <c r="AV109">
        <v>8</v>
      </c>
      <c r="AW109">
        <v>7</v>
      </c>
      <c r="AX109" t="s">
        <v>74</v>
      </c>
      <c r="AY109" t="s">
        <v>74</v>
      </c>
      <c r="AZ109" t="s">
        <v>74</v>
      </c>
      <c r="BA109" t="s">
        <v>74</v>
      </c>
      <c r="BB109" t="s">
        <v>74</v>
      </c>
      <c r="BC109" t="s">
        <v>74</v>
      </c>
      <c r="BD109">
        <v>318</v>
      </c>
      <c r="BE109" t="s">
        <v>2517</v>
      </c>
      <c r="BF109" t="str">
        <f>HYPERLINK("http://dx.doi.org/10.3390/fermentation8070318","http://dx.doi.org/10.3390/fermentation8070318")</f>
        <v>http://dx.doi.org/10.3390/fermentation8070318</v>
      </c>
      <c r="BG109" t="s">
        <v>74</v>
      </c>
      <c r="BH109" t="s">
        <v>74</v>
      </c>
      <c r="BI109">
        <v>11</v>
      </c>
      <c r="BJ109" t="s">
        <v>2518</v>
      </c>
      <c r="BK109" t="s">
        <v>102</v>
      </c>
      <c r="BL109" t="s">
        <v>2518</v>
      </c>
      <c r="BM109" t="s">
        <v>2519</v>
      </c>
      <c r="BN109" t="s">
        <v>74</v>
      </c>
      <c r="BO109" t="s">
        <v>161</v>
      </c>
      <c r="BP109" t="s">
        <v>74</v>
      </c>
      <c r="BQ109" t="s">
        <v>74</v>
      </c>
      <c r="BR109" t="s">
        <v>106</v>
      </c>
      <c r="BS109" t="s">
        <v>2520</v>
      </c>
      <c r="BT109" t="str">
        <f>HYPERLINK("https%3A%2F%2Fwww.webofscience.com%2Fwos%2Fwoscc%2Ffull-record%2FWOS:000833259700001","View Full Record in Web of Science")</f>
        <v>View Full Record in Web of Science</v>
      </c>
    </row>
    <row r="110" spans="1:72" x14ac:dyDescent="0.2">
      <c r="A110" t="s">
        <v>72</v>
      </c>
      <c r="B110" t="s">
        <v>2521</v>
      </c>
      <c r="C110" t="s">
        <v>74</v>
      </c>
      <c r="D110" t="s">
        <v>74</v>
      </c>
      <c r="E110" t="s">
        <v>74</v>
      </c>
      <c r="F110" t="s">
        <v>2522</v>
      </c>
      <c r="G110" t="s">
        <v>74</v>
      </c>
      <c r="H110" t="s">
        <v>74</v>
      </c>
      <c r="I110" t="s">
        <v>2523</v>
      </c>
      <c r="J110" t="s">
        <v>468</v>
      </c>
      <c r="K110" t="s">
        <v>74</v>
      </c>
      <c r="L110" t="s">
        <v>74</v>
      </c>
      <c r="M110" t="s">
        <v>78</v>
      </c>
      <c r="N110" t="s">
        <v>79</v>
      </c>
      <c r="O110" t="s">
        <v>74</v>
      </c>
      <c r="P110" t="s">
        <v>74</v>
      </c>
      <c r="Q110" t="s">
        <v>74</v>
      </c>
      <c r="R110" t="s">
        <v>74</v>
      </c>
      <c r="S110" t="s">
        <v>74</v>
      </c>
      <c r="T110" t="s">
        <v>2524</v>
      </c>
      <c r="U110" t="s">
        <v>2525</v>
      </c>
      <c r="V110" t="s">
        <v>2526</v>
      </c>
      <c r="W110" t="s">
        <v>2527</v>
      </c>
      <c r="X110" t="s">
        <v>2528</v>
      </c>
      <c r="Y110" t="s">
        <v>2529</v>
      </c>
      <c r="Z110" t="s">
        <v>2530</v>
      </c>
      <c r="AA110" t="s">
        <v>2531</v>
      </c>
      <c r="AB110" t="s">
        <v>2532</v>
      </c>
      <c r="AC110" t="s">
        <v>74</v>
      </c>
      <c r="AD110" t="s">
        <v>74</v>
      </c>
      <c r="AE110" t="s">
        <v>74</v>
      </c>
      <c r="AF110" t="s">
        <v>74</v>
      </c>
      <c r="AG110">
        <v>36</v>
      </c>
      <c r="AH110">
        <v>5</v>
      </c>
      <c r="AI110">
        <v>6</v>
      </c>
      <c r="AJ110">
        <v>2</v>
      </c>
      <c r="AK110">
        <v>18</v>
      </c>
      <c r="AL110" t="s">
        <v>222</v>
      </c>
      <c r="AM110" t="s">
        <v>223</v>
      </c>
      <c r="AN110" t="s">
        <v>224</v>
      </c>
      <c r="AO110" t="s">
        <v>74</v>
      </c>
      <c r="AP110" t="s">
        <v>479</v>
      </c>
      <c r="AQ110" t="s">
        <v>74</v>
      </c>
      <c r="AR110" t="s">
        <v>480</v>
      </c>
      <c r="AS110" t="s">
        <v>481</v>
      </c>
      <c r="AT110" t="s">
        <v>2533</v>
      </c>
      <c r="AU110">
        <v>2023</v>
      </c>
      <c r="AV110">
        <v>15</v>
      </c>
      <c r="AW110">
        <v>10</v>
      </c>
      <c r="AX110" t="s">
        <v>74</v>
      </c>
      <c r="AY110" t="s">
        <v>74</v>
      </c>
      <c r="AZ110" t="s">
        <v>74</v>
      </c>
      <c r="BA110" t="s">
        <v>74</v>
      </c>
      <c r="BB110" t="s">
        <v>74</v>
      </c>
      <c r="BC110" t="s">
        <v>74</v>
      </c>
      <c r="BD110">
        <v>8199</v>
      </c>
      <c r="BE110" t="s">
        <v>2534</v>
      </c>
      <c r="BF110" t="str">
        <f>HYPERLINK("http://dx.doi.org/10.3390/su15108199","http://dx.doi.org/10.3390/su15108199")</f>
        <v>http://dx.doi.org/10.3390/su15108199</v>
      </c>
      <c r="BG110" t="s">
        <v>74</v>
      </c>
      <c r="BH110" t="s">
        <v>74</v>
      </c>
      <c r="BI110">
        <v>13</v>
      </c>
      <c r="BJ110" t="s">
        <v>484</v>
      </c>
      <c r="BK110" t="s">
        <v>186</v>
      </c>
      <c r="BL110" t="s">
        <v>485</v>
      </c>
      <c r="BM110" t="s">
        <v>2535</v>
      </c>
      <c r="BN110" t="s">
        <v>74</v>
      </c>
      <c r="BO110" t="s">
        <v>161</v>
      </c>
      <c r="BP110" t="s">
        <v>74</v>
      </c>
      <c r="BQ110" t="s">
        <v>74</v>
      </c>
      <c r="BR110" t="s">
        <v>106</v>
      </c>
      <c r="BS110" t="s">
        <v>2536</v>
      </c>
      <c r="BT110" t="str">
        <f>HYPERLINK("https%3A%2F%2Fwww.webofscience.com%2Fwos%2Fwoscc%2Ffull-record%2FWOS:000997150200001","View Full Record in Web of Science")</f>
        <v>View Full Record in Web of Science</v>
      </c>
    </row>
    <row r="111" spans="1:72" x14ac:dyDescent="0.2">
      <c r="A111" t="s">
        <v>72</v>
      </c>
      <c r="B111" t="s">
        <v>2537</v>
      </c>
      <c r="C111" t="s">
        <v>74</v>
      </c>
      <c r="D111" t="s">
        <v>74</v>
      </c>
      <c r="E111" t="s">
        <v>74</v>
      </c>
      <c r="F111" t="s">
        <v>2538</v>
      </c>
      <c r="G111" t="s">
        <v>74</v>
      </c>
      <c r="H111" t="s">
        <v>74</v>
      </c>
      <c r="I111" t="s">
        <v>2539</v>
      </c>
      <c r="J111" t="s">
        <v>446</v>
      </c>
      <c r="K111" t="s">
        <v>74</v>
      </c>
      <c r="L111" t="s">
        <v>74</v>
      </c>
      <c r="M111" t="s">
        <v>78</v>
      </c>
      <c r="N111" t="s">
        <v>79</v>
      </c>
      <c r="O111" t="s">
        <v>74</v>
      </c>
      <c r="P111" t="s">
        <v>74</v>
      </c>
      <c r="Q111" t="s">
        <v>74</v>
      </c>
      <c r="R111" t="s">
        <v>74</v>
      </c>
      <c r="S111" t="s">
        <v>74</v>
      </c>
      <c r="T111" t="s">
        <v>2540</v>
      </c>
      <c r="U111" t="s">
        <v>2541</v>
      </c>
      <c r="V111" t="s">
        <v>2542</v>
      </c>
      <c r="W111" t="s">
        <v>74</v>
      </c>
      <c r="X111" t="s">
        <v>74</v>
      </c>
      <c r="Y111" t="s">
        <v>2543</v>
      </c>
      <c r="Z111" t="s">
        <v>2544</v>
      </c>
      <c r="AA111" t="s">
        <v>74</v>
      </c>
      <c r="AB111" t="s">
        <v>74</v>
      </c>
      <c r="AC111" t="s">
        <v>74</v>
      </c>
      <c r="AD111" t="s">
        <v>74</v>
      </c>
      <c r="AE111" t="s">
        <v>74</v>
      </c>
      <c r="AF111" t="s">
        <v>74</v>
      </c>
      <c r="AG111">
        <v>35</v>
      </c>
      <c r="AH111">
        <v>5</v>
      </c>
      <c r="AI111">
        <v>6</v>
      </c>
      <c r="AJ111">
        <v>2</v>
      </c>
      <c r="AK111">
        <v>19</v>
      </c>
      <c r="AL111" t="s">
        <v>222</v>
      </c>
      <c r="AM111" t="s">
        <v>223</v>
      </c>
      <c r="AN111" t="s">
        <v>224</v>
      </c>
      <c r="AO111" t="s">
        <v>457</v>
      </c>
      <c r="AP111" t="s">
        <v>74</v>
      </c>
      <c r="AQ111" t="s">
        <v>74</v>
      </c>
      <c r="AR111" t="s">
        <v>446</v>
      </c>
      <c r="AS111" t="s">
        <v>458</v>
      </c>
      <c r="AT111" t="s">
        <v>1109</v>
      </c>
      <c r="AU111">
        <v>2015</v>
      </c>
      <c r="AV111">
        <v>5</v>
      </c>
      <c r="AW111">
        <v>4</v>
      </c>
      <c r="AX111" t="s">
        <v>74</v>
      </c>
      <c r="AY111" t="s">
        <v>74</v>
      </c>
      <c r="AZ111" t="s">
        <v>74</v>
      </c>
      <c r="BA111" t="s">
        <v>74</v>
      </c>
      <c r="BB111">
        <v>569</v>
      </c>
      <c r="BC111">
        <v>586</v>
      </c>
      <c r="BD111" t="s">
        <v>74</v>
      </c>
      <c r="BE111" t="s">
        <v>2545</v>
      </c>
      <c r="BF111" t="str">
        <f>HYPERLINK("http://dx.doi.org/10.3390/agronomy5040569","http://dx.doi.org/10.3390/agronomy5040569")</f>
        <v>http://dx.doi.org/10.3390/agronomy5040569</v>
      </c>
      <c r="BG111" t="s">
        <v>74</v>
      </c>
      <c r="BH111" t="s">
        <v>74</v>
      </c>
      <c r="BI111">
        <v>18</v>
      </c>
      <c r="BJ111" t="s">
        <v>461</v>
      </c>
      <c r="BK111" t="s">
        <v>102</v>
      </c>
      <c r="BL111" t="s">
        <v>462</v>
      </c>
      <c r="BM111" t="s">
        <v>2546</v>
      </c>
      <c r="BN111" t="s">
        <v>74</v>
      </c>
      <c r="BO111" t="s">
        <v>161</v>
      </c>
      <c r="BP111" t="s">
        <v>74</v>
      </c>
      <c r="BQ111" t="s">
        <v>74</v>
      </c>
      <c r="BR111" t="s">
        <v>106</v>
      </c>
      <c r="BS111" t="s">
        <v>2547</v>
      </c>
      <c r="BT111" t="str">
        <f>HYPERLINK("https%3A%2F%2Fwww.webofscience.com%2Fwos%2Fwoscc%2Ffull-record%2FWOS:000367615100007","View Full Record in Web of Science")</f>
        <v>View Full Record in Web of Science</v>
      </c>
    </row>
    <row r="112" spans="1:72" x14ac:dyDescent="0.2">
      <c r="A112" t="s">
        <v>72</v>
      </c>
      <c r="B112" t="s">
        <v>2548</v>
      </c>
      <c r="C112" t="s">
        <v>74</v>
      </c>
      <c r="D112" t="s">
        <v>74</v>
      </c>
      <c r="E112" t="s">
        <v>74</v>
      </c>
      <c r="F112" t="s">
        <v>2549</v>
      </c>
      <c r="G112" t="s">
        <v>74</v>
      </c>
      <c r="H112" t="s">
        <v>74</v>
      </c>
      <c r="I112" t="s">
        <v>2550</v>
      </c>
      <c r="J112" t="s">
        <v>491</v>
      </c>
      <c r="K112" t="s">
        <v>74</v>
      </c>
      <c r="L112" t="s">
        <v>74</v>
      </c>
      <c r="M112" t="s">
        <v>78</v>
      </c>
      <c r="N112" t="s">
        <v>492</v>
      </c>
      <c r="O112" t="s">
        <v>74</v>
      </c>
      <c r="P112" t="s">
        <v>74</v>
      </c>
      <c r="Q112" t="s">
        <v>74</v>
      </c>
      <c r="R112" t="s">
        <v>74</v>
      </c>
      <c r="S112" t="s">
        <v>74</v>
      </c>
      <c r="T112" t="s">
        <v>2551</v>
      </c>
      <c r="U112" t="s">
        <v>2046</v>
      </c>
      <c r="V112" t="s">
        <v>2552</v>
      </c>
      <c r="W112" t="s">
        <v>2553</v>
      </c>
      <c r="X112" t="s">
        <v>2554</v>
      </c>
      <c r="Y112" t="s">
        <v>2555</v>
      </c>
      <c r="Z112" t="s">
        <v>2556</v>
      </c>
      <c r="AA112" t="s">
        <v>2557</v>
      </c>
      <c r="AB112" t="s">
        <v>2558</v>
      </c>
      <c r="AC112" t="s">
        <v>74</v>
      </c>
      <c r="AD112" t="s">
        <v>74</v>
      </c>
      <c r="AE112" t="s">
        <v>74</v>
      </c>
      <c r="AF112" t="s">
        <v>74</v>
      </c>
      <c r="AG112">
        <v>40</v>
      </c>
      <c r="AH112">
        <v>2</v>
      </c>
      <c r="AI112">
        <v>2</v>
      </c>
      <c r="AJ112">
        <v>12</v>
      </c>
      <c r="AK112">
        <v>32</v>
      </c>
      <c r="AL112" t="s">
        <v>504</v>
      </c>
      <c r="AM112" t="s">
        <v>505</v>
      </c>
      <c r="AN112" t="s">
        <v>506</v>
      </c>
      <c r="AO112" t="s">
        <v>507</v>
      </c>
      <c r="AP112" t="s">
        <v>508</v>
      </c>
      <c r="AQ112" t="s">
        <v>74</v>
      </c>
      <c r="AR112" t="s">
        <v>509</v>
      </c>
      <c r="AS112" t="s">
        <v>510</v>
      </c>
      <c r="AT112" t="s">
        <v>2559</v>
      </c>
      <c r="AU112">
        <v>2025</v>
      </c>
      <c r="AV112" t="s">
        <v>74</v>
      </c>
      <c r="AW112" t="s">
        <v>74</v>
      </c>
      <c r="AX112" t="s">
        <v>74</v>
      </c>
      <c r="AY112" t="s">
        <v>74</v>
      </c>
      <c r="AZ112" t="s">
        <v>74</v>
      </c>
      <c r="BA112" t="s">
        <v>74</v>
      </c>
      <c r="BB112" t="s">
        <v>74</v>
      </c>
      <c r="BC112" t="s">
        <v>74</v>
      </c>
      <c r="BD112" t="s">
        <v>74</v>
      </c>
      <c r="BE112" t="s">
        <v>2560</v>
      </c>
      <c r="BF112" t="str">
        <f>HYPERLINK("http://dx.doi.org/10.1007/s10668-024-05720-0","http://dx.doi.org/10.1007/s10668-024-05720-0")</f>
        <v>http://dx.doi.org/10.1007/s10668-024-05720-0</v>
      </c>
      <c r="BG112" t="s">
        <v>74</v>
      </c>
      <c r="BH112" t="s">
        <v>2404</v>
      </c>
      <c r="BI112">
        <v>22</v>
      </c>
      <c r="BJ112" t="s">
        <v>514</v>
      </c>
      <c r="BK112" t="s">
        <v>102</v>
      </c>
      <c r="BL112" t="s">
        <v>485</v>
      </c>
      <c r="BM112" t="s">
        <v>2561</v>
      </c>
      <c r="BN112" t="s">
        <v>74</v>
      </c>
      <c r="BO112" t="s">
        <v>74</v>
      </c>
      <c r="BP112" t="s">
        <v>74</v>
      </c>
      <c r="BQ112" t="s">
        <v>74</v>
      </c>
      <c r="BR112" t="s">
        <v>106</v>
      </c>
      <c r="BS112" t="s">
        <v>2562</v>
      </c>
      <c r="BT112" t="str">
        <f>HYPERLINK("https%3A%2F%2Fwww.webofscience.com%2Fwos%2Fwoscc%2Ffull-record%2FWOS:001409728500001","View Full Record in Web of Science")</f>
        <v>View Full Record in Web of Science</v>
      </c>
    </row>
    <row r="113" spans="1:72" x14ac:dyDescent="0.2">
      <c r="A113" t="s">
        <v>72</v>
      </c>
      <c r="B113" t="s">
        <v>2563</v>
      </c>
      <c r="C113" t="s">
        <v>74</v>
      </c>
      <c r="D113" t="s">
        <v>74</v>
      </c>
      <c r="E113" t="s">
        <v>74</v>
      </c>
      <c r="F113" t="s">
        <v>2564</v>
      </c>
      <c r="G113" t="s">
        <v>74</v>
      </c>
      <c r="H113" t="s">
        <v>74</v>
      </c>
      <c r="I113" t="s">
        <v>2565</v>
      </c>
      <c r="J113" t="s">
        <v>1526</v>
      </c>
      <c r="K113" t="s">
        <v>74</v>
      </c>
      <c r="L113" t="s">
        <v>74</v>
      </c>
      <c r="M113" t="s">
        <v>78</v>
      </c>
      <c r="N113" t="s">
        <v>79</v>
      </c>
      <c r="O113" t="s">
        <v>74</v>
      </c>
      <c r="P113" t="s">
        <v>74</v>
      </c>
      <c r="Q113" t="s">
        <v>74</v>
      </c>
      <c r="R113" t="s">
        <v>74</v>
      </c>
      <c r="S113" t="s">
        <v>74</v>
      </c>
      <c r="T113" t="s">
        <v>2566</v>
      </c>
      <c r="U113" t="s">
        <v>2567</v>
      </c>
      <c r="V113" t="s">
        <v>2568</v>
      </c>
      <c r="W113" t="s">
        <v>2569</v>
      </c>
      <c r="X113" t="s">
        <v>2570</v>
      </c>
      <c r="Y113" t="s">
        <v>2571</v>
      </c>
      <c r="Z113" t="s">
        <v>2572</v>
      </c>
      <c r="AA113" t="s">
        <v>2573</v>
      </c>
      <c r="AB113" t="s">
        <v>2574</v>
      </c>
      <c r="AC113" t="s">
        <v>2575</v>
      </c>
      <c r="AD113" t="s">
        <v>2576</v>
      </c>
      <c r="AE113" t="s">
        <v>2577</v>
      </c>
      <c r="AF113" t="s">
        <v>74</v>
      </c>
      <c r="AG113">
        <v>64</v>
      </c>
      <c r="AH113">
        <v>3</v>
      </c>
      <c r="AI113">
        <v>3</v>
      </c>
      <c r="AJ113">
        <v>10</v>
      </c>
      <c r="AK113">
        <v>90</v>
      </c>
      <c r="AL113" t="s">
        <v>176</v>
      </c>
      <c r="AM113" t="s">
        <v>1610</v>
      </c>
      <c r="AN113" t="s">
        <v>1611</v>
      </c>
      <c r="AO113" t="s">
        <v>1538</v>
      </c>
      <c r="AP113" t="s">
        <v>1539</v>
      </c>
      <c r="AQ113" t="s">
        <v>74</v>
      </c>
      <c r="AR113" t="s">
        <v>1540</v>
      </c>
      <c r="AS113" t="s">
        <v>1541</v>
      </c>
      <c r="AT113" t="s">
        <v>2578</v>
      </c>
      <c r="AU113">
        <v>2023</v>
      </c>
      <c r="AV113">
        <v>406</v>
      </c>
      <c r="AW113" t="s">
        <v>74</v>
      </c>
      <c r="AX113" t="s">
        <v>74</v>
      </c>
      <c r="AY113" t="s">
        <v>74</v>
      </c>
      <c r="AZ113" t="s">
        <v>74</v>
      </c>
      <c r="BA113" t="s">
        <v>74</v>
      </c>
      <c r="BB113" t="s">
        <v>74</v>
      </c>
      <c r="BC113" t="s">
        <v>74</v>
      </c>
      <c r="BD113">
        <v>137068</v>
      </c>
      <c r="BE113" t="s">
        <v>2579</v>
      </c>
      <c r="BF113" t="str">
        <f>HYPERLINK("http://dx.doi.org/10.1016/j.jclepro.2023.137068","http://dx.doi.org/10.1016/j.jclepro.2023.137068")</f>
        <v>http://dx.doi.org/10.1016/j.jclepro.2023.137068</v>
      </c>
      <c r="BG113" t="s">
        <v>74</v>
      </c>
      <c r="BH113" t="s">
        <v>2580</v>
      </c>
      <c r="BI113">
        <v>12</v>
      </c>
      <c r="BJ113" t="s">
        <v>1543</v>
      </c>
      <c r="BK113" t="s">
        <v>102</v>
      </c>
      <c r="BL113" t="s">
        <v>1544</v>
      </c>
      <c r="BM113" t="s">
        <v>2581</v>
      </c>
      <c r="BN113" t="s">
        <v>74</v>
      </c>
      <c r="BO113" t="s">
        <v>74</v>
      </c>
      <c r="BP113" t="s">
        <v>74</v>
      </c>
      <c r="BQ113" t="s">
        <v>74</v>
      </c>
      <c r="BR113" t="s">
        <v>106</v>
      </c>
      <c r="BS113" t="s">
        <v>2582</v>
      </c>
      <c r="BT113" t="str">
        <f>HYPERLINK("https%3A%2F%2Fwww.webofscience.com%2Fwos%2Fwoscc%2Ffull-record%2FWOS:000979977400001","View Full Record in Web of Science")</f>
        <v>View Full Record in Web of Science</v>
      </c>
    </row>
    <row r="114" spans="1:72" x14ac:dyDescent="0.2">
      <c r="A114" t="s">
        <v>72</v>
      </c>
      <c r="B114" t="s">
        <v>2583</v>
      </c>
      <c r="C114" t="s">
        <v>74</v>
      </c>
      <c r="D114" t="s">
        <v>74</v>
      </c>
      <c r="E114" t="s">
        <v>74</v>
      </c>
      <c r="F114" t="s">
        <v>2584</v>
      </c>
      <c r="G114" t="s">
        <v>74</v>
      </c>
      <c r="H114" t="s">
        <v>74</v>
      </c>
      <c r="I114" t="s">
        <v>2585</v>
      </c>
      <c r="J114" t="s">
        <v>468</v>
      </c>
      <c r="K114" t="s">
        <v>74</v>
      </c>
      <c r="L114" t="s">
        <v>74</v>
      </c>
      <c r="M114" t="s">
        <v>78</v>
      </c>
      <c r="N114" t="s">
        <v>79</v>
      </c>
      <c r="O114" t="s">
        <v>74</v>
      </c>
      <c r="P114" t="s">
        <v>74</v>
      </c>
      <c r="Q114" t="s">
        <v>74</v>
      </c>
      <c r="R114" t="s">
        <v>74</v>
      </c>
      <c r="S114" t="s">
        <v>74</v>
      </c>
      <c r="T114" t="s">
        <v>2586</v>
      </c>
      <c r="U114" t="s">
        <v>74</v>
      </c>
      <c r="V114" t="s">
        <v>2587</v>
      </c>
      <c r="W114" t="s">
        <v>2588</v>
      </c>
      <c r="X114" t="s">
        <v>2589</v>
      </c>
      <c r="Y114" t="s">
        <v>2590</v>
      </c>
      <c r="Z114" t="s">
        <v>2591</v>
      </c>
      <c r="AA114" t="s">
        <v>2592</v>
      </c>
      <c r="AB114" t="s">
        <v>74</v>
      </c>
      <c r="AC114" t="s">
        <v>2593</v>
      </c>
      <c r="AD114" t="s">
        <v>2594</v>
      </c>
      <c r="AE114" t="s">
        <v>2595</v>
      </c>
      <c r="AF114" t="s">
        <v>74</v>
      </c>
      <c r="AG114">
        <v>33</v>
      </c>
      <c r="AH114">
        <v>4</v>
      </c>
      <c r="AI114">
        <v>4</v>
      </c>
      <c r="AJ114">
        <v>1</v>
      </c>
      <c r="AK114">
        <v>71</v>
      </c>
      <c r="AL114" t="s">
        <v>222</v>
      </c>
      <c r="AM114" t="s">
        <v>223</v>
      </c>
      <c r="AN114" t="s">
        <v>478</v>
      </c>
      <c r="AO114" t="s">
        <v>74</v>
      </c>
      <c r="AP114" t="s">
        <v>479</v>
      </c>
      <c r="AQ114" t="s">
        <v>74</v>
      </c>
      <c r="AR114" t="s">
        <v>480</v>
      </c>
      <c r="AS114" t="s">
        <v>481</v>
      </c>
      <c r="AT114" t="s">
        <v>281</v>
      </c>
      <c r="AU114">
        <v>2022</v>
      </c>
      <c r="AV114">
        <v>14</v>
      </c>
      <c r="AW114">
        <v>12</v>
      </c>
      <c r="AX114" t="s">
        <v>74</v>
      </c>
      <c r="AY114" t="s">
        <v>74</v>
      </c>
      <c r="AZ114" t="s">
        <v>74</v>
      </c>
      <c r="BA114" t="s">
        <v>74</v>
      </c>
      <c r="BB114" t="s">
        <v>74</v>
      </c>
      <c r="BC114" t="s">
        <v>74</v>
      </c>
      <c r="BD114">
        <v>7126</v>
      </c>
      <c r="BE114" t="s">
        <v>2596</v>
      </c>
      <c r="BF114" t="str">
        <f>HYPERLINK("http://dx.doi.org/10.3390/su14127126","http://dx.doi.org/10.3390/su14127126")</f>
        <v>http://dx.doi.org/10.3390/su14127126</v>
      </c>
      <c r="BG114" t="s">
        <v>74</v>
      </c>
      <c r="BH114" t="s">
        <v>74</v>
      </c>
      <c r="BI114">
        <v>11</v>
      </c>
      <c r="BJ114" t="s">
        <v>484</v>
      </c>
      <c r="BK114" t="s">
        <v>186</v>
      </c>
      <c r="BL114" t="s">
        <v>485</v>
      </c>
      <c r="BM114" t="s">
        <v>2597</v>
      </c>
      <c r="BN114" t="s">
        <v>74</v>
      </c>
      <c r="BO114" t="s">
        <v>161</v>
      </c>
      <c r="BP114" t="s">
        <v>74</v>
      </c>
      <c r="BQ114" t="s">
        <v>74</v>
      </c>
      <c r="BR114" t="s">
        <v>106</v>
      </c>
      <c r="BS114" t="s">
        <v>2598</v>
      </c>
      <c r="BT114" t="str">
        <f>HYPERLINK("https%3A%2F%2Fwww.webofscience.com%2Fwos%2Fwoscc%2Ffull-record%2FWOS:000816779000001","View Full Record in Web of Science")</f>
        <v>View Full Record in Web of Science</v>
      </c>
    </row>
    <row r="115" spans="1:72" x14ac:dyDescent="0.2">
      <c r="A115" t="s">
        <v>72</v>
      </c>
      <c r="B115" t="s">
        <v>2599</v>
      </c>
      <c r="C115" t="s">
        <v>74</v>
      </c>
      <c r="D115" t="s">
        <v>74</v>
      </c>
      <c r="E115" t="s">
        <v>74</v>
      </c>
      <c r="F115" t="s">
        <v>2600</v>
      </c>
      <c r="G115" t="s">
        <v>74</v>
      </c>
      <c r="H115" t="s">
        <v>74</v>
      </c>
      <c r="I115" t="s">
        <v>2601</v>
      </c>
      <c r="J115" t="s">
        <v>468</v>
      </c>
      <c r="K115" t="s">
        <v>74</v>
      </c>
      <c r="L115" t="s">
        <v>74</v>
      </c>
      <c r="M115" t="s">
        <v>78</v>
      </c>
      <c r="N115" t="s">
        <v>79</v>
      </c>
      <c r="O115" t="s">
        <v>74</v>
      </c>
      <c r="P115" t="s">
        <v>74</v>
      </c>
      <c r="Q115" t="s">
        <v>74</v>
      </c>
      <c r="R115" t="s">
        <v>74</v>
      </c>
      <c r="S115" t="s">
        <v>74</v>
      </c>
      <c r="T115" t="s">
        <v>2602</v>
      </c>
      <c r="U115" t="s">
        <v>74</v>
      </c>
      <c r="V115" t="s">
        <v>2603</v>
      </c>
      <c r="W115" t="s">
        <v>2604</v>
      </c>
      <c r="X115" t="s">
        <v>2605</v>
      </c>
      <c r="Y115" t="s">
        <v>2606</v>
      </c>
      <c r="Z115" t="s">
        <v>2607</v>
      </c>
      <c r="AA115" t="s">
        <v>2608</v>
      </c>
      <c r="AB115" t="s">
        <v>2609</v>
      </c>
      <c r="AC115" t="s">
        <v>74</v>
      </c>
      <c r="AD115" t="s">
        <v>74</v>
      </c>
      <c r="AE115" t="s">
        <v>74</v>
      </c>
      <c r="AF115" t="s">
        <v>74</v>
      </c>
      <c r="AG115">
        <v>48</v>
      </c>
      <c r="AH115">
        <v>0</v>
      </c>
      <c r="AI115">
        <v>0</v>
      </c>
      <c r="AJ115">
        <v>1</v>
      </c>
      <c r="AK115">
        <v>1</v>
      </c>
      <c r="AL115" t="s">
        <v>222</v>
      </c>
      <c r="AM115" t="s">
        <v>223</v>
      </c>
      <c r="AN115" t="s">
        <v>478</v>
      </c>
      <c r="AO115" t="s">
        <v>74</v>
      </c>
      <c r="AP115" t="s">
        <v>479</v>
      </c>
      <c r="AQ115" t="s">
        <v>74</v>
      </c>
      <c r="AR115" t="s">
        <v>480</v>
      </c>
      <c r="AS115" t="s">
        <v>481</v>
      </c>
      <c r="AT115" t="s">
        <v>2610</v>
      </c>
      <c r="AU115">
        <v>2025</v>
      </c>
      <c r="AV115">
        <v>17</v>
      </c>
      <c r="AW115">
        <v>15</v>
      </c>
      <c r="AX115" t="s">
        <v>74</v>
      </c>
      <c r="AY115" t="s">
        <v>74</v>
      </c>
      <c r="AZ115" t="s">
        <v>74</v>
      </c>
      <c r="BA115" t="s">
        <v>74</v>
      </c>
      <c r="BB115" t="s">
        <v>74</v>
      </c>
      <c r="BC115" t="s">
        <v>74</v>
      </c>
      <c r="BD115">
        <v>6847</v>
      </c>
      <c r="BE115" t="s">
        <v>2611</v>
      </c>
      <c r="BF115" t="str">
        <f>HYPERLINK("http://dx.doi.org/10.3390/su17156847","http://dx.doi.org/10.3390/su17156847")</f>
        <v>http://dx.doi.org/10.3390/su17156847</v>
      </c>
      <c r="BG115" t="s">
        <v>74</v>
      </c>
      <c r="BH115" t="s">
        <v>74</v>
      </c>
      <c r="BI115">
        <v>17</v>
      </c>
      <c r="BJ115" t="s">
        <v>484</v>
      </c>
      <c r="BK115" t="s">
        <v>186</v>
      </c>
      <c r="BL115" t="s">
        <v>485</v>
      </c>
      <c r="BM115" t="s">
        <v>2612</v>
      </c>
      <c r="BN115" t="s">
        <v>74</v>
      </c>
      <c r="BO115" t="s">
        <v>231</v>
      </c>
      <c r="BP115" t="s">
        <v>74</v>
      </c>
      <c r="BQ115" t="s">
        <v>74</v>
      </c>
      <c r="BR115" t="s">
        <v>106</v>
      </c>
      <c r="BS115" t="s">
        <v>2613</v>
      </c>
      <c r="BT115" t="str">
        <f>HYPERLINK("https%3A%2F%2Fwww.webofscience.com%2Fwos%2Fwoscc%2Ffull-record%2FWOS:001549685400001","View Full Record in Web of Science")</f>
        <v>View Full Record in Web of Science</v>
      </c>
    </row>
    <row r="116" spans="1:72" x14ac:dyDescent="0.2">
      <c r="A116" t="s">
        <v>72</v>
      </c>
      <c r="B116" t="s">
        <v>2614</v>
      </c>
      <c r="C116" t="s">
        <v>74</v>
      </c>
      <c r="D116" t="s">
        <v>74</v>
      </c>
      <c r="E116" t="s">
        <v>74</v>
      </c>
      <c r="F116" t="s">
        <v>2615</v>
      </c>
      <c r="G116" t="s">
        <v>74</v>
      </c>
      <c r="H116" t="s">
        <v>74</v>
      </c>
      <c r="I116" t="s">
        <v>2616</v>
      </c>
      <c r="J116" t="s">
        <v>762</v>
      </c>
      <c r="K116" t="s">
        <v>74</v>
      </c>
      <c r="L116" t="s">
        <v>74</v>
      </c>
      <c r="M116" t="s">
        <v>78</v>
      </c>
      <c r="N116" t="s">
        <v>79</v>
      </c>
      <c r="O116" t="s">
        <v>74</v>
      </c>
      <c r="P116" t="s">
        <v>74</v>
      </c>
      <c r="Q116" t="s">
        <v>74</v>
      </c>
      <c r="R116" t="s">
        <v>74</v>
      </c>
      <c r="S116" t="s">
        <v>74</v>
      </c>
      <c r="T116" t="s">
        <v>2617</v>
      </c>
      <c r="U116" t="s">
        <v>2618</v>
      </c>
      <c r="V116" t="s">
        <v>2619</v>
      </c>
      <c r="W116" t="s">
        <v>2620</v>
      </c>
      <c r="X116" t="s">
        <v>74</v>
      </c>
      <c r="Y116" t="s">
        <v>2621</v>
      </c>
      <c r="Z116" t="s">
        <v>2622</v>
      </c>
      <c r="AA116" t="s">
        <v>74</v>
      </c>
      <c r="AB116" t="s">
        <v>74</v>
      </c>
      <c r="AC116" t="s">
        <v>2623</v>
      </c>
      <c r="AD116" t="s">
        <v>2624</v>
      </c>
      <c r="AE116" t="s">
        <v>2625</v>
      </c>
      <c r="AF116" t="s">
        <v>74</v>
      </c>
      <c r="AG116">
        <v>66</v>
      </c>
      <c r="AH116">
        <v>64</v>
      </c>
      <c r="AI116">
        <v>77</v>
      </c>
      <c r="AJ116">
        <v>4</v>
      </c>
      <c r="AK116">
        <v>61</v>
      </c>
      <c r="AL116" t="s">
        <v>1631</v>
      </c>
      <c r="AM116" t="s">
        <v>776</v>
      </c>
      <c r="AN116" t="s">
        <v>777</v>
      </c>
      <c r="AO116" t="s">
        <v>778</v>
      </c>
      <c r="AP116" t="s">
        <v>74</v>
      </c>
      <c r="AQ116" t="s">
        <v>74</v>
      </c>
      <c r="AR116" t="s">
        <v>779</v>
      </c>
      <c r="AS116" t="s">
        <v>780</v>
      </c>
      <c r="AT116" t="s">
        <v>99</v>
      </c>
      <c r="AU116">
        <v>2018</v>
      </c>
      <c r="AV116">
        <v>13</v>
      </c>
      <c r="AW116">
        <v>3</v>
      </c>
      <c r="AX116" t="s">
        <v>74</v>
      </c>
      <c r="AY116" t="s">
        <v>74</v>
      </c>
      <c r="AZ116" t="s">
        <v>74</v>
      </c>
      <c r="BA116" t="s">
        <v>74</v>
      </c>
      <c r="BB116" t="s">
        <v>74</v>
      </c>
      <c r="BC116" t="s">
        <v>74</v>
      </c>
      <c r="BD116">
        <v>35001</v>
      </c>
      <c r="BE116" t="s">
        <v>2626</v>
      </c>
      <c r="BF116" t="str">
        <f>HYPERLINK("http://dx.doi.org/10.1088/1748-9326/aaac88","http://dx.doi.org/10.1088/1748-9326/aaac88")</f>
        <v>http://dx.doi.org/10.1088/1748-9326/aaac88</v>
      </c>
      <c r="BG116" t="s">
        <v>74</v>
      </c>
      <c r="BH116" t="s">
        <v>74</v>
      </c>
      <c r="BI116">
        <v>10</v>
      </c>
      <c r="BJ116" t="s">
        <v>782</v>
      </c>
      <c r="BK116" t="s">
        <v>102</v>
      </c>
      <c r="BL116" t="s">
        <v>783</v>
      </c>
      <c r="BM116" t="s">
        <v>2627</v>
      </c>
      <c r="BN116" t="s">
        <v>74</v>
      </c>
      <c r="BO116" t="s">
        <v>231</v>
      </c>
      <c r="BP116" t="s">
        <v>74</v>
      </c>
      <c r="BQ116" t="s">
        <v>74</v>
      </c>
      <c r="BR116" t="s">
        <v>106</v>
      </c>
      <c r="BS116" t="s">
        <v>2628</v>
      </c>
      <c r="BT116" t="str">
        <f>HYPERLINK("https%3A%2F%2Fwww.webofscience.com%2Fwos%2Fwoscc%2Ffull-record%2FWOS:000425835500001","View Full Record in Web of Science")</f>
        <v>View Full Record in Web of Science</v>
      </c>
    </row>
    <row r="117" spans="1:72" x14ac:dyDescent="0.2">
      <c r="A117" t="s">
        <v>72</v>
      </c>
      <c r="B117" t="s">
        <v>2629</v>
      </c>
      <c r="C117" t="s">
        <v>74</v>
      </c>
      <c r="D117" t="s">
        <v>74</v>
      </c>
      <c r="E117" t="s">
        <v>74</v>
      </c>
      <c r="F117" t="s">
        <v>2630</v>
      </c>
      <c r="G117" t="s">
        <v>74</v>
      </c>
      <c r="H117" t="s">
        <v>74</v>
      </c>
      <c r="I117" t="s">
        <v>2631</v>
      </c>
      <c r="J117" t="s">
        <v>740</v>
      </c>
      <c r="K117" t="s">
        <v>74</v>
      </c>
      <c r="L117" t="s">
        <v>74</v>
      </c>
      <c r="M117" t="s">
        <v>78</v>
      </c>
      <c r="N117" t="s">
        <v>79</v>
      </c>
      <c r="O117" t="s">
        <v>74</v>
      </c>
      <c r="P117" t="s">
        <v>74</v>
      </c>
      <c r="Q117" t="s">
        <v>74</v>
      </c>
      <c r="R117" t="s">
        <v>74</v>
      </c>
      <c r="S117" t="s">
        <v>74</v>
      </c>
      <c r="T117" t="s">
        <v>2632</v>
      </c>
      <c r="U117" t="s">
        <v>2633</v>
      </c>
      <c r="V117" t="s">
        <v>2634</v>
      </c>
      <c r="W117" t="s">
        <v>2635</v>
      </c>
      <c r="X117" t="s">
        <v>2636</v>
      </c>
      <c r="Y117" t="s">
        <v>2637</v>
      </c>
      <c r="Z117" t="s">
        <v>2638</v>
      </c>
      <c r="AA117" t="s">
        <v>2639</v>
      </c>
      <c r="AB117" t="s">
        <v>74</v>
      </c>
      <c r="AC117" t="s">
        <v>74</v>
      </c>
      <c r="AD117" t="s">
        <v>74</v>
      </c>
      <c r="AE117" t="s">
        <v>74</v>
      </c>
      <c r="AF117" t="s">
        <v>74</v>
      </c>
      <c r="AG117">
        <v>90</v>
      </c>
      <c r="AH117">
        <v>1</v>
      </c>
      <c r="AI117">
        <v>1</v>
      </c>
      <c r="AJ117">
        <v>30</v>
      </c>
      <c r="AK117">
        <v>41</v>
      </c>
      <c r="AL117" t="s">
        <v>247</v>
      </c>
      <c r="AM117" t="s">
        <v>248</v>
      </c>
      <c r="AN117" t="s">
        <v>249</v>
      </c>
      <c r="AO117" t="s">
        <v>750</v>
      </c>
      <c r="AP117" t="s">
        <v>751</v>
      </c>
      <c r="AQ117" t="s">
        <v>74</v>
      </c>
      <c r="AR117" t="s">
        <v>752</v>
      </c>
      <c r="AS117" t="s">
        <v>753</v>
      </c>
      <c r="AT117" t="s">
        <v>912</v>
      </c>
      <c r="AU117">
        <v>2025</v>
      </c>
      <c r="AV117">
        <v>31</v>
      </c>
      <c r="AW117">
        <v>5</v>
      </c>
      <c r="AX117" t="s">
        <v>74</v>
      </c>
      <c r="AY117" t="s">
        <v>74</v>
      </c>
      <c r="AZ117" t="s">
        <v>74</v>
      </c>
      <c r="BA117" t="s">
        <v>74</v>
      </c>
      <c r="BB117" t="s">
        <v>74</v>
      </c>
      <c r="BC117" t="s">
        <v>74</v>
      </c>
      <c r="BD117" t="s">
        <v>2640</v>
      </c>
      <c r="BE117" t="s">
        <v>2641</v>
      </c>
      <c r="BF117" t="str">
        <f>HYPERLINK("http://dx.doi.org/10.1111/gcb.70216","http://dx.doi.org/10.1111/gcb.70216")</f>
        <v>http://dx.doi.org/10.1111/gcb.70216</v>
      </c>
      <c r="BG117" t="s">
        <v>74</v>
      </c>
      <c r="BH117" t="s">
        <v>74</v>
      </c>
      <c r="BI117">
        <v>13</v>
      </c>
      <c r="BJ117" t="s">
        <v>755</v>
      </c>
      <c r="BK117" t="s">
        <v>102</v>
      </c>
      <c r="BL117" t="s">
        <v>756</v>
      </c>
      <c r="BM117" t="s">
        <v>2642</v>
      </c>
      <c r="BN117">
        <v>40317991</v>
      </c>
      <c r="BO117" t="s">
        <v>2296</v>
      </c>
      <c r="BP117" t="s">
        <v>74</v>
      </c>
      <c r="BQ117" t="s">
        <v>74</v>
      </c>
      <c r="BR117" t="s">
        <v>106</v>
      </c>
      <c r="BS117" t="s">
        <v>2643</v>
      </c>
      <c r="BT117" t="str">
        <f>HYPERLINK("https%3A%2F%2Fwww.webofscience.com%2Fwos%2Fwoscc%2Ffull-record%2FWOS:001480440000001","View Full Record in Web of Science")</f>
        <v>View Full Record in Web of Science</v>
      </c>
    </row>
    <row r="118" spans="1:72" x14ac:dyDescent="0.2">
      <c r="A118" t="s">
        <v>72</v>
      </c>
      <c r="B118" t="s">
        <v>2644</v>
      </c>
      <c r="C118" t="s">
        <v>74</v>
      </c>
      <c r="D118" t="s">
        <v>74</v>
      </c>
      <c r="E118" t="s">
        <v>74</v>
      </c>
      <c r="F118" t="s">
        <v>2645</v>
      </c>
      <c r="G118" t="s">
        <v>74</v>
      </c>
      <c r="H118" t="s">
        <v>74</v>
      </c>
      <c r="I118" t="s">
        <v>2646</v>
      </c>
      <c r="J118" t="s">
        <v>2647</v>
      </c>
      <c r="K118" t="s">
        <v>74</v>
      </c>
      <c r="L118" t="s">
        <v>74</v>
      </c>
      <c r="M118" t="s">
        <v>78</v>
      </c>
      <c r="N118" t="s">
        <v>79</v>
      </c>
      <c r="O118" t="s">
        <v>74</v>
      </c>
      <c r="P118" t="s">
        <v>74</v>
      </c>
      <c r="Q118" t="s">
        <v>74</v>
      </c>
      <c r="R118" t="s">
        <v>74</v>
      </c>
      <c r="S118" t="s">
        <v>74</v>
      </c>
      <c r="T118" t="s">
        <v>2648</v>
      </c>
      <c r="U118" t="s">
        <v>2649</v>
      </c>
      <c r="V118" t="s">
        <v>2650</v>
      </c>
      <c r="W118" t="s">
        <v>2651</v>
      </c>
      <c r="X118" t="s">
        <v>2652</v>
      </c>
      <c r="Y118" t="s">
        <v>2653</v>
      </c>
      <c r="Z118" t="s">
        <v>2654</v>
      </c>
      <c r="AA118" t="s">
        <v>2655</v>
      </c>
      <c r="AB118" t="s">
        <v>2656</v>
      </c>
      <c r="AC118" t="s">
        <v>2657</v>
      </c>
      <c r="AD118" t="s">
        <v>2658</v>
      </c>
      <c r="AE118" t="s">
        <v>2659</v>
      </c>
      <c r="AF118" t="s">
        <v>74</v>
      </c>
      <c r="AG118">
        <v>106</v>
      </c>
      <c r="AH118">
        <v>2</v>
      </c>
      <c r="AI118">
        <v>2</v>
      </c>
      <c r="AJ118">
        <v>8</v>
      </c>
      <c r="AK118">
        <v>32</v>
      </c>
      <c r="AL118" t="s">
        <v>123</v>
      </c>
      <c r="AM118" t="s">
        <v>124</v>
      </c>
      <c r="AN118" t="s">
        <v>125</v>
      </c>
      <c r="AO118" t="s">
        <v>2660</v>
      </c>
      <c r="AP118" t="s">
        <v>2661</v>
      </c>
      <c r="AQ118" t="s">
        <v>74</v>
      </c>
      <c r="AR118" t="s">
        <v>2662</v>
      </c>
      <c r="AS118" t="s">
        <v>2663</v>
      </c>
      <c r="AT118" t="s">
        <v>337</v>
      </c>
      <c r="AU118">
        <v>2024</v>
      </c>
      <c r="AV118">
        <v>299</v>
      </c>
      <c r="AW118" t="s">
        <v>74</v>
      </c>
      <c r="AX118" t="s">
        <v>74</v>
      </c>
      <c r="AY118" t="s">
        <v>74</v>
      </c>
      <c r="AZ118" t="s">
        <v>74</v>
      </c>
      <c r="BA118" t="s">
        <v>74</v>
      </c>
      <c r="BB118" t="s">
        <v>74</v>
      </c>
      <c r="BC118" t="s">
        <v>74</v>
      </c>
      <c r="BD118">
        <v>108874</v>
      </c>
      <c r="BE118" t="s">
        <v>2664</v>
      </c>
      <c r="BF118" t="str">
        <f>HYPERLINK("http://dx.doi.org/10.1016/j.agwat.2024.108874","http://dx.doi.org/10.1016/j.agwat.2024.108874")</f>
        <v>http://dx.doi.org/10.1016/j.agwat.2024.108874</v>
      </c>
      <c r="BG118" t="s">
        <v>74</v>
      </c>
      <c r="BH118" t="s">
        <v>566</v>
      </c>
      <c r="BI118">
        <v>11</v>
      </c>
      <c r="BJ118" t="s">
        <v>2665</v>
      </c>
      <c r="BK118" t="s">
        <v>102</v>
      </c>
      <c r="BL118" t="s">
        <v>2666</v>
      </c>
      <c r="BM118" t="s">
        <v>2667</v>
      </c>
      <c r="BN118" t="s">
        <v>74</v>
      </c>
      <c r="BO118" t="s">
        <v>231</v>
      </c>
      <c r="BP118" t="s">
        <v>74</v>
      </c>
      <c r="BQ118" t="s">
        <v>74</v>
      </c>
      <c r="BR118" t="s">
        <v>106</v>
      </c>
      <c r="BS118" t="s">
        <v>2668</v>
      </c>
      <c r="BT118" t="str">
        <f>HYPERLINK("https%3A%2F%2Fwww.webofscience.com%2Fwos%2Fwoscc%2Ffull-record%2FWOS:001290810600001","View Full Record in Web of Science")</f>
        <v>View Full Record in Web of Science</v>
      </c>
    </row>
    <row r="119" spans="1:72" x14ac:dyDescent="0.2">
      <c r="A119" t="s">
        <v>72</v>
      </c>
      <c r="B119" t="s">
        <v>2669</v>
      </c>
      <c r="C119" t="s">
        <v>74</v>
      </c>
      <c r="D119" t="s">
        <v>74</v>
      </c>
      <c r="E119" t="s">
        <v>74</v>
      </c>
      <c r="F119" t="s">
        <v>2670</v>
      </c>
      <c r="G119" t="s">
        <v>74</v>
      </c>
      <c r="H119" t="s">
        <v>74</v>
      </c>
      <c r="I119" t="s">
        <v>2671</v>
      </c>
      <c r="J119" t="s">
        <v>546</v>
      </c>
      <c r="K119" t="s">
        <v>74</v>
      </c>
      <c r="L119" t="s">
        <v>74</v>
      </c>
      <c r="M119" t="s">
        <v>78</v>
      </c>
      <c r="N119" t="s">
        <v>79</v>
      </c>
      <c r="O119" t="s">
        <v>74</v>
      </c>
      <c r="P119" t="s">
        <v>74</v>
      </c>
      <c r="Q119" t="s">
        <v>74</v>
      </c>
      <c r="R119" t="s">
        <v>74</v>
      </c>
      <c r="S119" t="s">
        <v>74</v>
      </c>
      <c r="T119" t="s">
        <v>2672</v>
      </c>
      <c r="U119" t="s">
        <v>2673</v>
      </c>
      <c r="V119" t="s">
        <v>2674</v>
      </c>
      <c r="W119" t="s">
        <v>2675</v>
      </c>
      <c r="X119" t="s">
        <v>2676</v>
      </c>
      <c r="Y119" t="s">
        <v>2677</v>
      </c>
      <c r="Z119" t="s">
        <v>2678</v>
      </c>
      <c r="AA119" t="s">
        <v>2679</v>
      </c>
      <c r="AB119" t="s">
        <v>2680</v>
      </c>
      <c r="AC119" t="s">
        <v>2681</v>
      </c>
      <c r="AD119" t="s">
        <v>2682</v>
      </c>
      <c r="AE119" t="s">
        <v>2683</v>
      </c>
      <c r="AF119" t="s">
        <v>74</v>
      </c>
      <c r="AG119">
        <v>108</v>
      </c>
      <c r="AH119">
        <v>13</v>
      </c>
      <c r="AI119">
        <v>15</v>
      </c>
      <c r="AJ119">
        <v>5</v>
      </c>
      <c r="AK119">
        <v>82</v>
      </c>
      <c r="AL119" t="s">
        <v>559</v>
      </c>
      <c r="AM119" t="s">
        <v>93</v>
      </c>
      <c r="AN119" t="s">
        <v>560</v>
      </c>
      <c r="AO119" t="s">
        <v>561</v>
      </c>
      <c r="AP119" t="s">
        <v>562</v>
      </c>
      <c r="AQ119" t="s">
        <v>74</v>
      </c>
      <c r="AR119" t="s">
        <v>563</v>
      </c>
      <c r="AS119" t="s">
        <v>564</v>
      </c>
      <c r="AT119" t="s">
        <v>2684</v>
      </c>
      <c r="AU119">
        <v>2020</v>
      </c>
      <c r="AV119">
        <v>256</v>
      </c>
      <c r="AW119" t="s">
        <v>74</v>
      </c>
      <c r="AX119" t="s">
        <v>74</v>
      </c>
      <c r="AY119" t="s">
        <v>74</v>
      </c>
      <c r="AZ119" t="s">
        <v>74</v>
      </c>
      <c r="BA119" t="s">
        <v>74</v>
      </c>
      <c r="BB119" t="s">
        <v>74</v>
      </c>
      <c r="BC119" t="s">
        <v>74</v>
      </c>
      <c r="BD119">
        <v>109971</v>
      </c>
      <c r="BE119" t="s">
        <v>2685</v>
      </c>
      <c r="BF119" t="str">
        <f>HYPERLINK("http://dx.doi.org/10.1016/j.jenvman.2019.109971","http://dx.doi.org/10.1016/j.jenvman.2019.109971")</f>
        <v>http://dx.doi.org/10.1016/j.jenvman.2019.109971</v>
      </c>
      <c r="BG119" t="s">
        <v>74</v>
      </c>
      <c r="BH119" t="s">
        <v>74</v>
      </c>
      <c r="BI119">
        <v>12</v>
      </c>
      <c r="BJ119" t="s">
        <v>567</v>
      </c>
      <c r="BK119" t="s">
        <v>102</v>
      </c>
      <c r="BL119" t="s">
        <v>568</v>
      </c>
      <c r="BM119" t="s">
        <v>2686</v>
      </c>
      <c r="BN119">
        <v>31989987</v>
      </c>
      <c r="BO119" t="s">
        <v>74</v>
      </c>
      <c r="BP119" t="s">
        <v>74</v>
      </c>
      <c r="BQ119" t="s">
        <v>74</v>
      </c>
      <c r="BR119" t="s">
        <v>106</v>
      </c>
      <c r="BS119" t="s">
        <v>2687</v>
      </c>
      <c r="BT119" t="str">
        <f>HYPERLINK("https%3A%2F%2Fwww.webofscience.com%2Fwos%2Fwoscc%2Ffull-record%2FWOS:000515200400034","View Full Record in Web of Science")</f>
        <v>View Full Record in Web of Science</v>
      </c>
    </row>
    <row r="120" spans="1:72" x14ac:dyDescent="0.2">
      <c r="A120" t="s">
        <v>72</v>
      </c>
      <c r="B120" t="s">
        <v>2688</v>
      </c>
      <c r="C120" t="s">
        <v>74</v>
      </c>
      <c r="D120" t="s">
        <v>74</v>
      </c>
      <c r="E120" t="s">
        <v>74</v>
      </c>
      <c r="F120" t="s">
        <v>2689</v>
      </c>
      <c r="G120" t="s">
        <v>74</v>
      </c>
      <c r="H120" t="s">
        <v>74</v>
      </c>
      <c r="I120" t="s">
        <v>2690</v>
      </c>
      <c r="J120" t="s">
        <v>897</v>
      </c>
      <c r="K120" t="s">
        <v>74</v>
      </c>
      <c r="L120" t="s">
        <v>74</v>
      </c>
      <c r="M120" t="s">
        <v>78</v>
      </c>
      <c r="N120" t="s">
        <v>79</v>
      </c>
      <c r="O120" t="s">
        <v>74</v>
      </c>
      <c r="P120" t="s">
        <v>74</v>
      </c>
      <c r="Q120" t="s">
        <v>74</v>
      </c>
      <c r="R120" t="s">
        <v>74</v>
      </c>
      <c r="S120" t="s">
        <v>74</v>
      </c>
      <c r="T120" t="s">
        <v>74</v>
      </c>
      <c r="U120" t="s">
        <v>2691</v>
      </c>
      <c r="V120" t="s">
        <v>2692</v>
      </c>
      <c r="W120" t="s">
        <v>2693</v>
      </c>
      <c r="X120" t="s">
        <v>2694</v>
      </c>
      <c r="Y120" t="s">
        <v>2695</v>
      </c>
      <c r="Z120" t="s">
        <v>2696</v>
      </c>
      <c r="AA120" t="s">
        <v>2697</v>
      </c>
      <c r="AB120" t="s">
        <v>2698</v>
      </c>
      <c r="AC120" t="s">
        <v>2699</v>
      </c>
      <c r="AD120" t="s">
        <v>2700</v>
      </c>
      <c r="AE120" t="s">
        <v>2701</v>
      </c>
      <c r="AF120" t="s">
        <v>74</v>
      </c>
      <c r="AG120">
        <v>42</v>
      </c>
      <c r="AH120">
        <v>6</v>
      </c>
      <c r="AI120">
        <v>8</v>
      </c>
      <c r="AJ120">
        <v>0</v>
      </c>
      <c r="AK120">
        <v>44</v>
      </c>
      <c r="AL120" t="s">
        <v>504</v>
      </c>
      <c r="AM120" t="s">
        <v>505</v>
      </c>
      <c r="AN120" t="s">
        <v>506</v>
      </c>
      <c r="AO120" t="s">
        <v>909</v>
      </c>
      <c r="AP120" t="s">
        <v>910</v>
      </c>
      <c r="AQ120" t="s">
        <v>74</v>
      </c>
      <c r="AR120" t="s">
        <v>897</v>
      </c>
      <c r="AS120" t="s">
        <v>911</v>
      </c>
      <c r="AT120" t="s">
        <v>1752</v>
      </c>
      <c r="AU120">
        <v>2015</v>
      </c>
      <c r="AV120">
        <v>131</v>
      </c>
      <c r="AW120">
        <v>4</v>
      </c>
      <c r="AX120" t="s">
        <v>74</v>
      </c>
      <c r="AY120" t="s">
        <v>74</v>
      </c>
      <c r="AZ120" t="s">
        <v>74</v>
      </c>
      <c r="BA120" t="s">
        <v>74</v>
      </c>
      <c r="BB120">
        <v>559</v>
      </c>
      <c r="BC120">
        <v>573</v>
      </c>
      <c r="BD120" t="s">
        <v>74</v>
      </c>
      <c r="BE120" t="s">
        <v>2702</v>
      </c>
      <c r="BF120" t="str">
        <f>HYPERLINK("http://dx.doi.org/10.1007/s10584-015-1388-0","http://dx.doi.org/10.1007/s10584-015-1388-0")</f>
        <v>http://dx.doi.org/10.1007/s10584-015-1388-0</v>
      </c>
      <c r="BG120" t="s">
        <v>74</v>
      </c>
      <c r="BH120" t="s">
        <v>74</v>
      </c>
      <c r="BI120">
        <v>15</v>
      </c>
      <c r="BJ120" t="s">
        <v>782</v>
      </c>
      <c r="BK120" t="s">
        <v>102</v>
      </c>
      <c r="BL120" t="s">
        <v>783</v>
      </c>
      <c r="BM120" t="s">
        <v>2703</v>
      </c>
      <c r="BN120" t="s">
        <v>74</v>
      </c>
      <c r="BO120" t="s">
        <v>74</v>
      </c>
      <c r="BP120" t="s">
        <v>74</v>
      </c>
      <c r="BQ120" t="s">
        <v>74</v>
      </c>
      <c r="BR120" t="s">
        <v>106</v>
      </c>
      <c r="BS120" t="s">
        <v>2704</v>
      </c>
      <c r="BT120" t="str">
        <f>HYPERLINK("https%3A%2F%2Fwww.webofscience.com%2Fwos%2Fwoscc%2Ffull-record%2FWOS:000358179400008","View Full Record in Web of Science")</f>
        <v>View Full Record in Web of Science</v>
      </c>
    </row>
    <row r="121" spans="1:72" x14ac:dyDescent="0.2">
      <c r="A121" t="s">
        <v>72</v>
      </c>
      <c r="B121" t="s">
        <v>2705</v>
      </c>
      <c r="C121" t="s">
        <v>74</v>
      </c>
      <c r="D121" t="s">
        <v>74</v>
      </c>
      <c r="E121" t="s">
        <v>74</v>
      </c>
      <c r="F121" t="s">
        <v>2706</v>
      </c>
      <c r="G121" t="s">
        <v>74</v>
      </c>
      <c r="H121" t="s">
        <v>74</v>
      </c>
      <c r="I121" t="s">
        <v>2707</v>
      </c>
      <c r="J121" t="s">
        <v>468</v>
      </c>
      <c r="K121" t="s">
        <v>74</v>
      </c>
      <c r="L121" t="s">
        <v>74</v>
      </c>
      <c r="M121" t="s">
        <v>78</v>
      </c>
      <c r="N121" t="s">
        <v>79</v>
      </c>
      <c r="O121" t="s">
        <v>74</v>
      </c>
      <c r="P121" t="s">
        <v>74</v>
      </c>
      <c r="Q121" t="s">
        <v>74</v>
      </c>
      <c r="R121" t="s">
        <v>74</v>
      </c>
      <c r="S121" t="s">
        <v>74</v>
      </c>
      <c r="T121" t="s">
        <v>2708</v>
      </c>
      <c r="U121" t="s">
        <v>2709</v>
      </c>
      <c r="V121" t="s">
        <v>2710</v>
      </c>
      <c r="W121" t="s">
        <v>2711</v>
      </c>
      <c r="X121" t="s">
        <v>2712</v>
      </c>
      <c r="Y121" t="s">
        <v>2713</v>
      </c>
      <c r="Z121" t="s">
        <v>2714</v>
      </c>
      <c r="AA121" t="s">
        <v>2715</v>
      </c>
      <c r="AB121" t="s">
        <v>2716</v>
      </c>
      <c r="AC121" t="s">
        <v>2717</v>
      </c>
      <c r="AD121" t="s">
        <v>2718</v>
      </c>
      <c r="AE121" t="s">
        <v>2719</v>
      </c>
      <c r="AF121" t="s">
        <v>74</v>
      </c>
      <c r="AG121">
        <v>71</v>
      </c>
      <c r="AH121">
        <v>34</v>
      </c>
      <c r="AI121">
        <v>36</v>
      </c>
      <c r="AJ121">
        <v>1</v>
      </c>
      <c r="AK121">
        <v>98</v>
      </c>
      <c r="AL121" t="s">
        <v>222</v>
      </c>
      <c r="AM121" t="s">
        <v>223</v>
      </c>
      <c r="AN121" t="s">
        <v>224</v>
      </c>
      <c r="AO121" t="s">
        <v>74</v>
      </c>
      <c r="AP121" t="s">
        <v>479</v>
      </c>
      <c r="AQ121" t="s">
        <v>74</v>
      </c>
      <c r="AR121" t="s">
        <v>480</v>
      </c>
      <c r="AS121" t="s">
        <v>481</v>
      </c>
      <c r="AT121" t="s">
        <v>1109</v>
      </c>
      <c r="AU121">
        <v>2017</v>
      </c>
      <c r="AV121">
        <v>9</v>
      </c>
      <c r="AW121">
        <v>12</v>
      </c>
      <c r="AX121" t="s">
        <v>74</v>
      </c>
      <c r="AY121" t="s">
        <v>74</v>
      </c>
      <c r="AZ121" t="s">
        <v>74</v>
      </c>
      <c r="BA121" t="s">
        <v>74</v>
      </c>
      <c r="BB121" t="s">
        <v>74</v>
      </c>
      <c r="BC121" t="s">
        <v>74</v>
      </c>
      <c r="BD121">
        <v>2342</v>
      </c>
      <c r="BE121" t="s">
        <v>2720</v>
      </c>
      <c r="BF121" t="str">
        <f>HYPERLINK("http://dx.doi.org/10.3390/su9122342","http://dx.doi.org/10.3390/su9122342")</f>
        <v>http://dx.doi.org/10.3390/su9122342</v>
      </c>
      <c r="BG121" t="s">
        <v>74</v>
      </c>
      <c r="BH121" t="s">
        <v>74</v>
      </c>
      <c r="BI121">
        <v>15</v>
      </c>
      <c r="BJ121" t="s">
        <v>484</v>
      </c>
      <c r="BK121" t="s">
        <v>186</v>
      </c>
      <c r="BL121" t="s">
        <v>485</v>
      </c>
      <c r="BM121" t="s">
        <v>2721</v>
      </c>
      <c r="BN121" t="s">
        <v>74</v>
      </c>
      <c r="BO121" t="s">
        <v>161</v>
      </c>
      <c r="BP121" t="s">
        <v>74</v>
      </c>
      <c r="BQ121" t="s">
        <v>74</v>
      </c>
      <c r="BR121" t="s">
        <v>106</v>
      </c>
      <c r="BS121" t="s">
        <v>2722</v>
      </c>
      <c r="BT121" t="str">
        <f>HYPERLINK("https%3A%2F%2Fwww.webofscience.com%2Fwos%2Fwoscc%2Ffull-record%2FWOS:000419231500188","View Full Record in Web of Science")</f>
        <v>View Full Record in Web of Science</v>
      </c>
    </row>
    <row r="122" spans="1:72" x14ac:dyDescent="0.2">
      <c r="A122" t="s">
        <v>72</v>
      </c>
      <c r="B122" t="s">
        <v>2723</v>
      </c>
      <c r="C122" t="s">
        <v>74</v>
      </c>
      <c r="D122" t="s">
        <v>74</v>
      </c>
      <c r="E122" t="s">
        <v>74</v>
      </c>
      <c r="F122" t="s">
        <v>2724</v>
      </c>
      <c r="G122" t="s">
        <v>74</v>
      </c>
      <c r="H122" t="s">
        <v>74</v>
      </c>
      <c r="I122" t="s">
        <v>2725</v>
      </c>
      <c r="J122" t="s">
        <v>2726</v>
      </c>
      <c r="K122" t="s">
        <v>74</v>
      </c>
      <c r="L122" t="s">
        <v>74</v>
      </c>
      <c r="M122" t="s">
        <v>78</v>
      </c>
      <c r="N122" t="s">
        <v>79</v>
      </c>
      <c r="O122" t="s">
        <v>74</v>
      </c>
      <c r="P122" t="s">
        <v>74</v>
      </c>
      <c r="Q122" t="s">
        <v>74</v>
      </c>
      <c r="R122" t="s">
        <v>74</v>
      </c>
      <c r="S122" t="s">
        <v>74</v>
      </c>
      <c r="T122" t="s">
        <v>2727</v>
      </c>
      <c r="U122" t="s">
        <v>2728</v>
      </c>
      <c r="V122" t="s">
        <v>2729</v>
      </c>
      <c r="W122" t="s">
        <v>2730</v>
      </c>
      <c r="X122" t="s">
        <v>2731</v>
      </c>
      <c r="Y122" t="s">
        <v>2732</v>
      </c>
      <c r="Z122" t="s">
        <v>2733</v>
      </c>
      <c r="AA122" t="s">
        <v>2734</v>
      </c>
      <c r="AB122" t="s">
        <v>2735</v>
      </c>
      <c r="AC122" t="s">
        <v>2736</v>
      </c>
      <c r="AD122" t="s">
        <v>2737</v>
      </c>
      <c r="AE122" t="s">
        <v>2738</v>
      </c>
      <c r="AF122" t="s">
        <v>74</v>
      </c>
      <c r="AG122">
        <v>53</v>
      </c>
      <c r="AH122">
        <v>9</v>
      </c>
      <c r="AI122">
        <v>11</v>
      </c>
      <c r="AJ122">
        <v>1</v>
      </c>
      <c r="AK122">
        <v>34</v>
      </c>
      <c r="AL122" t="s">
        <v>222</v>
      </c>
      <c r="AM122" t="s">
        <v>223</v>
      </c>
      <c r="AN122" t="s">
        <v>478</v>
      </c>
      <c r="AO122" t="s">
        <v>74</v>
      </c>
      <c r="AP122" t="s">
        <v>2739</v>
      </c>
      <c r="AQ122" t="s">
        <v>74</v>
      </c>
      <c r="AR122" t="s">
        <v>2726</v>
      </c>
      <c r="AS122" t="s">
        <v>2740</v>
      </c>
      <c r="AT122" t="s">
        <v>805</v>
      </c>
      <c r="AU122">
        <v>2020</v>
      </c>
      <c r="AV122">
        <v>8</v>
      </c>
      <c r="AW122">
        <v>11</v>
      </c>
      <c r="AX122" t="s">
        <v>74</v>
      </c>
      <c r="AY122" t="s">
        <v>74</v>
      </c>
      <c r="AZ122" t="s">
        <v>74</v>
      </c>
      <c r="BA122" t="s">
        <v>74</v>
      </c>
      <c r="BB122" t="s">
        <v>74</v>
      </c>
      <c r="BC122" t="s">
        <v>74</v>
      </c>
      <c r="BD122">
        <v>1505</v>
      </c>
      <c r="BE122" t="s">
        <v>2741</v>
      </c>
      <c r="BF122" t="str">
        <f>HYPERLINK("http://dx.doi.org/10.3390/pr8111505","http://dx.doi.org/10.3390/pr8111505")</f>
        <v>http://dx.doi.org/10.3390/pr8111505</v>
      </c>
      <c r="BG122" t="s">
        <v>74</v>
      </c>
      <c r="BH122" t="s">
        <v>74</v>
      </c>
      <c r="BI122">
        <v>26</v>
      </c>
      <c r="BJ122" t="s">
        <v>2742</v>
      </c>
      <c r="BK122" t="s">
        <v>102</v>
      </c>
      <c r="BL122" t="s">
        <v>2743</v>
      </c>
      <c r="BM122" t="s">
        <v>2744</v>
      </c>
      <c r="BN122" t="s">
        <v>74</v>
      </c>
      <c r="BO122" t="s">
        <v>161</v>
      </c>
      <c r="BP122" t="s">
        <v>74</v>
      </c>
      <c r="BQ122" t="s">
        <v>74</v>
      </c>
      <c r="BR122" t="s">
        <v>106</v>
      </c>
      <c r="BS122" t="s">
        <v>2745</v>
      </c>
      <c r="BT122" t="str">
        <f>HYPERLINK("https%3A%2F%2Fwww.webofscience.com%2Fwos%2Fwoscc%2Ffull-record%2FWOS:000593813500001","View Full Record in Web of Science")</f>
        <v>View Full Record in Web of Science</v>
      </c>
    </row>
    <row r="123" spans="1:72" x14ac:dyDescent="0.2">
      <c r="A123" t="s">
        <v>72</v>
      </c>
      <c r="B123" t="s">
        <v>2746</v>
      </c>
      <c r="C123" t="s">
        <v>74</v>
      </c>
      <c r="D123" t="s">
        <v>74</v>
      </c>
      <c r="E123" t="s">
        <v>74</v>
      </c>
      <c r="F123" t="s">
        <v>2747</v>
      </c>
      <c r="G123" t="s">
        <v>74</v>
      </c>
      <c r="H123" t="s">
        <v>74</v>
      </c>
      <c r="I123" t="s">
        <v>2748</v>
      </c>
      <c r="J123" t="s">
        <v>2749</v>
      </c>
      <c r="K123" t="s">
        <v>74</v>
      </c>
      <c r="L123" t="s">
        <v>74</v>
      </c>
      <c r="M123" t="s">
        <v>78</v>
      </c>
      <c r="N123" t="s">
        <v>79</v>
      </c>
      <c r="O123" t="s">
        <v>74</v>
      </c>
      <c r="P123" t="s">
        <v>74</v>
      </c>
      <c r="Q123" t="s">
        <v>74</v>
      </c>
      <c r="R123" t="s">
        <v>74</v>
      </c>
      <c r="S123" t="s">
        <v>74</v>
      </c>
      <c r="T123" t="s">
        <v>2750</v>
      </c>
      <c r="U123" t="s">
        <v>2751</v>
      </c>
      <c r="V123" t="s">
        <v>2752</v>
      </c>
      <c r="W123" t="s">
        <v>2753</v>
      </c>
      <c r="X123" t="s">
        <v>2754</v>
      </c>
      <c r="Y123" t="s">
        <v>2755</v>
      </c>
      <c r="Z123" t="s">
        <v>2756</v>
      </c>
      <c r="AA123" t="s">
        <v>2757</v>
      </c>
      <c r="AB123" t="s">
        <v>2758</v>
      </c>
      <c r="AC123" t="s">
        <v>2759</v>
      </c>
      <c r="AD123" t="s">
        <v>2760</v>
      </c>
      <c r="AE123" t="s">
        <v>2761</v>
      </c>
      <c r="AF123" t="s">
        <v>74</v>
      </c>
      <c r="AG123">
        <v>49</v>
      </c>
      <c r="AH123">
        <v>22</v>
      </c>
      <c r="AI123">
        <v>26</v>
      </c>
      <c r="AJ123">
        <v>1</v>
      </c>
      <c r="AK123">
        <v>18</v>
      </c>
      <c r="AL123" t="s">
        <v>2762</v>
      </c>
      <c r="AM123" t="s">
        <v>2763</v>
      </c>
      <c r="AN123" t="s">
        <v>2764</v>
      </c>
      <c r="AO123" t="s">
        <v>2765</v>
      </c>
      <c r="AP123" t="s">
        <v>2766</v>
      </c>
      <c r="AQ123" t="s">
        <v>74</v>
      </c>
      <c r="AR123" t="s">
        <v>2767</v>
      </c>
      <c r="AS123" t="s">
        <v>2768</v>
      </c>
      <c r="AT123" t="s">
        <v>1109</v>
      </c>
      <c r="AU123">
        <v>2020</v>
      </c>
      <c r="AV123">
        <v>40</v>
      </c>
      <c r="AW123">
        <v>6</v>
      </c>
      <c r="AX123" t="s">
        <v>74</v>
      </c>
      <c r="AY123" t="s">
        <v>74</v>
      </c>
      <c r="AZ123" t="s">
        <v>74</v>
      </c>
      <c r="BA123" t="s">
        <v>74</v>
      </c>
      <c r="BB123" t="s">
        <v>74</v>
      </c>
      <c r="BC123" t="s">
        <v>74</v>
      </c>
      <c r="BD123">
        <v>47</v>
      </c>
      <c r="BE123" t="s">
        <v>2769</v>
      </c>
      <c r="BF123" t="str">
        <f>HYPERLINK("http://dx.doi.org/10.1007/s13593-020-00651-2","http://dx.doi.org/10.1007/s13593-020-00651-2")</f>
        <v>http://dx.doi.org/10.1007/s13593-020-00651-2</v>
      </c>
      <c r="BG123" t="s">
        <v>74</v>
      </c>
      <c r="BH123" t="s">
        <v>74</v>
      </c>
      <c r="BI123">
        <v>19</v>
      </c>
      <c r="BJ123" t="s">
        <v>2770</v>
      </c>
      <c r="BK123" t="s">
        <v>186</v>
      </c>
      <c r="BL123" t="s">
        <v>1847</v>
      </c>
      <c r="BM123" t="s">
        <v>2771</v>
      </c>
      <c r="BN123" t="s">
        <v>74</v>
      </c>
      <c r="BO123" t="s">
        <v>2296</v>
      </c>
      <c r="BP123" t="s">
        <v>74</v>
      </c>
      <c r="BQ123" t="s">
        <v>74</v>
      </c>
      <c r="BR123" t="s">
        <v>106</v>
      </c>
      <c r="BS123" t="s">
        <v>2772</v>
      </c>
      <c r="BT123" t="str">
        <f>HYPERLINK("https%3A%2F%2Fwww.webofscience.com%2Fwos%2Fwoscc%2Ffull-record%2FWOS:000591948100001","View Full Record in Web of Science")</f>
        <v>View Full Record in Web of Science</v>
      </c>
    </row>
    <row r="124" spans="1:72" x14ac:dyDescent="0.2">
      <c r="A124" t="s">
        <v>72</v>
      </c>
      <c r="B124" t="s">
        <v>2773</v>
      </c>
      <c r="C124" t="s">
        <v>74</v>
      </c>
      <c r="D124" t="s">
        <v>74</v>
      </c>
      <c r="E124" t="s">
        <v>74</v>
      </c>
      <c r="F124" t="s">
        <v>2774</v>
      </c>
      <c r="G124" t="s">
        <v>74</v>
      </c>
      <c r="H124" t="s">
        <v>74</v>
      </c>
      <c r="I124" t="s">
        <v>2775</v>
      </c>
      <c r="J124" t="s">
        <v>2387</v>
      </c>
      <c r="K124" t="s">
        <v>74</v>
      </c>
      <c r="L124" t="s">
        <v>74</v>
      </c>
      <c r="M124" t="s">
        <v>78</v>
      </c>
      <c r="N124" t="s">
        <v>79</v>
      </c>
      <c r="O124" t="s">
        <v>74</v>
      </c>
      <c r="P124" t="s">
        <v>74</v>
      </c>
      <c r="Q124" t="s">
        <v>74</v>
      </c>
      <c r="R124" t="s">
        <v>74</v>
      </c>
      <c r="S124" t="s">
        <v>74</v>
      </c>
      <c r="T124" t="s">
        <v>2776</v>
      </c>
      <c r="U124" t="s">
        <v>2777</v>
      </c>
      <c r="V124" t="s">
        <v>2778</v>
      </c>
      <c r="W124" t="s">
        <v>2779</v>
      </c>
      <c r="X124" t="s">
        <v>2780</v>
      </c>
      <c r="Y124" t="s">
        <v>2781</v>
      </c>
      <c r="Z124" t="s">
        <v>2782</v>
      </c>
      <c r="AA124" t="s">
        <v>2783</v>
      </c>
      <c r="AB124" t="s">
        <v>2784</v>
      </c>
      <c r="AC124" t="s">
        <v>2785</v>
      </c>
      <c r="AD124" t="s">
        <v>2786</v>
      </c>
      <c r="AE124" t="s">
        <v>2787</v>
      </c>
      <c r="AF124" t="s">
        <v>74</v>
      </c>
      <c r="AG124">
        <v>63</v>
      </c>
      <c r="AH124">
        <v>15</v>
      </c>
      <c r="AI124">
        <v>19</v>
      </c>
      <c r="AJ124">
        <v>50</v>
      </c>
      <c r="AK124">
        <v>137</v>
      </c>
      <c r="AL124" t="s">
        <v>176</v>
      </c>
      <c r="AM124" t="s">
        <v>1610</v>
      </c>
      <c r="AN124" t="s">
        <v>1611</v>
      </c>
      <c r="AO124" t="s">
        <v>2400</v>
      </c>
      <c r="AP124" t="s">
        <v>2401</v>
      </c>
      <c r="AQ124" t="s">
        <v>74</v>
      </c>
      <c r="AR124" t="s">
        <v>2387</v>
      </c>
      <c r="AS124" t="s">
        <v>2402</v>
      </c>
      <c r="AT124" t="s">
        <v>912</v>
      </c>
      <c r="AU124">
        <v>2024</v>
      </c>
      <c r="AV124">
        <v>125</v>
      </c>
      <c r="AW124" t="s">
        <v>74</v>
      </c>
      <c r="AX124" t="s">
        <v>74</v>
      </c>
      <c r="AY124" t="s">
        <v>74</v>
      </c>
      <c r="AZ124" t="s">
        <v>74</v>
      </c>
      <c r="BA124" t="s">
        <v>74</v>
      </c>
      <c r="BB124" t="s">
        <v>74</v>
      </c>
      <c r="BC124" t="s">
        <v>74</v>
      </c>
      <c r="BD124">
        <v>102648</v>
      </c>
      <c r="BE124" t="s">
        <v>2788</v>
      </c>
      <c r="BF124" t="str">
        <f>HYPERLINK("http://dx.doi.org/10.1016/j.foodpol.2024.102648","http://dx.doi.org/10.1016/j.foodpol.2024.102648")</f>
        <v>http://dx.doi.org/10.1016/j.foodpol.2024.102648</v>
      </c>
      <c r="BG124" t="s">
        <v>74</v>
      </c>
      <c r="BH124" t="s">
        <v>566</v>
      </c>
      <c r="BI124">
        <v>16</v>
      </c>
      <c r="BJ124" t="s">
        <v>2405</v>
      </c>
      <c r="BK124" t="s">
        <v>186</v>
      </c>
      <c r="BL124" t="s">
        <v>2406</v>
      </c>
      <c r="BM124" t="s">
        <v>2789</v>
      </c>
      <c r="BN124" t="s">
        <v>74</v>
      </c>
      <c r="BO124" t="s">
        <v>916</v>
      </c>
      <c r="BP124" t="s">
        <v>74</v>
      </c>
      <c r="BQ124" t="s">
        <v>74</v>
      </c>
      <c r="BR124" t="s">
        <v>106</v>
      </c>
      <c r="BS124" t="s">
        <v>2790</v>
      </c>
      <c r="BT124" t="str">
        <f>HYPERLINK("https%3A%2F%2Fwww.webofscience.com%2Fwos%2Fwoscc%2Ffull-record%2FWOS:001239362900001","View Full Record in Web of Science")</f>
        <v>View Full Record in Web of Science</v>
      </c>
    </row>
    <row r="125" spans="1:72" x14ac:dyDescent="0.2">
      <c r="A125" t="s">
        <v>72</v>
      </c>
      <c r="B125" t="s">
        <v>2791</v>
      </c>
      <c r="C125" t="s">
        <v>74</v>
      </c>
      <c r="D125" t="s">
        <v>74</v>
      </c>
      <c r="E125" t="s">
        <v>74</v>
      </c>
      <c r="F125" t="s">
        <v>2792</v>
      </c>
      <c r="G125" t="s">
        <v>74</v>
      </c>
      <c r="H125" t="s">
        <v>74</v>
      </c>
      <c r="I125" t="s">
        <v>2793</v>
      </c>
      <c r="J125" t="s">
        <v>347</v>
      </c>
      <c r="K125" t="s">
        <v>74</v>
      </c>
      <c r="L125" t="s">
        <v>74</v>
      </c>
      <c r="M125" t="s">
        <v>78</v>
      </c>
      <c r="N125" t="s">
        <v>79</v>
      </c>
      <c r="O125" t="s">
        <v>74</v>
      </c>
      <c r="P125" t="s">
        <v>74</v>
      </c>
      <c r="Q125" t="s">
        <v>74</v>
      </c>
      <c r="R125" t="s">
        <v>74</v>
      </c>
      <c r="S125" t="s">
        <v>74</v>
      </c>
      <c r="T125" t="s">
        <v>2794</v>
      </c>
      <c r="U125" t="s">
        <v>2795</v>
      </c>
      <c r="V125" t="s">
        <v>2796</v>
      </c>
      <c r="W125" t="s">
        <v>2797</v>
      </c>
      <c r="X125" t="s">
        <v>2798</v>
      </c>
      <c r="Y125" t="s">
        <v>2799</v>
      </c>
      <c r="Z125" t="s">
        <v>2800</v>
      </c>
      <c r="AA125" t="s">
        <v>2801</v>
      </c>
      <c r="AB125" t="s">
        <v>74</v>
      </c>
      <c r="AC125" t="s">
        <v>2802</v>
      </c>
      <c r="AD125" t="s">
        <v>2803</v>
      </c>
      <c r="AE125" t="s">
        <v>74</v>
      </c>
      <c r="AF125" t="s">
        <v>74</v>
      </c>
      <c r="AG125">
        <v>55</v>
      </c>
      <c r="AH125">
        <v>1</v>
      </c>
      <c r="AI125">
        <v>1</v>
      </c>
      <c r="AJ125">
        <v>5</v>
      </c>
      <c r="AK125">
        <v>6</v>
      </c>
      <c r="AL125" t="s">
        <v>274</v>
      </c>
      <c r="AM125" t="s">
        <v>275</v>
      </c>
      <c r="AN125" t="s">
        <v>276</v>
      </c>
      <c r="AO125" t="s">
        <v>357</v>
      </c>
      <c r="AP125" t="s">
        <v>74</v>
      </c>
      <c r="AQ125" t="s">
        <v>74</v>
      </c>
      <c r="AR125" t="s">
        <v>358</v>
      </c>
      <c r="AS125" t="s">
        <v>359</v>
      </c>
      <c r="AT125" t="s">
        <v>2804</v>
      </c>
      <c r="AU125">
        <v>2025</v>
      </c>
      <c r="AV125">
        <v>15</v>
      </c>
      <c r="AW125">
        <v>1</v>
      </c>
      <c r="AX125" t="s">
        <v>74</v>
      </c>
      <c r="AY125" t="s">
        <v>74</v>
      </c>
      <c r="AZ125" t="s">
        <v>74</v>
      </c>
      <c r="BA125" t="s">
        <v>74</v>
      </c>
      <c r="BB125" t="s">
        <v>74</v>
      </c>
      <c r="BC125" t="s">
        <v>74</v>
      </c>
      <c r="BD125">
        <v>18478</v>
      </c>
      <c r="BE125" t="s">
        <v>2805</v>
      </c>
      <c r="BF125" t="str">
        <f>HYPERLINK("http://dx.doi.org/10.1038/s41598-025-02419-8","http://dx.doi.org/10.1038/s41598-025-02419-8")</f>
        <v>http://dx.doi.org/10.1038/s41598-025-02419-8</v>
      </c>
      <c r="BG125" t="s">
        <v>74</v>
      </c>
      <c r="BH125" t="s">
        <v>74</v>
      </c>
      <c r="BI125">
        <v>16</v>
      </c>
      <c r="BJ125" t="s">
        <v>158</v>
      </c>
      <c r="BK125" t="s">
        <v>102</v>
      </c>
      <c r="BL125" t="s">
        <v>159</v>
      </c>
      <c r="BM125" t="s">
        <v>2806</v>
      </c>
      <c r="BN125">
        <v>40425670</v>
      </c>
      <c r="BO125" t="s">
        <v>161</v>
      </c>
      <c r="BP125" t="s">
        <v>74</v>
      </c>
      <c r="BQ125" t="s">
        <v>74</v>
      </c>
      <c r="BR125" t="s">
        <v>106</v>
      </c>
      <c r="BS125" t="s">
        <v>2807</v>
      </c>
      <c r="BT125" t="str">
        <f>HYPERLINK("https%3A%2F%2Fwww.webofscience.com%2Fwos%2Fwoscc%2Ffull-record%2FWOS:001497915300010","View Full Record in Web of Science")</f>
        <v>View Full Record in Web of Science</v>
      </c>
    </row>
    <row r="126" spans="1:72" x14ac:dyDescent="0.2">
      <c r="A126" t="s">
        <v>72</v>
      </c>
      <c r="B126" t="s">
        <v>2808</v>
      </c>
      <c r="C126" t="s">
        <v>74</v>
      </c>
      <c r="D126" t="s">
        <v>74</v>
      </c>
      <c r="E126" t="s">
        <v>74</v>
      </c>
      <c r="F126" t="s">
        <v>2809</v>
      </c>
      <c r="G126" t="s">
        <v>74</v>
      </c>
      <c r="H126" t="s">
        <v>74</v>
      </c>
      <c r="I126" t="s">
        <v>2810</v>
      </c>
      <c r="J126" t="s">
        <v>2811</v>
      </c>
      <c r="K126" t="s">
        <v>74</v>
      </c>
      <c r="L126" t="s">
        <v>74</v>
      </c>
      <c r="M126" t="s">
        <v>78</v>
      </c>
      <c r="N126" t="s">
        <v>79</v>
      </c>
      <c r="O126" t="s">
        <v>74</v>
      </c>
      <c r="P126" t="s">
        <v>74</v>
      </c>
      <c r="Q126" t="s">
        <v>74</v>
      </c>
      <c r="R126" t="s">
        <v>74</v>
      </c>
      <c r="S126" t="s">
        <v>74</v>
      </c>
      <c r="T126" t="s">
        <v>2812</v>
      </c>
      <c r="U126" t="s">
        <v>2813</v>
      </c>
      <c r="V126" t="s">
        <v>2814</v>
      </c>
      <c r="W126" t="s">
        <v>2815</v>
      </c>
      <c r="X126" t="s">
        <v>2816</v>
      </c>
      <c r="Y126" t="s">
        <v>2817</v>
      </c>
      <c r="Z126" t="s">
        <v>2818</v>
      </c>
      <c r="AA126" t="s">
        <v>2819</v>
      </c>
      <c r="AB126" t="s">
        <v>2820</v>
      </c>
      <c r="AC126" t="s">
        <v>2821</v>
      </c>
      <c r="AD126" t="s">
        <v>2822</v>
      </c>
      <c r="AE126" t="s">
        <v>2823</v>
      </c>
      <c r="AF126" t="s">
        <v>74</v>
      </c>
      <c r="AG126">
        <v>74</v>
      </c>
      <c r="AH126">
        <v>9</v>
      </c>
      <c r="AI126">
        <v>10</v>
      </c>
      <c r="AJ126">
        <v>13</v>
      </c>
      <c r="AK126">
        <v>103</v>
      </c>
      <c r="AL126" t="s">
        <v>247</v>
      </c>
      <c r="AM126" t="s">
        <v>248</v>
      </c>
      <c r="AN126" t="s">
        <v>249</v>
      </c>
      <c r="AO126" t="s">
        <v>2824</v>
      </c>
      <c r="AP126" t="s">
        <v>74</v>
      </c>
      <c r="AQ126" t="s">
        <v>74</v>
      </c>
      <c r="AR126" t="s">
        <v>2825</v>
      </c>
      <c r="AS126" t="s">
        <v>2826</v>
      </c>
      <c r="AT126" t="s">
        <v>1752</v>
      </c>
      <c r="AU126">
        <v>2022</v>
      </c>
      <c r="AV126">
        <v>11</v>
      </c>
      <c r="AW126">
        <v>3</v>
      </c>
      <c r="AX126" t="s">
        <v>74</v>
      </c>
      <c r="AY126" t="s">
        <v>74</v>
      </c>
      <c r="AZ126" t="s">
        <v>74</v>
      </c>
      <c r="BA126" t="s">
        <v>74</v>
      </c>
      <c r="BB126" t="s">
        <v>74</v>
      </c>
      <c r="BC126" t="s">
        <v>74</v>
      </c>
      <c r="BD126" t="s">
        <v>2827</v>
      </c>
      <c r="BE126" t="s">
        <v>2828</v>
      </c>
      <c r="BF126" t="str">
        <f>HYPERLINK("http://dx.doi.org/10.1002/fes3.398","http://dx.doi.org/10.1002/fes3.398")</f>
        <v>http://dx.doi.org/10.1002/fes3.398</v>
      </c>
      <c r="BG126" t="s">
        <v>74</v>
      </c>
      <c r="BH126" t="s">
        <v>2829</v>
      </c>
      <c r="BI126">
        <v>14</v>
      </c>
      <c r="BJ126" t="s">
        <v>2830</v>
      </c>
      <c r="BK126" t="s">
        <v>102</v>
      </c>
      <c r="BL126" t="s">
        <v>2831</v>
      </c>
      <c r="BM126" t="s">
        <v>2832</v>
      </c>
      <c r="BN126" t="s">
        <v>74</v>
      </c>
      <c r="BO126" t="s">
        <v>161</v>
      </c>
      <c r="BP126" t="s">
        <v>74</v>
      </c>
      <c r="BQ126" t="s">
        <v>74</v>
      </c>
      <c r="BR126" t="s">
        <v>106</v>
      </c>
      <c r="BS126" t="s">
        <v>2833</v>
      </c>
      <c r="BT126" t="str">
        <f>HYPERLINK("https%3A%2F%2Fwww.webofscience.com%2Fwos%2Fwoscc%2Ffull-record%2FWOS:000812702100001","View Full Record in Web of Science")</f>
        <v>View Full Record in Web of Science</v>
      </c>
    </row>
    <row r="127" spans="1:72" x14ac:dyDescent="0.2">
      <c r="A127" t="s">
        <v>72</v>
      </c>
      <c r="B127" t="s">
        <v>2834</v>
      </c>
      <c r="C127" t="s">
        <v>74</v>
      </c>
      <c r="D127" t="s">
        <v>74</v>
      </c>
      <c r="E127" t="s">
        <v>74</v>
      </c>
      <c r="F127" t="s">
        <v>2835</v>
      </c>
      <c r="G127" t="s">
        <v>74</v>
      </c>
      <c r="H127" t="s">
        <v>74</v>
      </c>
      <c r="I127" t="s">
        <v>2836</v>
      </c>
      <c r="J127" t="s">
        <v>2387</v>
      </c>
      <c r="K127" t="s">
        <v>74</v>
      </c>
      <c r="L127" t="s">
        <v>74</v>
      </c>
      <c r="M127" t="s">
        <v>78</v>
      </c>
      <c r="N127" t="s">
        <v>79</v>
      </c>
      <c r="O127" t="s">
        <v>74</v>
      </c>
      <c r="P127" t="s">
        <v>74</v>
      </c>
      <c r="Q127" t="s">
        <v>74</v>
      </c>
      <c r="R127" t="s">
        <v>74</v>
      </c>
      <c r="S127" t="s">
        <v>74</v>
      </c>
      <c r="T127" t="s">
        <v>2837</v>
      </c>
      <c r="U127" t="s">
        <v>74</v>
      </c>
      <c r="V127" t="s">
        <v>2838</v>
      </c>
      <c r="W127" t="s">
        <v>2839</v>
      </c>
      <c r="X127" t="s">
        <v>2840</v>
      </c>
      <c r="Y127" t="s">
        <v>2841</v>
      </c>
      <c r="Z127" t="s">
        <v>2842</v>
      </c>
      <c r="AA127" t="s">
        <v>2843</v>
      </c>
      <c r="AB127" t="s">
        <v>2844</v>
      </c>
      <c r="AC127" t="s">
        <v>74</v>
      </c>
      <c r="AD127" t="s">
        <v>74</v>
      </c>
      <c r="AE127" t="s">
        <v>74</v>
      </c>
      <c r="AF127" t="s">
        <v>74</v>
      </c>
      <c r="AG127">
        <v>64</v>
      </c>
      <c r="AH127">
        <v>122</v>
      </c>
      <c r="AI127">
        <v>175</v>
      </c>
      <c r="AJ127">
        <v>1</v>
      </c>
      <c r="AK127">
        <v>67</v>
      </c>
      <c r="AL127" t="s">
        <v>176</v>
      </c>
      <c r="AM127" t="s">
        <v>177</v>
      </c>
      <c r="AN127" t="s">
        <v>178</v>
      </c>
      <c r="AO127" t="s">
        <v>2400</v>
      </c>
      <c r="AP127" t="s">
        <v>2401</v>
      </c>
      <c r="AQ127" t="s">
        <v>74</v>
      </c>
      <c r="AR127" t="s">
        <v>2387</v>
      </c>
      <c r="AS127" t="s">
        <v>2402</v>
      </c>
      <c r="AT127" t="s">
        <v>2017</v>
      </c>
      <c r="AU127">
        <v>2014</v>
      </c>
      <c r="AV127">
        <v>48</v>
      </c>
      <c r="AW127" t="s">
        <v>74</v>
      </c>
      <c r="AX127" t="s">
        <v>74</v>
      </c>
      <c r="AY127" t="s">
        <v>74</v>
      </c>
      <c r="AZ127" t="s">
        <v>1070</v>
      </c>
      <c r="BA127" t="s">
        <v>74</v>
      </c>
      <c r="BB127">
        <v>168</v>
      </c>
      <c r="BC127">
        <v>181</v>
      </c>
      <c r="BD127" t="s">
        <v>74</v>
      </c>
      <c r="BE127" t="s">
        <v>2845</v>
      </c>
      <c r="BF127" t="str">
        <f>HYPERLINK("http://dx.doi.org/10.1016/j.foodpol.2014.05.013","http://dx.doi.org/10.1016/j.foodpol.2014.05.013")</f>
        <v>http://dx.doi.org/10.1016/j.foodpol.2014.05.013</v>
      </c>
      <c r="BG127" t="s">
        <v>74</v>
      </c>
      <c r="BH127" t="s">
        <v>74</v>
      </c>
      <c r="BI127">
        <v>14</v>
      </c>
      <c r="BJ127" t="s">
        <v>2405</v>
      </c>
      <c r="BK127" t="s">
        <v>186</v>
      </c>
      <c r="BL127" t="s">
        <v>2406</v>
      </c>
      <c r="BM127" t="s">
        <v>2846</v>
      </c>
      <c r="BN127" t="s">
        <v>74</v>
      </c>
      <c r="BO127" t="s">
        <v>2296</v>
      </c>
      <c r="BP127" t="s">
        <v>74</v>
      </c>
      <c r="BQ127" t="s">
        <v>74</v>
      </c>
      <c r="BR127" t="s">
        <v>106</v>
      </c>
      <c r="BS127" t="s">
        <v>2847</v>
      </c>
      <c r="BT127" t="str">
        <f>HYPERLINK("https%3A%2F%2Fwww.webofscience.com%2Fwos%2Fwoscc%2Ffull-record%2FWOS:000340991100013","View Full Record in Web of Science")</f>
        <v>View Full Record in Web of Science</v>
      </c>
    </row>
    <row r="128" spans="1:72" x14ac:dyDescent="0.2">
      <c r="A128" t="s">
        <v>72</v>
      </c>
      <c r="B128" t="s">
        <v>2848</v>
      </c>
      <c r="C128" t="s">
        <v>74</v>
      </c>
      <c r="D128" t="s">
        <v>74</v>
      </c>
      <c r="E128" t="s">
        <v>74</v>
      </c>
      <c r="F128" t="s">
        <v>2849</v>
      </c>
      <c r="G128" t="s">
        <v>74</v>
      </c>
      <c r="H128" t="s">
        <v>74</v>
      </c>
      <c r="I128" t="s">
        <v>2850</v>
      </c>
      <c r="J128" t="s">
        <v>1344</v>
      </c>
      <c r="K128" t="s">
        <v>74</v>
      </c>
      <c r="L128" t="s">
        <v>74</v>
      </c>
      <c r="M128" t="s">
        <v>78</v>
      </c>
      <c r="N128" t="s">
        <v>79</v>
      </c>
      <c r="O128" t="s">
        <v>74</v>
      </c>
      <c r="P128" t="s">
        <v>74</v>
      </c>
      <c r="Q128" t="s">
        <v>74</v>
      </c>
      <c r="R128" t="s">
        <v>74</v>
      </c>
      <c r="S128" t="s">
        <v>74</v>
      </c>
      <c r="T128" t="s">
        <v>2851</v>
      </c>
      <c r="U128" t="s">
        <v>74</v>
      </c>
      <c r="V128" t="s">
        <v>2852</v>
      </c>
      <c r="W128" t="s">
        <v>2853</v>
      </c>
      <c r="X128" t="s">
        <v>2854</v>
      </c>
      <c r="Y128" t="s">
        <v>2855</v>
      </c>
      <c r="Z128" t="s">
        <v>2856</v>
      </c>
      <c r="AA128" t="s">
        <v>74</v>
      </c>
      <c r="AB128" t="s">
        <v>2857</v>
      </c>
      <c r="AC128" t="s">
        <v>74</v>
      </c>
      <c r="AD128" t="s">
        <v>74</v>
      </c>
      <c r="AE128" t="s">
        <v>74</v>
      </c>
      <c r="AF128" t="s">
        <v>74</v>
      </c>
      <c r="AG128">
        <v>43</v>
      </c>
      <c r="AH128">
        <v>0</v>
      </c>
      <c r="AI128">
        <v>2</v>
      </c>
      <c r="AJ128">
        <v>2</v>
      </c>
      <c r="AK128">
        <v>2</v>
      </c>
      <c r="AL128" t="s">
        <v>222</v>
      </c>
      <c r="AM128" t="s">
        <v>223</v>
      </c>
      <c r="AN128" t="s">
        <v>478</v>
      </c>
      <c r="AO128" t="s">
        <v>74</v>
      </c>
      <c r="AP128" t="s">
        <v>1354</v>
      </c>
      <c r="AQ128" t="s">
        <v>74</v>
      </c>
      <c r="AR128" t="s">
        <v>1344</v>
      </c>
      <c r="AS128" t="s">
        <v>1355</v>
      </c>
      <c r="AT128" t="s">
        <v>337</v>
      </c>
      <c r="AU128">
        <v>2025</v>
      </c>
      <c r="AV128">
        <v>15</v>
      </c>
      <c r="AW128">
        <v>13</v>
      </c>
      <c r="AX128" t="s">
        <v>74</v>
      </c>
      <c r="AY128" t="s">
        <v>74</v>
      </c>
      <c r="AZ128" t="s">
        <v>74</v>
      </c>
      <c r="BA128" t="s">
        <v>74</v>
      </c>
      <c r="BB128" t="s">
        <v>74</v>
      </c>
      <c r="BC128" t="s">
        <v>74</v>
      </c>
      <c r="BD128">
        <v>1412</v>
      </c>
      <c r="BE128" t="s">
        <v>2858</v>
      </c>
      <c r="BF128" t="str">
        <f>HYPERLINK("http://dx.doi.org/10.3390/agriculture15131412","http://dx.doi.org/10.3390/agriculture15131412")</f>
        <v>http://dx.doi.org/10.3390/agriculture15131412</v>
      </c>
      <c r="BG128" t="s">
        <v>74</v>
      </c>
      <c r="BH128" t="s">
        <v>74</v>
      </c>
      <c r="BI128">
        <v>13</v>
      </c>
      <c r="BJ128" t="s">
        <v>1357</v>
      </c>
      <c r="BK128" t="s">
        <v>102</v>
      </c>
      <c r="BL128" t="s">
        <v>103</v>
      </c>
      <c r="BM128" t="s">
        <v>2859</v>
      </c>
      <c r="BN128" t="s">
        <v>74</v>
      </c>
      <c r="BO128" t="s">
        <v>231</v>
      </c>
      <c r="BP128" t="s">
        <v>74</v>
      </c>
      <c r="BQ128" t="s">
        <v>74</v>
      </c>
      <c r="BR128" t="s">
        <v>106</v>
      </c>
      <c r="BS128" t="s">
        <v>2860</v>
      </c>
      <c r="BT128" t="str">
        <f>HYPERLINK("https%3A%2F%2Fwww.webofscience.com%2Fwos%2Fwoscc%2Ffull-record%2FWOS:001527144200001","View Full Record in Web of Science")</f>
        <v>View Full Record in Web of Science</v>
      </c>
    </row>
    <row r="129" spans="1:72" x14ac:dyDescent="0.2">
      <c r="A129" t="s">
        <v>72</v>
      </c>
      <c r="B129" t="s">
        <v>2861</v>
      </c>
      <c r="C129" t="s">
        <v>74</v>
      </c>
      <c r="D129" t="s">
        <v>74</v>
      </c>
      <c r="E129" t="s">
        <v>74</v>
      </c>
      <c r="F129" t="s">
        <v>2862</v>
      </c>
      <c r="G129" t="s">
        <v>74</v>
      </c>
      <c r="H129" t="s">
        <v>74</v>
      </c>
      <c r="I129" t="s">
        <v>2863</v>
      </c>
      <c r="J129" t="s">
        <v>2864</v>
      </c>
      <c r="K129" t="s">
        <v>74</v>
      </c>
      <c r="L129" t="s">
        <v>74</v>
      </c>
      <c r="M129" t="s">
        <v>78</v>
      </c>
      <c r="N129" t="s">
        <v>79</v>
      </c>
      <c r="O129" t="s">
        <v>74</v>
      </c>
      <c r="P129" t="s">
        <v>74</v>
      </c>
      <c r="Q129" t="s">
        <v>74</v>
      </c>
      <c r="R129" t="s">
        <v>74</v>
      </c>
      <c r="S129" t="s">
        <v>74</v>
      </c>
      <c r="T129" t="s">
        <v>2865</v>
      </c>
      <c r="U129" t="s">
        <v>2866</v>
      </c>
      <c r="V129" t="s">
        <v>2867</v>
      </c>
      <c r="W129" t="s">
        <v>2868</v>
      </c>
      <c r="X129" t="s">
        <v>2869</v>
      </c>
      <c r="Y129" t="s">
        <v>2870</v>
      </c>
      <c r="Z129" t="s">
        <v>2871</v>
      </c>
      <c r="AA129" t="s">
        <v>2872</v>
      </c>
      <c r="AB129" t="s">
        <v>2873</v>
      </c>
      <c r="AC129" t="s">
        <v>2874</v>
      </c>
      <c r="AD129" t="s">
        <v>2874</v>
      </c>
      <c r="AE129" t="s">
        <v>2875</v>
      </c>
      <c r="AF129" t="s">
        <v>74</v>
      </c>
      <c r="AG129">
        <v>25</v>
      </c>
      <c r="AH129">
        <v>18</v>
      </c>
      <c r="AI129">
        <v>23</v>
      </c>
      <c r="AJ129">
        <v>2</v>
      </c>
      <c r="AK129">
        <v>72</v>
      </c>
      <c r="AL129" t="s">
        <v>176</v>
      </c>
      <c r="AM129" t="s">
        <v>177</v>
      </c>
      <c r="AN129" t="s">
        <v>178</v>
      </c>
      <c r="AO129" t="s">
        <v>2876</v>
      </c>
      <c r="AP129" t="s">
        <v>2877</v>
      </c>
      <c r="AQ129" t="s">
        <v>74</v>
      </c>
      <c r="AR129" t="s">
        <v>2878</v>
      </c>
      <c r="AS129" t="s">
        <v>2879</v>
      </c>
      <c r="AT129" t="s">
        <v>99</v>
      </c>
      <c r="AU129">
        <v>2014</v>
      </c>
      <c r="AV129">
        <v>66</v>
      </c>
      <c r="AW129" t="s">
        <v>74</v>
      </c>
      <c r="AX129" t="s">
        <v>74</v>
      </c>
      <c r="AY129" t="s">
        <v>74</v>
      </c>
      <c r="AZ129" t="s">
        <v>74</v>
      </c>
      <c r="BA129" t="s">
        <v>74</v>
      </c>
      <c r="BB129">
        <v>585</v>
      </c>
      <c r="BC129">
        <v>591</v>
      </c>
      <c r="BD129" t="s">
        <v>74</v>
      </c>
      <c r="BE129" t="s">
        <v>2880</v>
      </c>
      <c r="BF129" t="str">
        <f>HYPERLINK("http://dx.doi.org/10.1016/j.enpol.2013.10.066","http://dx.doi.org/10.1016/j.enpol.2013.10.066")</f>
        <v>http://dx.doi.org/10.1016/j.enpol.2013.10.066</v>
      </c>
      <c r="BG129" t="s">
        <v>74</v>
      </c>
      <c r="BH129" t="s">
        <v>74</v>
      </c>
      <c r="BI129">
        <v>7</v>
      </c>
      <c r="BJ129" t="s">
        <v>2881</v>
      </c>
      <c r="BK129" t="s">
        <v>186</v>
      </c>
      <c r="BL129" t="s">
        <v>2882</v>
      </c>
      <c r="BM129" t="s">
        <v>2883</v>
      </c>
      <c r="BN129" t="s">
        <v>74</v>
      </c>
      <c r="BO129" t="s">
        <v>74</v>
      </c>
      <c r="BP129" t="s">
        <v>74</v>
      </c>
      <c r="BQ129" t="s">
        <v>74</v>
      </c>
      <c r="BR129" t="s">
        <v>106</v>
      </c>
      <c r="BS129" t="s">
        <v>2884</v>
      </c>
      <c r="BT129" t="str">
        <f>HYPERLINK("https%3A%2F%2Fwww.webofscience.com%2Fwos%2Fwoscc%2Ffull-record%2FWOS:000332135900053","View Full Record in Web of Science")</f>
        <v>View Full Record in Web of Science</v>
      </c>
    </row>
    <row r="130" spans="1:72" x14ac:dyDescent="0.2">
      <c r="A130" t="s">
        <v>72</v>
      </c>
      <c r="B130" t="s">
        <v>2885</v>
      </c>
      <c r="C130" t="s">
        <v>74</v>
      </c>
      <c r="D130" t="s">
        <v>74</v>
      </c>
      <c r="E130" t="s">
        <v>74</v>
      </c>
      <c r="F130" t="s">
        <v>2886</v>
      </c>
      <c r="G130" t="s">
        <v>74</v>
      </c>
      <c r="H130" t="s">
        <v>74</v>
      </c>
      <c r="I130" t="s">
        <v>2887</v>
      </c>
      <c r="J130" t="s">
        <v>995</v>
      </c>
      <c r="K130" t="s">
        <v>74</v>
      </c>
      <c r="L130" t="s">
        <v>74</v>
      </c>
      <c r="M130" t="s">
        <v>78</v>
      </c>
      <c r="N130" t="s">
        <v>79</v>
      </c>
      <c r="O130" t="s">
        <v>74</v>
      </c>
      <c r="P130" t="s">
        <v>74</v>
      </c>
      <c r="Q130" t="s">
        <v>74</v>
      </c>
      <c r="R130" t="s">
        <v>74</v>
      </c>
      <c r="S130" t="s">
        <v>74</v>
      </c>
      <c r="T130" t="s">
        <v>2888</v>
      </c>
      <c r="U130" t="s">
        <v>2889</v>
      </c>
      <c r="V130" t="s">
        <v>2890</v>
      </c>
      <c r="W130" t="s">
        <v>2891</v>
      </c>
      <c r="X130" t="s">
        <v>2892</v>
      </c>
      <c r="Y130" t="s">
        <v>2893</v>
      </c>
      <c r="Z130" t="s">
        <v>2894</v>
      </c>
      <c r="AA130" t="s">
        <v>74</v>
      </c>
      <c r="AB130" t="s">
        <v>2895</v>
      </c>
      <c r="AC130" t="s">
        <v>2896</v>
      </c>
      <c r="AD130" t="s">
        <v>2897</v>
      </c>
      <c r="AE130" t="s">
        <v>2898</v>
      </c>
      <c r="AF130" t="s">
        <v>74</v>
      </c>
      <c r="AG130">
        <v>81</v>
      </c>
      <c r="AH130">
        <v>41</v>
      </c>
      <c r="AI130">
        <v>48</v>
      </c>
      <c r="AJ130">
        <v>12</v>
      </c>
      <c r="AK130">
        <v>197</v>
      </c>
      <c r="AL130" t="s">
        <v>123</v>
      </c>
      <c r="AM130" t="s">
        <v>124</v>
      </c>
      <c r="AN130" t="s">
        <v>125</v>
      </c>
      <c r="AO130" t="s">
        <v>1008</v>
      </c>
      <c r="AP130" t="s">
        <v>1009</v>
      </c>
      <c r="AQ130" t="s">
        <v>74</v>
      </c>
      <c r="AR130" t="s">
        <v>1010</v>
      </c>
      <c r="AS130" t="s">
        <v>1011</v>
      </c>
      <c r="AT130" t="s">
        <v>2899</v>
      </c>
      <c r="AU130">
        <v>2021</v>
      </c>
      <c r="AV130">
        <v>800</v>
      </c>
      <c r="AW130" t="s">
        <v>74</v>
      </c>
      <c r="AX130" t="s">
        <v>74</v>
      </c>
      <c r="AY130" t="s">
        <v>74</v>
      </c>
      <c r="AZ130" t="s">
        <v>74</v>
      </c>
      <c r="BA130" t="s">
        <v>74</v>
      </c>
      <c r="BB130" t="s">
        <v>74</v>
      </c>
      <c r="BC130" t="s">
        <v>74</v>
      </c>
      <c r="BD130">
        <v>149552</v>
      </c>
      <c r="BE130" t="s">
        <v>2900</v>
      </c>
      <c r="BF130" t="str">
        <f>HYPERLINK("http://dx.doi.org/10.1016/j.scitotenv.2021.149552","http://dx.doi.org/10.1016/j.scitotenv.2021.149552")</f>
        <v>http://dx.doi.org/10.1016/j.scitotenv.2021.149552</v>
      </c>
      <c r="BG130" t="s">
        <v>74</v>
      </c>
      <c r="BH130" t="s">
        <v>2901</v>
      </c>
      <c r="BI130">
        <v>15</v>
      </c>
      <c r="BJ130" t="s">
        <v>567</v>
      </c>
      <c r="BK130" t="s">
        <v>102</v>
      </c>
      <c r="BL130" t="s">
        <v>568</v>
      </c>
      <c r="BM130" t="s">
        <v>2902</v>
      </c>
      <c r="BN130">
        <v>34391149</v>
      </c>
      <c r="BO130" t="s">
        <v>74</v>
      </c>
      <c r="BP130" t="s">
        <v>74</v>
      </c>
      <c r="BQ130" t="s">
        <v>74</v>
      </c>
      <c r="BR130" t="s">
        <v>106</v>
      </c>
      <c r="BS130" t="s">
        <v>2903</v>
      </c>
      <c r="BT130" t="str">
        <f>HYPERLINK("https%3A%2F%2Fwww.webofscience.com%2Fwos%2Fwoscc%2Ffull-record%2FWOS:000702859900013","View Full Record in Web of Science")</f>
        <v>View Full Record in Web of Science</v>
      </c>
    </row>
    <row r="131" spans="1:72" x14ac:dyDescent="0.2">
      <c r="A131" t="s">
        <v>72</v>
      </c>
      <c r="B131" t="s">
        <v>2904</v>
      </c>
      <c r="C131" t="s">
        <v>74</v>
      </c>
      <c r="D131" t="s">
        <v>74</v>
      </c>
      <c r="E131" t="s">
        <v>74</v>
      </c>
      <c r="F131" t="s">
        <v>2905</v>
      </c>
      <c r="G131" t="s">
        <v>74</v>
      </c>
      <c r="H131" t="s">
        <v>74</v>
      </c>
      <c r="I131" t="s">
        <v>2906</v>
      </c>
      <c r="J131" t="s">
        <v>2149</v>
      </c>
      <c r="K131" t="s">
        <v>74</v>
      </c>
      <c r="L131" t="s">
        <v>74</v>
      </c>
      <c r="M131" t="s">
        <v>78</v>
      </c>
      <c r="N131" t="s">
        <v>79</v>
      </c>
      <c r="O131" t="s">
        <v>74</v>
      </c>
      <c r="P131" t="s">
        <v>74</v>
      </c>
      <c r="Q131" t="s">
        <v>74</v>
      </c>
      <c r="R131" t="s">
        <v>74</v>
      </c>
      <c r="S131" t="s">
        <v>74</v>
      </c>
      <c r="T131" t="s">
        <v>2907</v>
      </c>
      <c r="U131" t="s">
        <v>2908</v>
      </c>
      <c r="V131" t="s">
        <v>2909</v>
      </c>
      <c r="W131" t="s">
        <v>2910</v>
      </c>
      <c r="X131" t="s">
        <v>2911</v>
      </c>
      <c r="Y131" t="s">
        <v>2912</v>
      </c>
      <c r="Z131" t="s">
        <v>2913</v>
      </c>
      <c r="AA131" t="s">
        <v>74</v>
      </c>
      <c r="AB131" t="s">
        <v>74</v>
      </c>
      <c r="AC131" t="s">
        <v>2914</v>
      </c>
      <c r="AD131" t="s">
        <v>2915</v>
      </c>
      <c r="AE131" t="s">
        <v>2916</v>
      </c>
      <c r="AF131" t="s">
        <v>74</v>
      </c>
      <c r="AG131">
        <v>56</v>
      </c>
      <c r="AH131">
        <v>60</v>
      </c>
      <c r="AI131">
        <v>66</v>
      </c>
      <c r="AJ131">
        <v>24</v>
      </c>
      <c r="AK131">
        <v>253</v>
      </c>
      <c r="AL131" t="s">
        <v>2162</v>
      </c>
      <c r="AM131" t="s">
        <v>124</v>
      </c>
      <c r="AN131" t="s">
        <v>2163</v>
      </c>
      <c r="AO131" t="s">
        <v>2164</v>
      </c>
      <c r="AP131" t="s">
        <v>2165</v>
      </c>
      <c r="AQ131" t="s">
        <v>74</v>
      </c>
      <c r="AR131" t="s">
        <v>2166</v>
      </c>
      <c r="AS131" t="s">
        <v>2167</v>
      </c>
      <c r="AT131" t="s">
        <v>183</v>
      </c>
      <c r="AU131">
        <v>2017</v>
      </c>
      <c r="AV131">
        <v>170</v>
      </c>
      <c r="AW131" t="s">
        <v>74</v>
      </c>
      <c r="AX131" t="s">
        <v>74</v>
      </c>
      <c r="AY131" t="s">
        <v>74</v>
      </c>
      <c r="AZ131" t="s">
        <v>74</v>
      </c>
      <c r="BA131" t="s">
        <v>74</v>
      </c>
      <c r="BB131">
        <v>77</v>
      </c>
      <c r="BC131">
        <v>84</v>
      </c>
      <c r="BD131" t="s">
        <v>74</v>
      </c>
      <c r="BE131" t="s">
        <v>2917</v>
      </c>
      <c r="BF131" t="str">
        <f>HYPERLINK("http://dx.doi.org/10.1016/j.still.2017.03.003","http://dx.doi.org/10.1016/j.still.2017.03.003")</f>
        <v>http://dx.doi.org/10.1016/j.still.2017.03.003</v>
      </c>
      <c r="BG131" t="s">
        <v>74</v>
      </c>
      <c r="BH131" t="s">
        <v>74</v>
      </c>
      <c r="BI131">
        <v>8</v>
      </c>
      <c r="BJ131" t="s">
        <v>256</v>
      </c>
      <c r="BK131" t="s">
        <v>102</v>
      </c>
      <c r="BL131" t="s">
        <v>103</v>
      </c>
      <c r="BM131" t="s">
        <v>2918</v>
      </c>
      <c r="BN131" t="s">
        <v>74</v>
      </c>
      <c r="BO131" t="s">
        <v>74</v>
      </c>
      <c r="BP131" t="s">
        <v>74</v>
      </c>
      <c r="BQ131" t="s">
        <v>74</v>
      </c>
      <c r="BR131" t="s">
        <v>106</v>
      </c>
      <c r="BS131" t="s">
        <v>2919</v>
      </c>
      <c r="BT131" t="str">
        <f>HYPERLINK("https%3A%2F%2Fwww.webofscience.com%2Fwos%2Fwoscc%2Ffull-record%2FWOS:000405055600009","View Full Record in Web of Science")</f>
        <v>View Full Record in Web of Science</v>
      </c>
    </row>
    <row r="132" spans="1:72" x14ac:dyDescent="0.2">
      <c r="A132" t="s">
        <v>72</v>
      </c>
      <c r="B132" t="s">
        <v>2920</v>
      </c>
      <c r="C132" t="s">
        <v>74</v>
      </c>
      <c r="D132" t="s">
        <v>74</v>
      </c>
      <c r="E132" t="s">
        <v>74</v>
      </c>
      <c r="F132" t="s">
        <v>2921</v>
      </c>
      <c r="G132" t="s">
        <v>74</v>
      </c>
      <c r="H132" t="s">
        <v>74</v>
      </c>
      <c r="I132" t="s">
        <v>2922</v>
      </c>
      <c r="J132" t="s">
        <v>2923</v>
      </c>
      <c r="K132" t="s">
        <v>74</v>
      </c>
      <c r="L132" t="s">
        <v>74</v>
      </c>
      <c r="M132" t="s">
        <v>78</v>
      </c>
      <c r="N132" t="s">
        <v>79</v>
      </c>
      <c r="O132" t="s">
        <v>74</v>
      </c>
      <c r="P132" t="s">
        <v>74</v>
      </c>
      <c r="Q132" t="s">
        <v>74</v>
      </c>
      <c r="R132" t="s">
        <v>74</v>
      </c>
      <c r="S132" t="s">
        <v>74</v>
      </c>
      <c r="T132" t="s">
        <v>2924</v>
      </c>
      <c r="U132" t="s">
        <v>2925</v>
      </c>
      <c r="V132" t="s">
        <v>2926</v>
      </c>
      <c r="W132" t="s">
        <v>2927</v>
      </c>
      <c r="X132" t="s">
        <v>2928</v>
      </c>
      <c r="Y132" t="s">
        <v>2929</v>
      </c>
      <c r="Z132" t="s">
        <v>2930</v>
      </c>
      <c r="AA132" t="s">
        <v>2931</v>
      </c>
      <c r="AB132" t="s">
        <v>2932</v>
      </c>
      <c r="AC132" t="s">
        <v>2933</v>
      </c>
      <c r="AD132" t="s">
        <v>1591</v>
      </c>
      <c r="AE132" t="s">
        <v>2934</v>
      </c>
      <c r="AF132" t="s">
        <v>74</v>
      </c>
      <c r="AG132">
        <v>54</v>
      </c>
      <c r="AH132">
        <v>10</v>
      </c>
      <c r="AI132">
        <v>12</v>
      </c>
      <c r="AJ132">
        <v>4</v>
      </c>
      <c r="AK132">
        <v>57</v>
      </c>
      <c r="AL132" t="s">
        <v>222</v>
      </c>
      <c r="AM132" t="s">
        <v>223</v>
      </c>
      <c r="AN132" t="s">
        <v>224</v>
      </c>
      <c r="AO132" t="s">
        <v>74</v>
      </c>
      <c r="AP132" t="s">
        <v>2935</v>
      </c>
      <c r="AQ132" t="s">
        <v>74</v>
      </c>
      <c r="AR132" t="s">
        <v>2936</v>
      </c>
      <c r="AS132" t="s">
        <v>2937</v>
      </c>
      <c r="AT132" t="s">
        <v>1752</v>
      </c>
      <c r="AU132">
        <v>2022</v>
      </c>
      <c r="AV132">
        <v>19</v>
      </c>
      <c r="AW132">
        <v>16</v>
      </c>
      <c r="AX132" t="s">
        <v>74</v>
      </c>
      <c r="AY132" t="s">
        <v>74</v>
      </c>
      <c r="AZ132" t="s">
        <v>74</v>
      </c>
      <c r="BA132" t="s">
        <v>74</v>
      </c>
      <c r="BB132" t="s">
        <v>74</v>
      </c>
      <c r="BC132" t="s">
        <v>74</v>
      </c>
      <c r="BD132">
        <v>10177</v>
      </c>
      <c r="BE132" t="s">
        <v>2938</v>
      </c>
      <c r="BF132" t="str">
        <f>HYPERLINK("http://dx.doi.org/10.3390/ijerph191610177","http://dx.doi.org/10.3390/ijerph191610177")</f>
        <v>http://dx.doi.org/10.3390/ijerph191610177</v>
      </c>
      <c r="BG132" t="s">
        <v>74</v>
      </c>
      <c r="BH132" t="s">
        <v>74</v>
      </c>
      <c r="BI132">
        <v>18</v>
      </c>
      <c r="BJ132" t="s">
        <v>1042</v>
      </c>
      <c r="BK132" t="s">
        <v>186</v>
      </c>
      <c r="BL132" t="s">
        <v>1043</v>
      </c>
      <c r="BM132" t="s">
        <v>2939</v>
      </c>
      <c r="BN132">
        <v>36011812</v>
      </c>
      <c r="BO132" t="s">
        <v>161</v>
      </c>
      <c r="BP132" t="s">
        <v>74</v>
      </c>
      <c r="BQ132" t="s">
        <v>74</v>
      </c>
      <c r="BR132" t="s">
        <v>106</v>
      </c>
      <c r="BS132" t="s">
        <v>2940</v>
      </c>
      <c r="BT132" t="str">
        <f>HYPERLINK("https%3A%2F%2Fwww.webofscience.com%2Fwos%2Fwoscc%2Ffull-record%2FWOS:000846525200001","View Full Record in Web of Science")</f>
        <v>View Full Record in Web of Science</v>
      </c>
    </row>
    <row r="133" spans="1:72" x14ac:dyDescent="0.2">
      <c r="A133" t="s">
        <v>72</v>
      </c>
      <c r="B133" t="s">
        <v>2941</v>
      </c>
      <c r="C133" t="s">
        <v>74</v>
      </c>
      <c r="D133" t="s">
        <v>74</v>
      </c>
      <c r="E133" t="s">
        <v>74</v>
      </c>
      <c r="F133" t="s">
        <v>2942</v>
      </c>
      <c r="G133" t="s">
        <v>74</v>
      </c>
      <c r="H133" t="s">
        <v>74</v>
      </c>
      <c r="I133" t="s">
        <v>2943</v>
      </c>
      <c r="J133" t="s">
        <v>1049</v>
      </c>
      <c r="K133" t="s">
        <v>74</v>
      </c>
      <c r="L133" t="s">
        <v>74</v>
      </c>
      <c r="M133" t="s">
        <v>78</v>
      </c>
      <c r="N133" t="s">
        <v>79</v>
      </c>
      <c r="O133" t="s">
        <v>74</v>
      </c>
      <c r="P133" t="s">
        <v>74</v>
      </c>
      <c r="Q133" t="s">
        <v>74</v>
      </c>
      <c r="R133" t="s">
        <v>74</v>
      </c>
      <c r="S133" t="s">
        <v>74</v>
      </c>
      <c r="T133" t="s">
        <v>2944</v>
      </c>
      <c r="U133" t="s">
        <v>2945</v>
      </c>
      <c r="V133" t="s">
        <v>2946</v>
      </c>
      <c r="W133" t="s">
        <v>2947</v>
      </c>
      <c r="X133" t="s">
        <v>2948</v>
      </c>
      <c r="Y133" t="s">
        <v>2949</v>
      </c>
      <c r="Z133" t="s">
        <v>2950</v>
      </c>
      <c r="AA133" t="s">
        <v>74</v>
      </c>
      <c r="AB133" t="s">
        <v>74</v>
      </c>
      <c r="AC133" t="s">
        <v>2951</v>
      </c>
      <c r="AD133" t="s">
        <v>2952</v>
      </c>
      <c r="AE133" t="s">
        <v>2953</v>
      </c>
      <c r="AF133" t="s">
        <v>74</v>
      </c>
      <c r="AG133">
        <v>83</v>
      </c>
      <c r="AH133">
        <v>1</v>
      </c>
      <c r="AI133">
        <v>1</v>
      </c>
      <c r="AJ133">
        <v>14</v>
      </c>
      <c r="AK133">
        <v>62</v>
      </c>
      <c r="AL133" t="s">
        <v>1062</v>
      </c>
      <c r="AM133" t="s">
        <v>1063</v>
      </c>
      <c r="AN133" t="s">
        <v>1064</v>
      </c>
      <c r="AO133" t="s">
        <v>1065</v>
      </c>
      <c r="AP133" t="s">
        <v>1066</v>
      </c>
      <c r="AQ133" t="s">
        <v>74</v>
      </c>
      <c r="AR133" t="s">
        <v>1067</v>
      </c>
      <c r="AS133" t="s">
        <v>1068</v>
      </c>
      <c r="AT133" t="s">
        <v>2954</v>
      </c>
      <c r="AU133">
        <v>2024</v>
      </c>
      <c r="AV133">
        <v>16</v>
      </c>
      <c r="AW133">
        <v>4</v>
      </c>
      <c r="AX133" t="s">
        <v>74</v>
      </c>
      <c r="AY133" t="s">
        <v>74</v>
      </c>
      <c r="AZ133" t="s">
        <v>74</v>
      </c>
      <c r="BA133" t="s">
        <v>74</v>
      </c>
      <c r="BB133">
        <v>910</v>
      </c>
      <c r="BC133">
        <v>931</v>
      </c>
      <c r="BD133" t="s">
        <v>74</v>
      </c>
      <c r="BE133" t="s">
        <v>2955</v>
      </c>
      <c r="BF133" t="str">
        <f>HYPERLINK("http://dx.doi.org/10.1108/CAER-03-2024-0090","http://dx.doi.org/10.1108/CAER-03-2024-0090")</f>
        <v>http://dx.doi.org/10.1108/CAER-03-2024-0090</v>
      </c>
      <c r="BG133" t="s">
        <v>74</v>
      </c>
      <c r="BH133" t="s">
        <v>2956</v>
      </c>
      <c r="BI133">
        <v>22</v>
      </c>
      <c r="BJ133" t="s">
        <v>1073</v>
      </c>
      <c r="BK133" t="s">
        <v>186</v>
      </c>
      <c r="BL133" t="s">
        <v>1074</v>
      </c>
      <c r="BM133" t="s">
        <v>2957</v>
      </c>
      <c r="BN133" t="s">
        <v>74</v>
      </c>
      <c r="BO133" t="s">
        <v>74</v>
      </c>
      <c r="BP133" t="s">
        <v>74</v>
      </c>
      <c r="BQ133" t="s">
        <v>74</v>
      </c>
      <c r="BR133" t="s">
        <v>106</v>
      </c>
      <c r="BS133" t="s">
        <v>2958</v>
      </c>
      <c r="BT133" t="str">
        <f>HYPERLINK("https%3A%2F%2Fwww.webofscience.com%2Fwos%2Fwoscc%2Ffull-record%2FWOS:001302593000001","View Full Record in Web of Science")</f>
        <v>View Full Record in Web of Science</v>
      </c>
    </row>
    <row r="134" spans="1:72" x14ac:dyDescent="0.2">
      <c r="A134" t="s">
        <v>72</v>
      </c>
      <c r="B134" t="s">
        <v>2959</v>
      </c>
      <c r="C134" t="s">
        <v>74</v>
      </c>
      <c r="D134" t="s">
        <v>74</v>
      </c>
      <c r="E134" t="s">
        <v>74</v>
      </c>
      <c r="F134" t="s">
        <v>2960</v>
      </c>
      <c r="G134" t="s">
        <v>74</v>
      </c>
      <c r="H134" t="s">
        <v>74</v>
      </c>
      <c r="I134" t="s">
        <v>2961</v>
      </c>
      <c r="J134" t="s">
        <v>2962</v>
      </c>
      <c r="K134" t="s">
        <v>74</v>
      </c>
      <c r="L134" t="s">
        <v>74</v>
      </c>
      <c r="M134" t="s">
        <v>78</v>
      </c>
      <c r="N134" t="s">
        <v>79</v>
      </c>
      <c r="O134" t="s">
        <v>74</v>
      </c>
      <c r="P134" t="s">
        <v>74</v>
      </c>
      <c r="Q134" t="s">
        <v>74</v>
      </c>
      <c r="R134" t="s">
        <v>74</v>
      </c>
      <c r="S134" t="s">
        <v>74</v>
      </c>
      <c r="T134" t="s">
        <v>2963</v>
      </c>
      <c r="U134" t="s">
        <v>74</v>
      </c>
      <c r="V134" t="s">
        <v>2964</v>
      </c>
      <c r="W134" t="s">
        <v>2965</v>
      </c>
      <c r="X134" t="s">
        <v>2966</v>
      </c>
      <c r="Y134" t="s">
        <v>2967</v>
      </c>
      <c r="Z134" t="s">
        <v>2968</v>
      </c>
      <c r="AA134" t="s">
        <v>2969</v>
      </c>
      <c r="AB134" t="s">
        <v>2970</v>
      </c>
      <c r="AC134" t="s">
        <v>2971</v>
      </c>
      <c r="AD134" t="s">
        <v>2972</v>
      </c>
      <c r="AE134" t="s">
        <v>2973</v>
      </c>
      <c r="AF134" t="s">
        <v>74</v>
      </c>
      <c r="AG134">
        <v>35</v>
      </c>
      <c r="AH134">
        <v>0</v>
      </c>
      <c r="AI134">
        <v>2</v>
      </c>
      <c r="AJ134">
        <v>1</v>
      </c>
      <c r="AK134">
        <v>3</v>
      </c>
      <c r="AL134" t="s">
        <v>176</v>
      </c>
      <c r="AM134" t="s">
        <v>1610</v>
      </c>
      <c r="AN134" t="s">
        <v>1611</v>
      </c>
      <c r="AO134" t="s">
        <v>2974</v>
      </c>
      <c r="AP134" t="s">
        <v>2975</v>
      </c>
      <c r="AQ134" t="s">
        <v>74</v>
      </c>
      <c r="AR134" t="s">
        <v>2962</v>
      </c>
      <c r="AS134" t="s">
        <v>2976</v>
      </c>
      <c r="AT134" t="s">
        <v>2977</v>
      </c>
      <c r="AU134">
        <v>2024</v>
      </c>
      <c r="AV134">
        <v>371</v>
      </c>
      <c r="AW134" t="s">
        <v>74</v>
      </c>
      <c r="AX134" t="s">
        <v>2317</v>
      </c>
      <c r="AY134" t="s">
        <v>74</v>
      </c>
      <c r="AZ134" t="s">
        <v>74</v>
      </c>
      <c r="BA134" t="s">
        <v>74</v>
      </c>
      <c r="BB134" t="s">
        <v>74</v>
      </c>
      <c r="BC134" t="s">
        <v>74</v>
      </c>
      <c r="BD134">
        <v>131848</v>
      </c>
      <c r="BE134" t="s">
        <v>2978</v>
      </c>
      <c r="BF134" t="str">
        <f>HYPERLINK("http://dx.doi.org/10.1016/j.fuel.2024.131848","http://dx.doi.org/10.1016/j.fuel.2024.131848")</f>
        <v>http://dx.doi.org/10.1016/j.fuel.2024.131848</v>
      </c>
      <c r="BG134" t="s">
        <v>74</v>
      </c>
      <c r="BH134" t="s">
        <v>566</v>
      </c>
      <c r="BI134">
        <v>18</v>
      </c>
      <c r="BJ134" t="s">
        <v>2979</v>
      </c>
      <c r="BK134" t="s">
        <v>102</v>
      </c>
      <c r="BL134" t="s">
        <v>2980</v>
      </c>
      <c r="BM134" t="s">
        <v>2981</v>
      </c>
      <c r="BN134" t="s">
        <v>74</v>
      </c>
      <c r="BO134" t="s">
        <v>1208</v>
      </c>
      <c r="BP134" t="s">
        <v>74</v>
      </c>
      <c r="BQ134" t="s">
        <v>74</v>
      </c>
      <c r="BR134" t="s">
        <v>106</v>
      </c>
      <c r="BS134" t="s">
        <v>2982</v>
      </c>
      <c r="BT134" t="str">
        <f>HYPERLINK("https%3A%2F%2Fwww.webofscience.com%2Fwos%2Fwoscc%2Ffull-record%2FWOS:001345563100001","View Full Record in Web of Science")</f>
        <v>View Full Record in Web of Science</v>
      </c>
    </row>
    <row r="135" spans="1:72" x14ac:dyDescent="0.2">
      <c r="A135" t="s">
        <v>72</v>
      </c>
      <c r="B135" t="s">
        <v>2983</v>
      </c>
      <c r="C135" t="s">
        <v>74</v>
      </c>
      <c r="D135" t="s">
        <v>74</v>
      </c>
      <c r="E135" t="s">
        <v>74</v>
      </c>
      <c r="F135" t="s">
        <v>2984</v>
      </c>
      <c r="G135" t="s">
        <v>74</v>
      </c>
      <c r="H135" t="s">
        <v>74</v>
      </c>
      <c r="I135" t="s">
        <v>2985</v>
      </c>
      <c r="J135" t="s">
        <v>574</v>
      </c>
      <c r="K135" t="s">
        <v>74</v>
      </c>
      <c r="L135" t="s">
        <v>74</v>
      </c>
      <c r="M135" t="s">
        <v>78</v>
      </c>
      <c r="N135" t="s">
        <v>79</v>
      </c>
      <c r="O135" t="s">
        <v>74</v>
      </c>
      <c r="P135" t="s">
        <v>74</v>
      </c>
      <c r="Q135" t="s">
        <v>74</v>
      </c>
      <c r="R135" t="s">
        <v>74</v>
      </c>
      <c r="S135" t="s">
        <v>74</v>
      </c>
      <c r="T135" t="s">
        <v>2986</v>
      </c>
      <c r="U135" t="s">
        <v>2987</v>
      </c>
      <c r="V135" t="s">
        <v>2988</v>
      </c>
      <c r="W135" t="s">
        <v>2989</v>
      </c>
      <c r="X135" t="s">
        <v>2990</v>
      </c>
      <c r="Y135" t="s">
        <v>2991</v>
      </c>
      <c r="Z135" t="s">
        <v>2992</v>
      </c>
      <c r="AA135" t="s">
        <v>74</v>
      </c>
      <c r="AB135" t="s">
        <v>2993</v>
      </c>
      <c r="AC135" t="s">
        <v>2994</v>
      </c>
      <c r="AD135" t="s">
        <v>2994</v>
      </c>
      <c r="AE135" t="s">
        <v>2995</v>
      </c>
      <c r="AF135" t="s">
        <v>74</v>
      </c>
      <c r="AG135">
        <v>60</v>
      </c>
      <c r="AH135">
        <v>0</v>
      </c>
      <c r="AI135">
        <v>0</v>
      </c>
      <c r="AJ135">
        <v>0</v>
      </c>
      <c r="AK135">
        <v>5</v>
      </c>
      <c r="AL135" t="s">
        <v>585</v>
      </c>
      <c r="AM135" t="s">
        <v>306</v>
      </c>
      <c r="AN135" t="s">
        <v>586</v>
      </c>
      <c r="AO135" t="s">
        <v>587</v>
      </c>
      <c r="AP135" t="s">
        <v>588</v>
      </c>
      <c r="AQ135" t="s">
        <v>74</v>
      </c>
      <c r="AR135" t="s">
        <v>589</v>
      </c>
      <c r="AS135" t="s">
        <v>590</v>
      </c>
      <c r="AT135" t="s">
        <v>591</v>
      </c>
      <c r="AU135">
        <v>2024</v>
      </c>
      <c r="AV135">
        <v>15</v>
      </c>
      <c r="AW135">
        <v>1</v>
      </c>
      <c r="AX135" t="s">
        <v>74</v>
      </c>
      <c r="AY135" t="s">
        <v>74</v>
      </c>
      <c r="AZ135" t="s">
        <v>74</v>
      </c>
      <c r="BA135" t="s">
        <v>74</v>
      </c>
      <c r="BB135" t="s">
        <v>74</v>
      </c>
      <c r="BC135" t="s">
        <v>74</v>
      </c>
      <c r="BD135">
        <v>2436872</v>
      </c>
      <c r="BE135" t="s">
        <v>2996</v>
      </c>
      <c r="BF135" t="str">
        <f>HYPERLINK("http://dx.doi.org/10.1080/17583004.2024.2436872","http://dx.doi.org/10.1080/17583004.2024.2436872")</f>
        <v>http://dx.doi.org/10.1080/17583004.2024.2436872</v>
      </c>
      <c r="BG135" t="s">
        <v>74</v>
      </c>
      <c r="BH135" t="s">
        <v>74</v>
      </c>
      <c r="BI135">
        <v>13</v>
      </c>
      <c r="BJ135" t="s">
        <v>593</v>
      </c>
      <c r="BK135" t="s">
        <v>186</v>
      </c>
      <c r="BL135" t="s">
        <v>568</v>
      </c>
      <c r="BM135" t="s">
        <v>2997</v>
      </c>
      <c r="BN135" t="s">
        <v>74</v>
      </c>
      <c r="BO135" t="s">
        <v>161</v>
      </c>
      <c r="BP135" t="s">
        <v>74</v>
      </c>
      <c r="BQ135" t="s">
        <v>74</v>
      </c>
      <c r="BR135" t="s">
        <v>106</v>
      </c>
      <c r="BS135" t="s">
        <v>2998</v>
      </c>
      <c r="BT135" t="str">
        <f>HYPERLINK("https%3A%2F%2Fwww.webofscience.com%2Fwos%2Fwoscc%2Ffull-record%2FWOS:001373037900001","View Full Record in Web of Science")</f>
        <v>View Full Record in Web of Science</v>
      </c>
    </row>
    <row r="136" spans="1:72" x14ac:dyDescent="0.2">
      <c r="A136" t="s">
        <v>72</v>
      </c>
      <c r="B136" t="s">
        <v>2999</v>
      </c>
      <c r="C136" t="s">
        <v>74</v>
      </c>
      <c r="D136" t="s">
        <v>74</v>
      </c>
      <c r="E136" t="s">
        <v>74</v>
      </c>
      <c r="F136" t="s">
        <v>3000</v>
      </c>
      <c r="G136" t="s">
        <v>74</v>
      </c>
      <c r="H136" t="s">
        <v>74</v>
      </c>
      <c r="I136" t="s">
        <v>3001</v>
      </c>
      <c r="J136" t="s">
        <v>1526</v>
      </c>
      <c r="K136" t="s">
        <v>74</v>
      </c>
      <c r="L136" t="s">
        <v>74</v>
      </c>
      <c r="M136" t="s">
        <v>78</v>
      </c>
      <c r="N136" t="s">
        <v>79</v>
      </c>
      <c r="O136" t="s">
        <v>74</v>
      </c>
      <c r="P136" t="s">
        <v>74</v>
      </c>
      <c r="Q136" t="s">
        <v>74</v>
      </c>
      <c r="R136" t="s">
        <v>74</v>
      </c>
      <c r="S136" t="s">
        <v>74</v>
      </c>
      <c r="T136" t="s">
        <v>3002</v>
      </c>
      <c r="U136" t="s">
        <v>3003</v>
      </c>
      <c r="V136" t="s">
        <v>3004</v>
      </c>
      <c r="W136" t="s">
        <v>3005</v>
      </c>
      <c r="X136" t="s">
        <v>3006</v>
      </c>
      <c r="Y136" t="s">
        <v>3007</v>
      </c>
      <c r="Z136" t="s">
        <v>3008</v>
      </c>
      <c r="AA136" t="s">
        <v>74</v>
      </c>
      <c r="AB136" t="s">
        <v>74</v>
      </c>
      <c r="AC136" t="s">
        <v>3009</v>
      </c>
      <c r="AD136" t="s">
        <v>3010</v>
      </c>
      <c r="AE136" t="s">
        <v>3011</v>
      </c>
      <c r="AF136" t="s">
        <v>74</v>
      </c>
      <c r="AG136">
        <v>56</v>
      </c>
      <c r="AH136">
        <v>38</v>
      </c>
      <c r="AI136">
        <v>39</v>
      </c>
      <c r="AJ136">
        <v>91</v>
      </c>
      <c r="AK136">
        <v>248</v>
      </c>
      <c r="AL136" t="s">
        <v>176</v>
      </c>
      <c r="AM136" t="s">
        <v>1610</v>
      </c>
      <c r="AN136" t="s">
        <v>1611</v>
      </c>
      <c r="AO136" t="s">
        <v>1538</v>
      </c>
      <c r="AP136" t="s">
        <v>1539</v>
      </c>
      <c r="AQ136" t="s">
        <v>74</v>
      </c>
      <c r="AR136" t="s">
        <v>1540</v>
      </c>
      <c r="AS136" t="s">
        <v>1541</v>
      </c>
      <c r="AT136" t="s">
        <v>3012</v>
      </c>
      <c r="AU136">
        <v>2024</v>
      </c>
      <c r="AV136">
        <v>472</v>
      </c>
      <c r="AW136" t="s">
        <v>74</v>
      </c>
      <c r="AX136" t="s">
        <v>74</v>
      </c>
      <c r="AY136" t="s">
        <v>74</v>
      </c>
      <c r="AZ136" t="s">
        <v>74</v>
      </c>
      <c r="BA136" t="s">
        <v>74</v>
      </c>
      <c r="BB136" t="s">
        <v>74</v>
      </c>
      <c r="BC136" t="s">
        <v>74</v>
      </c>
      <c r="BD136">
        <v>143298</v>
      </c>
      <c r="BE136" t="s">
        <v>3013</v>
      </c>
      <c r="BF136" t="str">
        <f>HYPERLINK("http://dx.doi.org/10.1016/j.jclepro.2024.143298","http://dx.doi.org/10.1016/j.jclepro.2024.143298")</f>
        <v>http://dx.doi.org/10.1016/j.jclepro.2024.143298</v>
      </c>
      <c r="BG136" t="s">
        <v>74</v>
      </c>
      <c r="BH136" t="s">
        <v>1111</v>
      </c>
      <c r="BI136">
        <v>15</v>
      </c>
      <c r="BJ136" t="s">
        <v>1543</v>
      </c>
      <c r="BK136" t="s">
        <v>102</v>
      </c>
      <c r="BL136" t="s">
        <v>1544</v>
      </c>
      <c r="BM136" t="s">
        <v>3014</v>
      </c>
      <c r="BN136" t="s">
        <v>74</v>
      </c>
      <c r="BO136" t="s">
        <v>74</v>
      </c>
      <c r="BP136" t="s">
        <v>74</v>
      </c>
      <c r="BQ136" t="s">
        <v>74</v>
      </c>
      <c r="BR136" t="s">
        <v>106</v>
      </c>
      <c r="BS136" t="s">
        <v>3015</v>
      </c>
      <c r="BT136" t="str">
        <f>HYPERLINK("https%3A%2F%2Fwww.webofscience.com%2Fwos%2Fwoscc%2Ffull-record%2FWOS:001301933400001","View Full Record in Web of Science")</f>
        <v>View Full Record in Web of Science</v>
      </c>
    </row>
    <row r="137" spans="1:72" x14ac:dyDescent="0.2">
      <c r="A137" t="s">
        <v>72</v>
      </c>
      <c r="B137" t="s">
        <v>3016</v>
      </c>
      <c r="C137" t="s">
        <v>74</v>
      </c>
      <c r="D137" t="s">
        <v>74</v>
      </c>
      <c r="E137" t="s">
        <v>74</v>
      </c>
      <c r="F137" t="s">
        <v>3017</v>
      </c>
      <c r="G137" t="s">
        <v>74</v>
      </c>
      <c r="H137" t="s">
        <v>74</v>
      </c>
      <c r="I137" t="s">
        <v>3018</v>
      </c>
      <c r="J137" t="s">
        <v>848</v>
      </c>
      <c r="K137" t="s">
        <v>74</v>
      </c>
      <c r="L137" t="s">
        <v>74</v>
      </c>
      <c r="M137" t="s">
        <v>78</v>
      </c>
      <c r="N137" t="s">
        <v>79</v>
      </c>
      <c r="O137" t="s">
        <v>74</v>
      </c>
      <c r="P137" t="s">
        <v>74</v>
      </c>
      <c r="Q137" t="s">
        <v>74</v>
      </c>
      <c r="R137" t="s">
        <v>74</v>
      </c>
      <c r="S137" t="s">
        <v>74</v>
      </c>
      <c r="T137" t="s">
        <v>3019</v>
      </c>
      <c r="U137" t="s">
        <v>74</v>
      </c>
      <c r="V137" t="s">
        <v>3020</v>
      </c>
      <c r="W137" t="s">
        <v>3021</v>
      </c>
      <c r="X137" t="s">
        <v>3022</v>
      </c>
      <c r="Y137" t="s">
        <v>3023</v>
      </c>
      <c r="Z137" t="s">
        <v>3024</v>
      </c>
      <c r="AA137" t="s">
        <v>74</v>
      </c>
      <c r="AB137" t="s">
        <v>74</v>
      </c>
      <c r="AC137" t="s">
        <v>3025</v>
      </c>
      <c r="AD137" t="s">
        <v>3026</v>
      </c>
      <c r="AE137" t="s">
        <v>3027</v>
      </c>
      <c r="AF137" t="s">
        <v>74</v>
      </c>
      <c r="AG137">
        <v>40</v>
      </c>
      <c r="AH137">
        <v>1</v>
      </c>
      <c r="AI137">
        <v>1</v>
      </c>
      <c r="AJ137">
        <v>9</v>
      </c>
      <c r="AK137">
        <v>9</v>
      </c>
      <c r="AL137" t="s">
        <v>655</v>
      </c>
      <c r="AM137" t="s">
        <v>405</v>
      </c>
      <c r="AN137" t="s">
        <v>656</v>
      </c>
      <c r="AO137" t="s">
        <v>74</v>
      </c>
      <c r="AP137" t="s">
        <v>859</v>
      </c>
      <c r="AQ137" t="s">
        <v>74</v>
      </c>
      <c r="AR137" t="s">
        <v>860</v>
      </c>
      <c r="AS137" t="s">
        <v>861</v>
      </c>
      <c r="AT137" t="s">
        <v>3028</v>
      </c>
      <c r="AU137">
        <v>2025</v>
      </c>
      <c r="AV137">
        <v>9</v>
      </c>
      <c r="AW137" t="s">
        <v>74</v>
      </c>
      <c r="AX137" t="s">
        <v>74</v>
      </c>
      <c r="AY137" t="s">
        <v>74</v>
      </c>
      <c r="AZ137" t="s">
        <v>74</v>
      </c>
      <c r="BA137" t="s">
        <v>74</v>
      </c>
      <c r="BB137" t="s">
        <v>74</v>
      </c>
      <c r="BC137" t="s">
        <v>74</v>
      </c>
      <c r="BD137">
        <v>1578081</v>
      </c>
      <c r="BE137" t="s">
        <v>3029</v>
      </c>
      <c r="BF137" t="str">
        <f>HYPERLINK("http://dx.doi.org/10.3389/fsufs.2025.1578081","http://dx.doi.org/10.3389/fsufs.2025.1578081")</f>
        <v>http://dx.doi.org/10.3389/fsufs.2025.1578081</v>
      </c>
      <c r="BG137" t="s">
        <v>74</v>
      </c>
      <c r="BH137" t="s">
        <v>74</v>
      </c>
      <c r="BI137">
        <v>15</v>
      </c>
      <c r="BJ137" t="s">
        <v>864</v>
      </c>
      <c r="BK137" t="s">
        <v>102</v>
      </c>
      <c r="BL137" t="s">
        <v>864</v>
      </c>
      <c r="BM137" t="s">
        <v>3030</v>
      </c>
      <c r="BN137" t="s">
        <v>74</v>
      </c>
      <c r="BO137" t="s">
        <v>231</v>
      </c>
      <c r="BP137" t="s">
        <v>74</v>
      </c>
      <c r="BQ137" t="s">
        <v>74</v>
      </c>
      <c r="BR137" t="s">
        <v>106</v>
      </c>
      <c r="BS137" t="s">
        <v>3031</v>
      </c>
      <c r="BT137" t="str">
        <f>HYPERLINK("https%3A%2F%2Fwww.webofscience.com%2Fwos%2Fwoscc%2Ffull-record%2FWOS:001494267500001","View Full Record in Web of Science")</f>
        <v>View Full Record in Web of Science</v>
      </c>
    </row>
    <row r="138" spans="1:72" x14ac:dyDescent="0.2">
      <c r="A138" t="s">
        <v>72</v>
      </c>
      <c r="B138" t="s">
        <v>3032</v>
      </c>
      <c r="C138" t="s">
        <v>74</v>
      </c>
      <c r="D138" t="s">
        <v>74</v>
      </c>
      <c r="E138" t="s">
        <v>74</v>
      </c>
      <c r="F138" t="s">
        <v>3033</v>
      </c>
      <c r="G138" t="s">
        <v>74</v>
      </c>
      <c r="H138" t="s">
        <v>74</v>
      </c>
      <c r="I138" t="s">
        <v>3034</v>
      </c>
      <c r="J138" t="s">
        <v>3035</v>
      </c>
      <c r="K138" t="s">
        <v>74</v>
      </c>
      <c r="L138" t="s">
        <v>74</v>
      </c>
      <c r="M138" t="s">
        <v>78</v>
      </c>
      <c r="N138" t="s">
        <v>79</v>
      </c>
      <c r="O138" t="s">
        <v>74</v>
      </c>
      <c r="P138" t="s">
        <v>74</v>
      </c>
      <c r="Q138" t="s">
        <v>74</v>
      </c>
      <c r="R138" t="s">
        <v>74</v>
      </c>
      <c r="S138" t="s">
        <v>74</v>
      </c>
      <c r="T138" t="s">
        <v>3036</v>
      </c>
      <c r="U138" t="s">
        <v>74</v>
      </c>
      <c r="V138" t="s">
        <v>3037</v>
      </c>
      <c r="W138" t="s">
        <v>3038</v>
      </c>
      <c r="X138" t="s">
        <v>3039</v>
      </c>
      <c r="Y138" t="s">
        <v>3040</v>
      </c>
      <c r="Z138" t="s">
        <v>3041</v>
      </c>
      <c r="AA138" t="s">
        <v>3042</v>
      </c>
      <c r="AB138" t="s">
        <v>3043</v>
      </c>
      <c r="AC138" t="s">
        <v>3044</v>
      </c>
      <c r="AD138" t="s">
        <v>3045</v>
      </c>
      <c r="AE138" t="s">
        <v>3046</v>
      </c>
      <c r="AF138" t="s">
        <v>74</v>
      </c>
      <c r="AG138">
        <v>24</v>
      </c>
      <c r="AH138">
        <v>1</v>
      </c>
      <c r="AI138">
        <v>1</v>
      </c>
      <c r="AJ138">
        <v>0</v>
      </c>
      <c r="AK138">
        <v>0</v>
      </c>
      <c r="AL138" t="s">
        <v>1820</v>
      </c>
      <c r="AM138" t="s">
        <v>3047</v>
      </c>
      <c r="AN138" t="s">
        <v>3048</v>
      </c>
      <c r="AO138" t="s">
        <v>3049</v>
      </c>
      <c r="AP138" t="s">
        <v>3050</v>
      </c>
      <c r="AQ138" t="s">
        <v>74</v>
      </c>
      <c r="AR138" t="s">
        <v>3051</v>
      </c>
      <c r="AS138" t="s">
        <v>3052</v>
      </c>
      <c r="AT138" t="s">
        <v>74</v>
      </c>
      <c r="AU138">
        <v>2025</v>
      </c>
      <c r="AV138">
        <v>65</v>
      </c>
      <c r="AW138">
        <v>7</v>
      </c>
      <c r="AX138" t="s">
        <v>74</v>
      </c>
      <c r="AY138" t="s">
        <v>74</v>
      </c>
      <c r="AZ138" t="s">
        <v>74</v>
      </c>
      <c r="BA138" t="s">
        <v>74</v>
      </c>
      <c r="BB138" t="s">
        <v>74</v>
      </c>
      <c r="BC138" t="s">
        <v>74</v>
      </c>
      <c r="BD138" t="s">
        <v>3053</v>
      </c>
      <c r="BE138" t="s">
        <v>3054</v>
      </c>
      <c r="BF138" t="str">
        <f>HYPERLINK("http://dx.doi.org/10.1071/AN24346","http://dx.doi.org/10.1071/AN24346")</f>
        <v>http://dx.doi.org/10.1071/AN24346</v>
      </c>
      <c r="BG138" t="s">
        <v>74</v>
      </c>
      <c r="BH138" t="s">
        <v>74</v>
      </c>
      <c r="BI138">
        <v>9</v>
      </c>
      <c r="BJ138" t="s">
        <v>3055</v>
      </c>
      <c r="BK138" t="s">
        <v>102</v>
      </c>
      <c r="BL138" t="s">
        <v>103</v>
      </c>
      <c r="BM138" t="s">
        <v>3056</v>
      </c>
      <c r="BN138" t="s">
        <v>74</v>
      </c>
      <c r="BO138" t="s">
        <v>916</v>
      </c>
      <c r="BP138" t="s">
        <v>74</v>
      </c>
      <c r="BQ138" t="s">
        <v>74</v>
      </c>
      <c r="BR138" t="s">
        <v>106</v>
      </c>
      <c r="BS138" t="s">
        <v>3057</v>
      </c>
      <c r="BT138" t="str">
        <f>HYPERLINK("https%3A%2F%2Fwww.webofscience.com%2Fwos%2Fwoscc%2Ffull-record%2FWOS:001479436400001","View Full Record in Web of Science")</f>
        <v>View Full Record in Web of Science</v>
      </c>
    </row>
    <row r="139" spans="1:72" x14ac:dyDescent="0.2">
      <c r="A139" t="s">
        <v>72</v>
      </c>
      <c r="B139" t="s">
        <v>3058</v>
      </c>
      <c r="C139" t="s">
        <v>74</v>
      </c>
      <c r="D139" t="s">
        <v>74</v>
      </c>
      <c r="E139" t="s">
        <v>74</v>
      </c>
      <c r="F139" t="s">
        <v>3059</v>
      </c>
      <c r="G139" t="s">
        <v>74</v>
      </c>
      <c r="H139" t="s">
        <v>74</v>
      </c>
      <c r="I139" t="s">
        <v>3060</v>
      </c>
      <c r="J139" t="s">
        <v>3061</v>
      </c>
      <c r="K139" t="s">
        <v>74</v>
      </c>
      <c r="L139" t="s">
        <v>74</v>
      </c>
      <c r="M139" t="s">
        <v>78</v>
      </c>
      <c r="N139" t="s">
        <v>79</v>
      </c>
      <c r="O139" t="s">
        <v>74</v>
      </c>
      <c r="P139" t="s">
        <v>74</v>
      </c>
      <c r="Q139" t="s">
        <v>74</v>
      </c>
      <c r="R139" t="s">
        <v>74</v>
      </c>
      <c r="S139" t="s">
        <v>74</v>
      </c>
      <c r="T139" t="s">
        <v>3062</v>
      </c>
      <c r="U139" t="s">
        <v>3063</v>
      </c>
      <c r="V139" t="s">
        <v>3064</v>
      </c>
      <c r="W139" t="s">
        <v>3065</v>
      </c>
      <c r="X139" t="s">
        <v>3066</v>
      </c>
      <c r="Y139" t="s">
        <v>3067</v>
      </c>
      <c r="Z139" t="s">
        <v>3068</v>
      </c>
      <c r="AA139" t="s">
        <v>3069</v>
      </c>
      <c r="AB139" t="s">
        <v>3070</v>
      </c>
      <c r="AC139" t="s">
        <v>3071</v>
      </c>
      <c r="AD139" t="s">
        <v>3072</v>
      </c>
      <c r="AE139" t="s">
        <v>3073</v>
      </c>
      <c r="AF139" t="s">
        <v>74</v>
      </c>
      <c r="AG139">
        <v>110</v>
      </c>
      <c r="AH139">
        <v>57</v>
      </c>
      <c r="AI139">
        <v>63</v>
      </c>
      <c r="AJ139">
        <v>2</v>
      </c>
      <c r="AK139">
        <v>105</v>
      </c>
      <c r="AL139" t="s">
        <v>123</v>
      </c>
      <c r="AM139" t="s">
        <v>124</v>
      </c>
      <c r="AN139" t="s">
        <v>125</v>
      </c>
      <c r="AO139" t="s">
        <v>3074</v>
      </c>
      <c r="AP139" t="s">
        <v>3075</v>
      </c>
      <c r="AQ139" t="s">
        <v>74</v>
      </c>
      <c r="AR139" t="s">
        <v>3061</v>
      </c>
      <c r="AS139" t="s">
        <v>3076</v>
      </c>
      <c r="AT139" t="s">
        <v>3077</v>
      </c>
      <c r="AU139">
        <v>2020</v>
      </c>
      <c r="AV139">
        <v>369</v>
      </c>
      <c r="AW139" t="s">
        <v>74</v>
      </c>
      <c r="AX139" t="s">
        <v>74</v>
      </c>
      <c r="AY139" t="s">
        <v>74</v>
      </c>
      <c r="AZ139" t="s">
        <v>74</v>
      </c>
      <c r="BA139" t="s">
        <v>74</v>
      </c>
      <c r="BB139" t="s">
        <v>74</v>
      </c>
      <c r="BC139" t="s">
        <v>74</v>
      </c>
      <c r="BD139">
        <v>114333</v>
      </c>
      <c r="BE139" t="s">
        <v>3078</v>
      </c>
      <c r="BF139" t="str">
        <f>HYPERLINK("http://dx.doi.org/10.1016/j.geoderma.2020.114333","http://dx.doi.org/10.1016/j.geoderma.2020.114333")</f>
        <v>http://dx.doi.org/10.1016/j.geoderma.2020.114333</v>
      </c>
      <c r="BG139" t="s">
        <v>74</v>
      </c>
      <c r="BH139" t="s">
        <v>74</v>
      </c>
      <c r="BI139">
        <v>11</v>
      </c>
      <c r="BJ139" t="s">
        <v>256</v>
      </c>
      <c r="BK139" t="s">
        <v>102</v>
      </c>
      <c r="BL139" t="s">
        <v>103</v>
      </c>
      <c r="BM139" t="s">
        <v>3079</v>
      </c>
      <c r="BN139" t="s">
        <v>74</v>
      </c>
      <c r="BO139" t="s">
        <v>541</v>
      </c>
      <c r="BP139" t="s">
        <v>74</v>
      </c>
      <c r="BQ139" t="s">
        <v>74</v>
      </c>
      <c r="BR139" t="s">
        <v>106</v>
      </c>
      <c r="BS139" t="s">
        <v>3080</v>
      </c>
      <c r="BT139" t="str">
        <f>HYPERLINK("https%3A%2F%2Fwww.webofscience.com%2Fwos%2Fwoscc%2Ffull-record%2FWOS:000524458800005","View Full Record in Web of Science")</f>
        <v>View Full Record in Web of Science</v>
      </c>
    </row>
    <row r="140" spans="1:72" x14ac:dyDescent="0.2">
      <c r="A140" t="s">
        <v>72</v>
      </c>
      <c r="B140" t="s">
        <v>3081</v>
      </c>
      <c r="C140" t="s">
        <v>74</v>
      </c>
      <c r="D140" t="s">
        <v>74</v>
      </c>
      <c r="E140" t="s">
        <v>74</v>
      </c>
      <c r="F140" t="s">
        <v>3082</v>
      </c>
      <c r="G140" t="s">
        <v>74</v>
      </c>
      <c r="H140" t="s">
        <v>74</v>
      </c>
      <c r="I140" t="s">
        <v>3083</v>
      </c>
      <c r="J140" t="s">
        <v>2749</v>
      </c>
      <c r="K140" t="s">
        <v>74</v>
      </c>
      <c r="L140" t="s">
        <v>74</v>
      </c>
      <c r="M140" t="s">
        <v>78</v>
      </c>
      <c r="N140" t="s">
        <v>2506</v>
      </c>
      <c r="O140" t="s">
        <v>74</v>
      </c>
      <c r="P140" t="s">
        <v>74</v>
      </c>
      <c r="Q140" t="s">
        <v>74</v>
      </c>
      <c r="R140" t="s">
        <v>74</v>
      </c>
      <c r="S140" t="s">
        <v>74</v>
      </c>
      <c r="T140" t="s">
        <v>3084</v>
      </c>
      <c r="U140" t="s">
        <v>3085</v>
      </c>
      <c r="V140" t="s">
        <v>3086</v>
      </c>
      <c r="W140" t="s">
        <v>3087</v>
      </c>
      <c r="X140" t="s">
        <v>3088</v>
      </c>
      <c r="Y140" t="s">
        <v>3089</v>
      </c>
      <c r="Z140" t="s">
        <v>2756</v>
      </c>
      <c r="AA140" t="s">
        <v>74</v>
      </c>
      <c r="AB140" t="s">
        <v>3090</v>
      </c>
      <c r="AC140" t="s">
        <v>3091</v>
      </c>
      <c r="AD140" t="s">
        <v>3091</v>
      </c>
      <c r="AE140" t="s">
        <v>3092</v>
      </c>
      <c r="AF140" t="s">
        <v>74</v>
      </c>
      <c r="AG140">
        <v>150</v>
      </c>
      <c r="AH140">
        <v>63</v>
      </c>
      <c r="AI140">
        <v>67</v>
      </c>
      <c r="AJ140">
        <v>7</v>
      </c>
      <c r="AK140">
        <v>67</v>
      </c>
      <c r="AL140" t="s">
        <v>2762</v>
      </c>
      <c r="AM140" t="s">
        <v>2763</v>
      </c>
      <c r="AN140" t="s">
        <v>2764</v>
      </c>
      <c r="AO140" t="s">
        <v>2765</v>
      </c>
      <c r="AP140" t="s">
        <v>2766</v>
      </c>
      <c r="AQ140" t="s">
        <v>74</v>
      </c>
      <c r="AR140" t="s">
        <v>2767</v>
      </c>
      <c r="AS140" t="s">
        <v>2768</v>
      </c>
      <c r="AT140" t="s">
        <v>459</v>
      </c>
      <c r="AU140">
        <v>2023</v>
      </c>
      <c r="AV140">
        <v>43</v>
      </c>
      <c r="AW140">
        <v>1</v>
      </c>
      <c r="AX140" t="s">
        <v>74</v>
      </c>
      <c r="AY140" t="s">
        <v>74</v>
      </c>
      <c r="AZ140" t="s">
        <v>74</v>
      </c>
      <c r="BA140" t="s">
        <v>74</v>
      </c>
      <c r="BB140" t="s">
        <v>74</v>
      </c>
      <c r="BC140" t="s">
        <v>74</v>
      </c>
      <c r="BD140">
        <v>16</v>
      </c>
      <c r="BE140" t="s">
        <v>3093</v>
      </c>
      <c r="BF140" t="str">
        <f>HYPERLINK("http://dx.doi.org/10.1007/s13593-023-00868-x","http://dx.doi.org/10.1007/s13593-023-00868-x")</f>
        <v>http://dx.doi.org/10.1007/s13593-023-00868-x</v>
      </c>
      <c r="BG140" t="s">
        <v>74</v>
      </c>
      <c r="BH140" t="s">
        <v>74</v>
      </c>
      <c r="BI140">
        <v>26</v>
      </c>
      <c r="BJ140" t="s">
        <v>2770</v>
      </c>
      <c r="BK140" t="s">
        <v>102</v>
      </c>
      <c r="BL140" t="s">
        <v>1847</v>
      </c>
      <c r="BM140" t="s">
        <v>3094</v>
      </c>
      <c r="BN140" t="s">
        <v>74</v>
      </c>
      <c r="BO140" t="s">
        <v>2296</v>
      </c>
      <c r="BP140" t="s">
        <v>74</v>
      </c>
      <c r="BQ140" t="s">
        <v>74</v>
      </c>
      <c r="BR140" t="s">
        <v>106</v>
      </c>
      <c r="BS140" t="s">
        <v>3095</v>
      </c>
      <c r="BT140" t="str">
        <f>HYPERLINK("https%3A%2F%2Fwww.webofscience.com%2Fwos%2Fwoscc%2Ffull-record%2FWOS:000920664900001","View Full Record in Web of Science")</f>
        <v>View Full Record in Web of Science</v>
      </c>
    </row>
    <row r="141" spans="1:72" x14ac:dyDescent="0.2">
      <c r="A141" t="s">
        <v>72</v>
      </c>
      <c r="B141" t="s">
        <v>3096</v>
      </c>
      <c r="C141" t="s">
        <v>74</v>
      </c>
      <c r="D141" t="s">
        <v>74</v>
      </c>
      <c r="E141" t="s">
        <v>74</v>
      </c>
      <c r="F141" t="s">
        <v>3097</v>
      </c>
      <c r="G141" t="s">
        <v>74</v>
      </c>
      <c r="H141" t="s">
        <v>74</v>
      </c>
      <c r="I141" t="s">
        <v>3098</v>
      </c>
      <c r="J141" t="s">
        <v>995</v>
      </c>
      <c r="K141" t="s">
        <v>74</v>
      </c>
      <c r="L141" t="s">
        <v>74</v>
      </c>
      <c r="M141" t="s">
        <v>78</v>
      </c>
      <c r="N141" t="s">
        <v>79</v>
      </c>
      <c r="O141" t="s">
        <v>74</v>
      </c>
      <c r="P141" t="s">
        <v>74</v>
      </c>
      <c r="Q141" t="s">
        <v>74</v>
      </c>
      <c r="R141" t="s">
        <v>74</v>
      </c>
      <c r="S141" t="s">
        <v>74</v>
      </c>
      <c r="T141" t="s">
        <v>3099</v>
      </c>
      <c r="U141" t="s">
        <v>3100</v>
      </c>
      <c r="V141" t="s">
        <v>3101</v>
      </c>
      <c r="W141" t="s">
        <v>3102</v>
      </c>
      <c r="X141" t="s">
        <v>2652</v>
      </c>
      <c r="Y141" t="s">
        <v>3103</v>
      </c>
      <c r="Z141" t="s">
        <v>3104</v>
      </c>
      <c r="AA141" t="s">
        <v>3105</v>
      </c>
      <c r="AB141" t="s">
        <v>3106</v>
      </c>
      <c r="AC141" t="s">
        <v>3107</v>
      </c>
      <c r="AD141" t="s">
        <v>3108</v>
      </c>
      <c r="AE141" t="s">
        <v>3109</v>
      </c>
      <c r="AF141" t="s">
        <v>74</v>
      </c>
      <c r="AG141">
        <v>45</v>
      </c>
      <c r="AH141">
        <v>58</v>
      </c>
      <c r="AI141">
        <v>69</v>
      </c>
      <c r="AJ141">
        <v>11</v>
      </c>
      <c r="AK141">
        <v>340</v>
      </c>
      <c r="AL141" t="s">
        <v>123</v>
      </c>
      <c r="AM141" t="s">
        <v>124</v>
      </c>
      <c r="AN141" t="s">
        <v>125</v>
      </c>
      <c r="AO141" t="s">
        <v>1008</v>
      </c>
      <c r="AP141" t="s">
        <v>1009</v>
      </c>
      <c r="AQ141" t="s">
        <v>74</v>
      </c>
      <c r="AR141" t="s">
        <v>1010</v>
      </c>
      <c r="AS141" t="s">
        <v>1011</v>
      </c>
      <c r="AT141" t="s">
        <v>1612</v>
      </c>
      <c r="AU141">
        <v>2017</v>
      </c>
      <c r="AV141">
        <v>595</v>
      </c>
      <c r="AW141" t="s">
        <v>74</v>
      </c>
      <c r="AX141" t="s">
        <v>74</v>
      </c>
      <c r="AY141" t="s">
        <v>74</v>
      </c>
      <c r="AZ141" t="s">
        <v>74</v>
      </c>
      <c r="BA141" t="s">
        <v>74</v>
      </c>
      <c r="BB141">
        <v>371</v>
      </c>
      <c r="BC141">
        <v>379</v>
      </c>
      <c r="BD141" t="s">
        <v>74</v>
      </c>
      <c r="BE141" t="s">
        <v>3110</v>
      </c>
      <c r="BF141" t="str">
        <f>HYPERLINK("http://dx.doi.org/10.1016/j.scitotenv.2017.03.280","http://dx.doi.org/10.1016/j.scitotenv.2017.03.280")</f>
        <v>http://dx.doi.org/10.1016/j.scitotenv.2017.03.280</v>
      </c>
      <c r="BG141" t="s">
        <v>74</v>
      </c>
      <c r="BH141" t="s">
        <v>74</v>
      </c>
      <c r="BI141">
        <v>9</v>
      </c>
      <c r="BJ141" t="s">
        <v>567</v>
      </c>
      <c r="BK141" t="s">
        <v>102</v>
      </c>
      <c r="BL141" t="s">
        <v>568</v>
      </c>
      <c r="BM141" t="s">
        <v>3111</v>
      </c>
      <c r="BN141">
        <v>28390314</v>
      </c>
      <c r="BO141" t="s">
        <v>74</v>
      </c>
      <c r="BP141" t="s">
        <v>74</v>
      </c>
      <c r="BQ141" t="s">
        <v>74</v>
      </c>
      <c r="BR141" t="s">
        <v>106</v>
      </c>
      <c r="BS141" t="s">
        <v>3112</v>
      </c>
      <c r="BT141" t="str">
        <f>HYPERLINK("https%3A%2F%2Fwww.webofscience.com%2Fwos%2Fwoscc%2Ffull-record%2FWOS:000401556800037","View Full Record in Web of Science")</f>
        <v>View Full Record in Web of Science</v>
      </c>
    </row>
    <row r="142" spans="1:72" x14ac:dyDescent="0.2">
      <c r="A142" t="s">
        <v>72</v>
      </c>
      <c r="B142" t="s">
        <v>3113</v>
      </c>
      <c r="C142" t="s">
        <v>74</v>
      </c>
      <c r="D142" t="s">
        <v>74</v>
      </c>
      <c r="E142" t="s">
        <v>74</v>
      </c>
      <c r="F142" t="s">
        <v>3114</v>
      </c>
      <c r="G142" t="s">
        <v>74</v>
      </c>
      <c r="H142" t="s">
        <v>74</v>
      </c>
      <c r="I142" t="s">
        <v>3115</v>
      </c>
      <c r="J142" t="s">
        <v>2923</v>
      </c>
      <c r="K142" t="s">
        <v>74</v>
      </c>
      <c r="L142" t="s">
        <v>74</v>
      </c>
      <c r="M142" t="s">
        <v>78</v>
      </c>
      <c r="N142" t="s">
        <v>79</v>
      </c>
      <c r="O142" t="s">
        <v>74</v>
      </c>
      <c r="P142" t="s">
        <v>74</v>
      </c>
      <c r="Q142" t="s">
        <v>74</v>
      </c>
      <c r="R142" t="s">
        <v>74</v>
      </c>
      <c r="S142" t="s">
        <v>74</v>
      </c>
      <c r="T142" t="s">
        <v>3116</v>
      </c>
      <c r="U142" t="s">
        <v>3117</v>
      </c>
      <c r="V142" t="s">
        <v>3118</v>
      </c>
      <c r="W142" t="s">
        <v>3119</v>
      </c>
      <c r="X142" t="s">
        <v>3120</v>
      </c>
      <c r="Y142" t="s">
        <v>3121</v>
      </c>
      <c r="Z142" t="s">
        <v>3122</v>
      </c>
      <c r="AA142" t="s">
        <v>74</v>
      </c>
      <c r="AB142" t="s">
        <v>74</v>
      </c>
      <c r="AC142" t="s">
        <v>3123</v>
      </c>
      <c r="AD142" t="s">
        <v>3124</v>
      </c>
      <c r="AE142" t="s">
        <v>3125</v>
      </c>
      <c r="AF142" t="s">
        <v>74</v>
      </c>
      <c r="AG142">
        <v>36</v>
      </c>
      <c r="AH142">
        <v>27</v>
      </c>
      <c r="AI142">
        <v>31</v>
      </c>
      <c r="AJ142">
        <v>11</v>
      </c>
      <c r="AK142">
        <v>109</v>
      </c>
      <c r="AL142" t="s">
        <v>222</v>
      </c>
      <c r="AM142" t="s">
        <v>223</v>
      </c>
      <c r="AN142" t="s">
        <v>478</v>
      </c>
      <c r="AO142" t="s">
        <v>74</v>
      </c>
      <c r="AP142" t="s">
        <v>2935</v>
      </c>
      <c r="AQ142" t="s">
        <v>74</v>
      </c>
      <c r="AR142" t="s">
        <v>2936</v>
      </c>
      <c r="AS142" t="s">
        <v>2937</v>
      </c>
      <c r="AT142" t="s">
        <v>1109</v>
      </c>
      <c r="AU142">
        <v>2021</v>
      </c>
      <c r="AV142">
        <v>18</v>
      </c>
      <c r="AW142">
        <v>24</v>
      </c>
      <c r="AX142" t="s">
        <v>74</v>
      </c>
      <c r="AY142" t="s">
        <v>74</v>
      </c>
      <c r="AZ142" t="s">
        <v>74</v>
      </c>
      <c r="BA142" t="s">
        <v>74</v>
      </c>
      <c r="BB142" t="s">
        <v>74</v>
      </c>
      <c r="BC142" t="s">
        <v>74</v>
      </c>
      <c r="BD142">
        <v>13364</v>
      </c>
      <c r="BE142" t="s">
        <v>3126</v>
      </c>
      <c r="BF142" t="str">
        <f>HYPERLINK("http://dx.doi.org/10.3390/ijerph182413364","http://dx.doi.org/10.3390/ijerph182413364")</f>
        <v>http://dx.doi.org/10.3390/ijerph182413364</v>
      </c>
      <c r="BG142" t="s">
        <v>74</v>
      </c>
      <c r="BH142" t="s">
        <v>74</v>
      </c>
      <c r="BI142">
        <v>19</v>
      </c>
      <c r="BJ142" t="s">
        <v>1042</v>
      </c>
      <c r="BK142" t="s">
        <v>186</v>
      </c>
      <c r="BL142" t="s">
        <v>1043</v>
      </c>
      <c r="BM142" t="s">
        <v>3127</v>
      </c>
      <c r="BN142">
        <v>34948973</v>
      </c>
      <c r="BO142" t="s">
        <v>161</v>
      </c>
      <c r="BP142" t="s">
        <v>74</v>
      </c>
      <c r="BQ142" t="s">
        <v>74</v>
      </c>
      <c r="BR142" t="s">
        <v>106</v>
      </c>
      <c r="BS142" t="s">
        <v>3128</v>
      </c>
      <c r="BT142" t="str">
        <f>HYPERLINK("https%3A%2F%2Fwww.webofscience.com%2Fwos%2Fwoscc%2Ffull-record%2FWOS:000738264800001","View Full Record in Web of Science")</f>
        <v>View Full Record in Web of Science</v>
      </c>
    </row>
    <row r="143" spans="1:72" x14ac:dyDescent="0.2">
      <c r="A143" t="s">
        <v>72</v>
      </c>
      <c r="B143" t="s">
        <v>3129</v>
      </c>
      <c r="C143" t="s">
        <v>74</v>
      </c>
      <c r="D143" t="s">
        <v>74</v>
      </c>
      <c r="E143" t="s">
        <v>74</v>
      </c>
      <c r="F143" t="s">
        <v>3130</v>
      </c>
      <c r="G143" t="s">
        <v>74</v>
      </c>
      <c r="H143" t="s">
        <v>74</v>
      </c>
      <c r="I143" t="s">
        <v>3131</v>
      </c>
      <c r="J143" t="s">
        <v>3132</v>
      </c>
      <c r="K143" t="s">
        <v>74</v>
      </c>
      <c r="L143" t="s">
        <v>74</v>
      </c>
      <c r="M143" t="s">
        <v>78</v>
      </c>
      <c r="N143" t="s">
        <v>79</v>
      </c>
      <c r="O143" t="s">
        <v>74</v>
      </c>
      <c r="P143" t="s">
        <v>74</v>
      </c>
      <c r="Q143" t="s">
        <v>74</v>
      </c>
      <c r="R143" t="s">
        <v>74</v>
      </c>
      <c r="S143" t="s">
        <v>74</v>
      </c>
      <c r="T143" t="s">
        <v>3133</v>
      </c>
      <c r="U143" t="s">
        <v>3134</v>
      </c>
      <c r="V143" t="s">
        <v>3135</v>
      </c>
      <c r="W143" t="s">
        <v>3136</v>
      </c>
      <c r="X143" t="s">
        <v>3137</v>
      </c>
      <c r="Y143" t="s">
        <v>3138</v>
      </c>
      <c r="Z143" t="s">
        <v>3139</v>
      </c>
      <c r="AA143" t="s">
        <v>3140</v>
      </c>
      <c r="AB143" t="s">
        <v>3141</v>
      </c>
      <c r="AC143" t="s">
        <v>3142</v>
      </c>
      <c r="AD143" t="s">
        <v>3143</v>
      </c>
      <c r="AE143" t="s">
        <v>3144</v>
      </c>
      <c r="AF143" t="s">
        <v>74</v>
      </c>
      <c r="AG143">
        <v>76</v>
      </c>
      <c r="AH143">
        <v>0</v>
      </c>
      <c r="AI143">
        <v>1</v>
      </c>
      <c r="AJ143">
        <v>5</v>
      </c>
      <c r="AK143">
        <v>17</v>
      </c>
      <c r="AL143" t="s">
        <v>1062</v>
      </c>
      <c r="AM143" t="s">
        <v>1063</v>
      </c>
      <c r="AN143" t="s">
        <v>1064</v>
      </c>
      <c r="AO143" t="s">
        <v>3145</v>
      </c>
      <c r="AP143" t="s">
        <v>3146</v>
      </c>
      <c r="AQ143" t="s">
        <v>74</v>
      </c>
      <c r="AR143" t="s">
        <v>3147</v>
      </c>
      <c r="AS143" t="s">
        <v>3148</v>
      </c>
      <c r="AT143" t="s">
        <v>3149</v>
      </c>
      <c r="AU143">
        <v>2024</v>
      </c>
      <c r="AV143">
        <v>126</v>
      </c>
      <c r="AW143">
        <v>11</v>
      </c>
      <c r="AX143" t="s">
        <v>74</v>
      </c>
      <c r="AY143" t="s">
        <v>74</v>
      </c>
      <c r="AZ143" t="s">
        <v>74</v>
      </c>
      <c r="BA143" t="s">
        <v>74</v>
      </c>
      <c r="BB143">
        <v>3953</v>
      </c>
      <c r="BC143">
        <v>3971</v>
      </c>
      <c r="BD143" t="s">
        <v>74</v>
      </c>
      <c r="BE143" t="s">
        <v>3150</v>
      </c>
      <c r="BF143" t="str">
        <f>HYPERLINK("http://dx.doi.org/10.1108/BFJ-04-2024-0369","http://dx.doi.org/10.1108/BFJ-04-2024-0369")</f>
        <v>http://dx.doi.org/10.1108/BFJ-04-2024-0369</v>
      </c>
      <c r="BG143" t="s">
        <v>74</v>
      </c>
      <c r="BH143" t="s">
        <v>2956</v>
      </c>
      <c r="BI143">
        <v>19</v>
      </c>
      <c r="BJ143" t="s">
        <v>3151</v>
      </c>
      <c r="BK143" t="s">
        <v>102</v>
      </c>
      <c r="BL143" t="s">
        <v>3152</v>
      </c>
      <c r="BM143" t="s">
        <v>3153</v>
      </c>
      <c r="BN143" t="s">
        <v>74</v>
      </c>
      <c r="BO143" t="s">
        <v>74</v>
      </c>
      <c r="BP143" t="s">
        <v>74</v>
      </c>
      <c r="BQ143" t="s">
        <v>74</v>
      </c>
      <c r="BR143" t="s">
        <v>106</v>
      </c>
      <c r="BS143" t="s">
        <v>3154</v>
      </c>
      <c r="BT143" t="str">
        <f>HYPERLINK("https%3A%2F%2Fwww.webofscience.com%2Fwos%2Fwoscc%2Ffull-record%2FWOS:001310389600001","View Full Record in Web of Science")</f>
        <v>View Full Record in Web of Science</v>
      </c>
    </row>
    <row r="144" spans="1:72" x14ac:dyDescent="0.2">
      <c r="A144" t="s">
        <v>72</v>
      </c>
      <c r="B144" t="s">
        <v>3155</v>
      </c>
      <c r="C144" t="s">
        <v>74</v>
      </c>
      <c r="D144" t="s">
        <v>74</v>
      </c>
      <c r="E144" t="s">
        <v>74</v>
      </c>
      <c r="F144" t="s">
        <v>3156</v>
      </c>
      <c r="G144" t="s">
        <v>74</v>
      </c>
      <c r="H144" t="s">
        <v>74</v>
      </c>
      <c r="I144" t="s">
        <v>3157</v>
      </c>
      <c r="J144" t="s">
        <v>3158</v>
      </c>
      <c r="K144" t="s">
        <v>74</v>
      </c>
      <c r="L144" t="s">
        <v>74</v>
      </c>
      <c r="M144" t="s">
        <v>78</v>
      </c>
      <c r="N144" t="s">
        <v>79</v>
      </c>
      <c r="O144" t="s">
        <v>74</v>
      </c>
      <c r="P144" t="s">
        <v>74</v>
      </c>
      <c r="Q144" t="s">
        <v>74</v>
      </c>
      <c r="R144" t="s">
        <v>74</v>
      </c>
      <c r="S144" t="s">
        <v>74</v>
      </c>
      <c r="T144" t="s">
        <v>3159</v>
      </c>
      <c r="U144" t="s">
        <v>74</v>
      </c>
      <c r="V144" t="s">
        <v>3160</v>
      </c>
      <c r="W144" t="s">
        <v>3161</v>
      </c>
      <c r="X144" t="s">
        <v>3162</v>
      </c>
      <c r="Y144" t="s">
        <v>3163</v>
      </c>
      <c r="Z144" t="s">
        <v>3164</v>
      </c>
      <c r="AA144" t="s">
        <v>3165</v>
      </c>
      <c r="AB144" t="s">
        <v>1702</v>
      </c>
      <c r="AC144" t="s">
        <v>3166</v>
      </c>
      <c r="AD144" t="s">
        <v>3167</v>
      </c>
      <c r="AE144" t="s">
        <v>3168</v>
      </c>
      <c r="AF144" t="s">
        <v>74</v>
      </c>
      <c r="AG144">
        <v>38</v>
      </c>
      <c r="AH144">
        <v>5</v>
      </c>
      <c r="AI144">
        <v>6</v>
      </c>
      <c r="AJ144">
        <v>38</v>
      </c>
      <c r="AK144">
        <v>152</v>
      </c>
      <c r="AL144" t="s">
        <v>3169</v>
      </c>
      <c r="AM144" t="s">
        <v>531</v>
      </c>
      <c r="AN144" t="s">
        <v>3170</v>
      </c>
      <c r="AO144" t="s">
        <v>74</v>
      </c>
      <c r="AP144" t="s">
        <v>3171</v>
      </c>
      <c r="AQ144" t="s">
        <v>74</v>
      </c>
      <c r="AR144" t="s">
        <v>3158</v>
      </c>
      <c r="AS144" t="s">
        <v>3172</v>
      </c>
      <c r="AT144" t="s">
        <v>2017</v>
      </c>
      <c r="AU144">
        <v>2024</v>
      </c>
      <c r="AV144">
        <v>12</v>
      </c>
      <c r="AW144">
        <v>10</v>
      </c>
      <c r="AX144" t="s">
        <v>74</v>
      </c>
      <c r="AY144" t="s">
        <v>74</v>
      </c>
      <c r="AZ144" t="s">
        <v>74</v>
      </c>
      <c r="BA144" t="s">
        <v>74</v>
      </c>
      <c r="BB144" t="s">
        <v>74</v>
      </c>
      <c r="BC144" t="s">
        <v>74</v>
      </c>
      <c r="BD144" t="s">
        <v>3173</v>
      </c>
      <c r="BE144" t="s">
        <v>3174</v>
      </c>
      <c r="BF144" t="str">
        <f>HYPERLINK("http://dx.doi.org/10.1029/2024EF004684","http://dx.doi.org/10.1029/2024EF004684")</f>
        <v>http://dx.doi.org/10.1029/2024EF004684</v>
      </c>
      <c r="BG144" t="s">
        <v>74</v>
      </c>
      <c r="BH144" t="s">
        <v>74</v>
      </c>
      <c r="BI144">
        <v>21</v>
      </c>
      <c r="BJ144" t="s">
        <v>3175</v>
      </c>
      <c r="BK144" t="s">
        <v>102</v>
      </c>
      <c r="BL144" t="s">
        <v>3176</v>
      </c>
      <c r="BM144" t="s">
        <v>3177</v>
      </c>
      <c r="BN144" t="s">
        <v>74</v>
      </c>
      <c r="BO144" t="s">
        <v>231</v>
      </c>
      <c r="BP144" t="s">
        <v>74</v>
      </c>
      <c r="BQ144" t="s">
        <v>74</v>
      </c>
      <c r="BR144" t="s">
        <v>106</v>
      </c>
      <c r="BS144" t="s">
        <v>3178</v>
      </c>
      <c r="BT144" t="str">
        <f>HYPERLINK("https%3A%2F%2Fwww.webofscience.com%2Fwos%2Fwoscc%2Ffull-record%2FWOS:001320208000001","View Full Record in Web of Science")</f>
        <v>View Full Record in Web of Science</v>
      </c>
    </row>
    <row r="145" spans="1:72" x14ac:dyDescent="0.2">
      <c r="A145" t="s">
        <v>72</v>
      </c>
      <c r="B145" t="s">
        <v>3179</v>
      </c>
      <c r="C145" t="s">
        <v>74</v>
      </c>
      <c r="D145" t="s">
        <v>74</v>
      </c>
      <c r="E145" t="s">
        <v>74</v>
      </c>
      <c r="F145" t="s">
        <v>3180</v>
      </c>
      <c r="G145" t="s">
        <v>74</v>
      </c>
      <c r="H145" t="s">
        <v>74</v>
      </c>
      <c r="I145" t="s">
        <v>3181</v>
      </c>
      <c r="J145" t="s">
        <v>3182</v>
      </c>
      <c r="K145" t="s">
        <v>74</v>
      </c>
      <c r="L145" t="s">
        <v>74</v>
      </c>
      <c r="M145" t="s">
        <v>78</v>
      </c>
      <c r="N145" t="s">
        <v>79</v>
      </c>
      <c r="O145" t="s">
        <v>74</v>
      </c>
      <c r="P145" t="s">
        <v>74</v>
      </c>
      <c r="Q145" t="s">
        <v>74</v>
      </c>
      <c r="R145" t="s">
        <v>74</v>
      </c>
      <c r="S145" t="s">
        <v>74</v>
      </c>
      <c r="T145" t="s">
        <v>3183</v>
      </c>
      <c r="U145" t="s">
        <v>3184</v>
      </c>
      <c r="V145" t="s">
        <v>3185</v>
      </c>
      <c r="W145" t="s">
        <v>3186</v>
      </c>
      <c r="X145" t="s">
        <v>3187</v>
      </c>
      <c r="Y145" t="s">
        <v>3188</v>
      </c>
      <c r="Z145" t="s">
        <v>3189</v>
      </c>
      <c r="AA145" t="s">
        <v>3190</v>
      </c>
      <c r="AB145" t="s">
        <v>3191</v>
      </c>
      <c r="AC145" t="s">
        <v>3192</v>
      </c>
      <c r="AD145" t="s">
        <v>3193</v>
      </c>
      <c r="AE145" t="s">
        <v>3194</v>
      </c>
      <c r="AF145" t="s">
        <v>74</v>
      </c>
      <c r="AG145">
        <v>59</v>
      </c>
      <c r="AH145">
        <v>35</v>
      </c>
      <c r="AI145">
        <v>47</v>
      </c>
      <c r="AJ145">
        <v>5</v>
      </c>
      <c r="AK145">
        <v>56</v>
      </c>
      <c r="AL145" t="s">
        <v>2162</v>
      </c>
      <c r="AM145" t="s">
        <v>124</v>
      </c>
      <c r="AN145" t="s">
        <v>2163</v>
      </c>
      <c r="AO145" t="s">
        <v>3195</v>
      </c>
      <c r="AP145" t="s">
        <v>3196</v>
      </c>
      <c r="AQ145" t="s">
        <v>74</v>
      </c>
      <c r="AR145" t="s">
        <v>3197</v>
      </c>
      <c r="AS145" t="s">
        <v>3198</v>
      </c>
      <c r="AT145" t="s">
        <v>3199</v>
      </c>
      <c r="AU145">
        <v>2018</v>
      </c>
      <c r="AV145">
        <v>253</v>
      </c>
      <c r="AW145" t="s">
        <v>74</v>
      </c>
      <c r="AX145" t="s">
        <v>74</v>
      </c>
      <c r="AY145" t="s">
        <v>74</v>
      </c>
      <c r="AZ145" t="s">
        <v>74</v>
      </c>
      <c r="BA145" t="s">
        <v>74</v>
      </c>
      <c r="BB145">
        <v>151</v>
      </c>
      <c r="BC145">
        <v>160</v>
      </c>
      <c r="BD145" t="s">
        <v>74</v>
      </c>
      <c r="BE145" t="s">
        <v>3200</v>
      </c>
      <c r="BF145" t="str">
        <f>HYPERLINK("http://dx.doi.org/10.1016/j.agrformet.2018.02.016","http://dx.doi.org/10.1016/j.agrformet.2018.02.016")</f>
        <v>http://dx.doi.org/10.1016/j.agrformet.2018.02.016</v>
      </c>
      <c r="BG145" t="s">
        <v>74</v>
      </c>
      <c r="BH145" t="s">
        <v>74</v>
      </c>
      <c r="BI145">
        <v>10</v>
      </c>
      <c r="BJ145" t="s">
        <v>3201</v>
      </c>
      <c r="BK145" t="s">
        <v>102</v>
      </c>
      <c r="BL145" t="s">
        <v>3202</v>
      </c>
      <c r="BM145" t="s">
        <v>3203</v>
      </c>
      <c r="BN145" t="s">
        <v>74</v>
      </c>
      <c r="BO145" t="s">
        <v>2296</v>
      </c>
      <c r="BP145" t="s">
        <v>74</v>
      </c>
      <c r="BQ145" t="s">
        <v>74</v>
      </c>
      <c r="BR145" t="s">
        <v>106</v>
      </c>
      <c r="BS145" t="s">
        <v>3204</v>
      </c>
      <c r="BT145" t="str">
        <f>HYPERLINK("https%3A%2F%2Fwww.webofscience.com%2Fwos%2Fwoscc%2Ffull-record%2FWOS:000430783800014","View Full Record in Web of Science")</f>
        <v>View Full Record in Web of Science</v>
      </c>
    </row>
    <row r="146" spans="1:72" x14ac:dyDescent="0.2">
      <c r="A146" t="s">
        <v>72</v>
      </c>
      <c r="B146" t="s">
        <v>3205</v>
      </c>
      <c r="C146" t="s">
        <v>74</v>
      </c>
      <c r="D146" t="s">
        <v>74</v>
      </c>
      <c r="E146" t="s">
        <v>74</v>
      </c>
      <c r="F146" t="s">
        <v>3206</v>
      </c>
      <c r="G146" t="s">
        <v>74</v>
      </c>
      <c r="H146" t="s">
        <v>74</v>
      </c>
      <c r="I146" t="s">
        <v>3207</v>
      </c>
      <c r="J146" t="s">
        <v>3208</v>
      </c>
      <c r="K146" t="s">
        <v>74</v>
      </c>
      <c r="L146" t="s">
        <v>74</v>
      </c>
      <c r="M146" t="s">
        <v>78</v>
      </c>
      <c r="N146" t="s">
        <v>79</v>
      </c>
      <c r="O146" t="s">
        <v>74</v>
      </c>
      <c r="P146" t="s">
        <v>74</v>
      </c>
      <c r="Q146" t="s">
        <v>74</v>
      </c>
      <c r="R146" t="s">
        <v>74</v>
      </c>
      <c r="S146" t="s">
        <v>74</v>
      </c>
      <c r="T146" t="s">
        <v>3209</v>
      </c>
      <c r="U146" t="s">
        <v>3210</v>
      </c>
      <c r="V146" t="s">
        <v>3211</v>
      </c>
      <c r="W146" t="s">
        <v>3212</v>
      </c>
      <c r="X146" t="s">
        <v>3213</v>
      </c>
      <c r="Y146" t="s">
        <v>3214</v>
      </c>
      <c r="Z146" t="s">
        <v>3215</v>
      </c>
      <c r="AA146" t="s">
        <v>3216</v>
      </c>
      <c r="AB146" t="s">
        <v>74</v>
      </c>
      <c r="AC146" t="s">
        <v>74</v>
      </c>
      <c r="AD146" t="s">
        <v>74</v>
      </c>
      <c r="AE146" t="s">
        <v>74</v>
      </c>
      <c r="AF146" t="s">
        <v>74</v>
      </c>
      <c r="AG146">
        <v>46</v>
      </c>
      <c r="AH146">
        <v>18</v>
      </c>
      <c r="AI146">
        <v>18</v>
      </c>
      <c r="AJ146">
        <v>3</v>
      </c>
      <c r="AK146">
        <v>8</v>
      </c>
      <c r="AL146" t="s">
        <v>3217</v>
      </c>
      <c r="AM146" t="s">
        <v>3218</v>
      </c>
      <c r="AN146" t="s">
        <v>3219</v>
      </c>
      <c r="AO146" t="s">
        <v>3220</v>
      </c>
      <c r="AP146" t="s">
        <v>3221</v>
      </c>
      <c r="AQ146" t="s">
        <v>74</v>
      </c>
      <c r="AR146" t="s">
        <v>3222</v>
      </c>
      <c r="AS146" t="s">
        <v>3223</v>
      </c>
      <c r="AT146" t="s">
        <v>1963</v>
      </c>
      <c r="AU146">
        <v>2024</v>
      </c>
      <c r="AV146">
        <v>44</v>
      </c>
      <c r="AW146">
        <v>1</v>
      </c>
      <c r="AX146" t="s">
        <v>74</v>
      </c>
      <c r="AY146" t="s">
        <v>74</v>
      </c>
      <c r="AZ146" t="s">
        <v>74</v>
      </c>
      <c r="BA146" t="s">
        <v>74</v>
      </c>
      <c r="BB146">
        <v>34</v>
      </c>
      <c r="BC146">
        <v>47</v>
      </c>
      <c r="BD146" t="s">
        <v>74</v>
      </c>
      <c r="BE146" t="s">
        <v>3224</v>
      </c>
      <c r="BF146" t="str">
        <f>HYPERLINK("http://dx.doi.org/10.3808/jei.202400518","http://dx.doi.org/10.3808/jei.202400518")</f>
        <v>http://dx.doi.org/10.3808/jei.202400518</v>
      </c>
      <c r="BG146" t="s">
        <v>74</v>
      </c>
      <c r="BH146" t="s">
        <v>74</v>
      </c>
      <c r="BI146">
        <v>14</v>
      </c>
      <c r="BJ146" t="s">
        <v>567</v>
      </c>
      <c r="BK146" t="s">
        <v>102</v>
      </c>
      <c r="BL146" t="s">
        <v>568</v>
      </c>
      <c r="BM146" t="s">
        <v>3225</v>
      </c>
      <c r="BN146" t="s">
        <v>74</v>
      </c>
      <c r="BO146" t="s">
        <v>74</v>
      </c>
      <c r="BP146" t="s">
        <v>74</v>
      </c>
      <c r="BQ146" t="s">
        <v>74</v>
      </c>
      <c r="BR146" t="s">
        <v>106</v>
      </c>
      <c r="BS146" t="s">
        <v>3226</v>
      </c>
      <c r="BT146" t="str">
        <f>HYPERLINK("https%3A%2F%2Fwww.webofscience.com%2Fwos%2Fwoscc%2Ffull-record%2FWOS:001267541200003","View Full Record in Web of Science")</f>
        <v>View Full Record in Web of Science</v>
      </c>
    </row>
    <row r="147" spans="1:72" x14ac:dyDescent="0.2">
      <c r="A147" t="s">
        <v>72</v>
      </c>
      <c r="B147" t="s">
        <v>3227</v>
      </c>
      <c r="C147" t="s">
        <v>74</v>
      </c>
      <c r="D147" t="s">
        <v>74</v>
      </c>
      <c r="E147" t="s">
        <v>74</v>
      </c>
      <c r="F147" t="s">
        <v>3228</v>
      </c>
      <c r="G147" t="s">
        <v>74</v>
      </c>
      <c r="H147" t="s">
        <v>74</v>
      </c>
      <c r="I147" t="s">
        <v>3229</v>
      </c>
      <c r="J147" t="s">
        <v>1526</v>
      </c>
      <c r="K147" t="s">
        <v>74</v>
      </c>
      <c r="L147" t="s">
        <v>74</v>
      </c>
      <c r="M147" t="s">
        <v>78</v>
      </c>
      <c r="N147" t="s">
        <v>79</v>
      </c>
      <c r="O147" t="s">
        <v>74</v>
      </c>
      <c r="P147" t="s">
        <v>74</v>
      </c>
      <c r="Q147" t="s">
        <v>74</v>
      </c>
      <c r="R147" t="s">
        <v>74</v>
      </c>
      <c r="S147" t="s">
        <v>74</v>
      </c>
      <c r="T147" t="s">
        <v>3230</v>
      </c>
      <c r="U147" t="s">
        <v>3231</v>
      </c>
      <c r="V147" t="s">
        <v>3232</v>
      </c>
      <c r="W147" t="s">
        <v>3233</v>
      </c>
      <c r="X147" t="s">
        <v>3234</v>
      </c>
      <c r="Y147" t="s">
        <v>3235</v>
      </c>
      <c r="Z147" t="s">
        <v>3236</v>
      </c>
      <c r="AA147" t="s">
        <v>3237</v>
      </c>
      <c r="AB147" t="s">
        <v>3238</v>
      </c>
      <c r="AC147" t="s">
        <v>3239</v>
      </c>
      <c r="AD147" t="s">
        <v>3240</v>
      </c>
      <c r="AE147" t="s">
        <v>3241</v>
      </c>
      <c r="AF147" t="s">
        <v>74</v>
      </c>
      <c r="AG147">
        <v>83</v>
      </c>
      <c r="AH147">
        <v>16</v>
      </c>
      <c r="AI147">
        <v>16</v>
      </c>
      <c r="AJ147">
        <v>1</v>
      </c>
      <c r="AK147">
        <v>46</v>
      </c>
      <c r="AL147" t="s">
        <v>176</v>
      </c>
      <c r="AM147" t="s">
        <v>1610</v>
      </c>
      <c r="AN147" t="s">
        <v>1611</v>
      </c>
      <c r="AO147" t="s">
        <v>1538</v>
      </c>
      <c r="AP147" t="s">
        <v>1539</v>
      </c>
      <c r="AQ147" t="s">
        <v>74</v>
      </c>
      <c r="AR147" t="s">
        <v>1540</v>
      </c>
      <c r="AS147" t="s">
        <v>1541</v>
      </c>
      <c r="AT147" t="s">
        <v>3242</v>
      </c>
      <c r="AU147">
        <v>2021</v>
      </c>
      <c r="AV147">
        <v>325</v>
      </c>
      <c r="AW147" t="s">
        <v>74</v>
      </c>
      <c r="AX147" t="s">
        <v>74</v>
      </c>
      <c r="AY147" t="s">
        <v>74</v>
      </c>
      <c r="AZ147" t="s">
        <v>74</v>
      </c>
      <c r="BA147" t="s">
        <v>74</v>
      </c>
      <c r="BB147" t="s">
        <v>74</v>
      </c>
      <c r="BC147" t="s">
        <v>74</v>
      </c>
      <c r="BD147">
        <v>129351</v>
      </c>
      <c r="BE147" t="s">
        <v>3243</v>
      </c>
      <c r="BF147" t="str">
        <f>HYPERLINK("http://dx.doi.org/10.1016/j.jclepro.2021.129351","http://dx.doi.org/10.1016/j.jclepro.2021.129351")</f>
        <v>http://dx.doi.org/10.1016/j.jclepro.2021.129351</v>
      </c>
      <c r="BG147" t="s">
        <v>74</v>
      </c>
      <c r="BH147" t="s">
        <v>1130</v>
      </c>
      <c r="BI147">
        <v>13</v>
      </c>
      <c r="BJ147" t="s">
        <v>1543</v>
      </c>
      <c r="BK147" t="s">
        <v>186</v>
      </c>
      <c r="BL147" t="s">
        <v>1544</v>
      </c>
      <c r="BM147" t="s">
        <v>3244</v>
      </c>
      <c r="BN147" t="s">
        <v>74</v>
      </c>
      <c r="BO147" t="s">
        <v>74</v>
      </c>
      <c r="BP147" t="s">
        <v>74</v>
      </c>
      <c r="BQ147" t="s">
        <v>74</v>
      </c>
      <c r="BR147" t="s">
        <v>106</v>
      </c>
      <c r="BS147" t="s">
        <v>3245</v>
      </c>
      <c r="BT147" t="str">
        <f>HYPERLINK("https%3A%2F%2Fwww.webofscience.com%2Fwos%2Fwoscc%2Ffull-record%2FWOS:000729118200005","View Full Record in Web of Science")</f>
        <v>View Full Record in Web of Science</v>
      </c>
    </row>
    <row r="148" spans="1:72" x14ac:dyDescent="0.2">
      <c r="A148" t="s">
        <v>72</v>
      </c>
      <c r="B148" t="s">
        <v>3246</v>
      </c>
      <c r="C148" t="s">
        <v>74</v>
      </c>
      <c r="D148" t="s">
        <v>74</v>
      </c>
      <c r="E148" t="s">
        <v>74</v>
      </c>
      <c r="F148" t="s">
        <v>3247</v>
      </c>
      <c r="G148" t="s">
        <v>74</v>
      </c>
      <c r="H148" t="s">
        <v>74</v>
      </c>
      <c r="I148" t="s">
        <v>3248</v>
      </c>
      <c r="J148" t="s">
        <v>828</v>
      </c>
      <c r="K148" t="s">
        <v>74</v>
      </c>
      <c r="L148" t="s">
        <v>74</v>
      </c>
      <c r="M148" t="s">
        <v>78</v>
      </c>
      <c r="N148" t="s">
        <v>79</v>
      </c>
      <c r="O148" t="s">
        <v>74</v>
      </c>
      <c r="P148" t="s">
        <v>74</v>
      </c>
      <c r="Q148" t="s">
        <v>74</v>
      </c>
      <c r="R148" t="s">
        <v>74</v>
      </c>
      <c r="S148" t="s">
        <v>74</v>
      </c>
      <c r="T148" t="s">
        <v>3249</v>
      </c>
      <c r="U148" t="s">
        <v>3250</v>
      </c>
      <c r="V148" t="s">
        <v>3251</v>
      </c>
      <c r="W148" t="s">
        <v>3252</v>
      </c>
      <c r="X148" t="s">
        <v>74</v>
      </c>
      <c r="Y148" t="s">
        <v>3253</v>
      </c>
      <c r="Z148" t="s">
        <v>74</v>
      </c>
      <c r="AA148" t="s">
        <v>74</v>
      </c>
      <c r="AB148" t="s">
        <v>74</v>
      </c>
      <c r="AC148" t="s">
        <v>74</v>
      </c>
      <c r="AD148" t="s">
        <v>74</v>
      </c>
      <c r="AE148" t="s">
        <v>74</v>
      </c>
      <c r="AF148" t="s">
        <v>74</v>
      </c>
      <c r="AG148">
        <v>15</v>
      </c>
      <c r="AH148">
        <v>0</v>
      </c>
      <c r="AI148">
        <v>0</v>
      </c>
      <c r="AJ148">
        <v>1</v>
      </c>
      <c r="AK148">
        <v>19</v>
      </c>
      <c r="AL148" t="s">
        <v>835</v>
      </c>
      <c r="AM148" t="s">
        <v>836</v>
      </c>
      <c r="AN148" t="s">
        <v>3254</v>
      </c>
      <c r="AO148" t="s">
        <v>838</v>
      </c>
      <c r="AP148" t="s">
        <v>74</v>
      </c>
      <c r="AQ148" t="s">
        <v>74</v>
      </c>
      <c r="AR148" t="s">
        <v>839</v>
      </c>
      <c r="AS148" t="s">
        <v>840</v>
      </c>
      <c r="AT148" t="s">
        <v>3255</v>
      </c>
      <c r="AU148">
        <v>2018</v>
      </c>
      <c r="AV148">
        <v>49</v>
      </c>
      <c r="AW148">
        <v>2</v>
      </c>
      <c r="AX148" t="s">
        <v>74</v>
      </c>
      <c r="AY148" t="s">
        <v>74</v>
      </c>
      <c r="AZ148" t="s">
        <v>1070</v>
      </c>
      <c r="BA148" t="s">
        <v>74</v>
      </c>
      <c r="BB148">
        <v>118</v>
      </c>
      <c r="BC148">
        <v>124</v>
      </c>
      <c r="BD148" t="s">
        <v>74</v>
      </c>
      <c r="BE148" t="s">
        <v>74</v>
      </c>
      <c r="BF148" t="s">
        <v>74</v>
      </c>
      <c r="BG148" t="s">
        <v>74</v>
      </c>
      <c r="BH148" t="s">
        <v>74</v>
      </c>
      <c r="BI148">
        <v>7</v>
      </c>
      <c r="BJ148" t="s">
        <v>842</v>
      </c>
      <c r="BK148" t="s">
        <v>102</v>
      </c>
      <c r="BL148" t="s">
        <v>103</v>
      </c>
      <c r="BM148" t="s">
        <v>3256</v>
      </c>
      <c r="BN148" t="s">
        <v>74</v>
      </c>
      <c r="BO148" t="s">
        <v>74</v>
      </c>
      <c r="BP148" t="s">
        <v>74</v>
      </c>
      <c r="BQ148" t="s">
        <v>74</v>
      </c>
      <c r="BR148" t="s">
        <v>106</v>
      </c>
      <c r="BS148" t="s">
        <v>3257</v>
      </c>
      <c r="BT148" t="str">
        <f>HYPERLINK("https%3A%2F%2Fwww.webofscience.com%2Fwos%2Fwoscc%2Ffull-record%2FWOS:000433525500015","View Full Record in Web of Science")</f>
        <v>View Full Record in Web of Science</v>
      </c>
    </row>
    <row r="149" spans="1:72" x14ac:dyDescent="0.2">
      <c r="A149" t="s">
        <v>72</v>
      </c>
      <c r="B149" t="s">
        <v>3258</v>
      </c>
      <c r="C149" t="s">
        <v>74</v>
      </c>
      <c r="D149" t="s">
        <v>74</v>
      </c>
      <c r="E149" t="s">
        <v>74</v>
      </c>
      <c r="F149" t="s">
        <v>3259</v>
      </c>
      <c r="G149" t="s">
        <v>74</v>
      </c>
      <c r="H149" t="s">
        <v>74</v>
      </c>
      <c r="I149" t="s">
        <v>3260</v>
      </c>
      <c r="J149" t="s">
        <v>1526</v>
      </c>
      <c r="K149" t="s">
        <v>74</v>
      </c>
      <c r="L149" t="s">
        <v>74</v>
      </c>
      <c r="M149" t="s">
        <v>78</v>
      </c>
      <c r="N149" t="s">
        <v>79</v>
      </c>
      <c r="O149" t="s">
        <v>74</v>
      </c>
      <c r="P149" t="s">
        <v>74</v>
      </c>
      <c r="Q149" t="s">
        <v>74</v>
      </c>
      <c r="R149" t="s">
        <v>74</v>
      </c>
      <c r="S149" t="s">
        <v>74</v>
      </c>
      <c r="T149" t="s">
        <v>3261</v>
      </c>
      <c r="U149" t="s">
        <v>3262</v>
      </c>
      <c r="V149" t="s">
        <v>3263</v>
      </c>
      <c r="W149" t="s">
        <v>3264</v>
      </c>
      <c r="X149" t="s">
        <v>3265</v>
      </c>
      <c r="Y149" t="s">
        <v>3266</v>
      </c>
      <c r="Z149" t="s">
        <v>3267</v>
      </c>
      <c r="AA149" t="s">
        <v>3268</v>
      </c>
      <c r="AB149" t="s">
        <v>3269</v>
      </c>
      <c r="AC149" t="s">
        <v>74</v>
      </c>
      <c r="AD149" t="s">
        <v>74</v>
      </c>
      <c r="AE149" t="s">
        <v>74</v>
      </c>
      <c r="AF149" t="s">
        <v>74</v>
      </c>
      <c r="AG149">
        <v>36</v>
      </c>
      <c r="AH149">
        <v>23</v>
      </c>
      <c r="AI149">
        <v>25</v>
      </c>
      <c r="AJ149">
        <v>4</v>
      </c>
      <c r="AK149">
        <v>51</v>
      </c>
      <c r="AL149" t="s">
        <v>176</v>
      </c>
      <c r="AM149" t="s">
        <v>177</v>
      </c>
      <c r="AN149" t="s">
        <v>178</v>
      </c>
      <c r="AO149" t="s">
        <v>1538</v>
      </c>
      <c r="AP149" t="s">
        <v>1539</v>
      </c>
      <c r="AQ149" t="s">
        <v>74</v>
      </c>
      <c r="AR149" t="s">
        <v>1540</v>
      </c>
      <c r="AS149" t="s">
        <v>1541</v>
      </c>
      <c r="AT149" t="s">
        <v>3270</v>
      </c>
      <c r="AU149">
        <v>2019</v>
      </c>
      <c r="AV149">
        <v>227</v>
      </c>
      <c r="AW149" t="s">
        <v>74</v>
      </c>
      <c r="AX149" t="s">
        <v>74</v>
      </c>
      <c r="AY149" t="s">
        <v>74</v>
      </c>
      <c r="AZ149" t="s">
        <v>74</v>
      </c>
      <c r="BA149" t="s">
        <v>74</v>
      </c>
      <c r="BB149">
        <v>900</v>
      </c>
      <c r="BC149">
        <v>910</v>
      </c>
      <c r="BD149" t="s">
        <v>74</v>
      </c>
      <c r="BE149" t="s">
        <v>3271</v>
      </c>
      <c r="BF149" t="str">
        <f>HYPERLINK("http://dx.doi.org/10.1016/j.jclepro.2019.04.162","http://dx.doi.org/10.1016/j.jclepro.2019.04.162")</f>
        <v>http://dx.doi.org/10.1016/j.jclepro.2019.04.162</v>
      </c>
      <c r="BG149" t="s">
        <v>74</v>
      </c>
      <c r="BH149" t="s">
        <v>74</v>
      </c>
      <c r="BI149">
        <v>11</v>
      </c>
      <c r="BJ149" t="s">
        <v>1543</v>
      </c>
      <c r="BK149" t="s">
        <v>102</v>
      </c>
      <c r="BL149" t="s">
        <v>1544</v>
      </c>
      <c r="BM149" t="s">
        <v>3272</v>
      </c>
      <c r="BN149" t="s">
        <v>74</v>
      </c>
      <c r="BO149" t="s">
        <v>105</v>
      </c>
      <c r="BP149" t="s">
        <v>74</v>
      </c>
      <c r="BQ149" t="s">
        <v>74</v>
      </c>
      <c r="BR149" t="s">
        <v>106</v>
      </c>
      <c r="BS149" t="s">
        <v>3273</v>
      </c>
      <c r="BT149" t="str">
        <f>HYPERLINK("https%3A%2F%2Fwww.webofscience.com%2Fwos%2Fwoscc%2Ffull-record%2FWOS:000470939600080","View Full Record in Web of Science")</f>
        <v>View Full Record in Web of Science</v>
      </c>
    </row>
    <row r="150" spans="1:72" x14ac:dyDescent="0.2">
      <c r="A150" t="s">
        <v>72</v>
      </c>
      <c r="B150" t="s">
        <v>3274</v>
      </c>
      <c r="C150" t="s">
        <v>74</v>
      </c>
      <c r="D150" t="s">
        <v>74</v>
      </c>
      <c r="E150" t="s">
        <v>74</v>
      </c>
      <c r="F150" t="s">
        <v>3275</v>
      </c>
      <c r="G150" t="s">
        <v>74</v>
      </c>
      <c r="H150" t="s">
        <v>74</v>
      </c>
      <c r="I150" t="s">
        <v>3276</v>
      </c>
      <c r="J150" t="s">
        <v>3277</v>
      </c>
      <c r="K150" t="s">
        <v>74</v>
      </c>
      <c r="L150" t="s">
        <v>74</v>
      </c>
      <c r="M150" t="s">
        <v>78</v>
      </c>
      <c r="N150" t="s">
        <v>79</v>
      </c>
      <c r="O150" t="s">
        <v>74</v>
      </c>
      <c r="P150" t="s">
        <v>74</v>
      </c>
      <c r="Q150" t="s">
        <v>74</v>
      </c>
      <c r="R150" t="s">
        <v>74</v>
      </c>
      <c r="S150" t="s">
        <v>74</v>
      </c>
      <c r="T150" t="s">
        <v>74</v>
      </c>
      <c r="U150" t="s">
        <v>3278</v>
      </c>
      <c r="V150" t="s">
        <v>3279</v>
      </c>
      <c r="W150" t="s">
        <v>3280</v>
      </c>
      <c r="X150" t="s">
        <v>3281</v>
      </c>
      <c r="Y150" t="s">
        <v>3282</v>
      </c>
      <c r="Z150" t="s">
        <v>3283</v>
      </c>
      <c r="AA150" t="s">
        <v>3284</v>
      </c>
      <c r="AB150" t="s">
        <v>3285</v>
      </c>
      <c r="AC150" t="s">
        <v>3286</v>
      </c>
      <c r="AD150" t="s">
        <v>3287</v>
      </c>
      <c r="AE150" t="s">
        <v>3288</v>
      </c>
      <c r="AF150" t="s">
        <v>74</v>
      </c>
      <c r="AG150">
        <v>92</v>
      </c>
      <c r="AH150">
        <v>8</v>
      </c>
      <c r="AI150">
        <v>10</v>
      </c>
      <c r="AJ150">
        <v>2</v>
      </c>
      <c r="AK150">
        <v>47</v>
      </c>
      <c r="AL150" t="s">
        <v>3289</v>
      </c>
      <c r="AM150" t="s">
        <v>3290</v>
      </c>
      <c r="AN150" t="s">
        <v>3291</v>
      </c>
      <c r="AO150" t="s">
        <v>3292</v>
      </c>
      <c r="AP150" t="s">
        <v>3293</v>
      </c>
      <c r="AQ150" t="s">
        <v>74</v>
      </c>
      <c r="AR150" t="s">
        <v>3277</v>
      </c>
      <c r="AS150" t="s">
        <v>3294</v>
      </c>
      <c r="AT150" t="s">
        <v>1012</v>
      </c>
      <c r="AU150">
        <v>2022</v>
      </c>
      <c r="AV150">
        <v>19</v>
      </c>
      <c r="AW150">
        <v>21</v>
      </c>
      <c r="AX150" t="s">
        <v>74</v>
      </c>
      <c r="AY150" t="s">
        <v>74</v>
      </c>
      <c r="AZ150" t="s">
        <v>74</v>
      </c>
      <c r="BA150" t="s">
        <v>74</v>
      </c>
      <c r="BB150">
        <v>5125</v>
      </c>
      <c r="BC150">
        <v>5149</v>
      </c>
      <c r="BD150" t="s">
        <v>74</v>
      </c>
      <c r="BE150" t="s">
        <v>3295</v>
      </c>
      <c r="BF150" t="str">
        <f>HYPERLINK("http://dx.doi.org/10.5194/bg-19-5125-2022","http://dx.doi.org/10.5194/bg-19-5125-2022")</f>
        <v>http://dx.doi.org/10.5194/bg-19-5125-2022</v>
      </c>
      <c r="BG150" t="s">
        <v>74</v>
      </c>
      <c r="BH150" t="s">
        <v>74</v>
      </c>
      <c r="BI150">
        <v>25</v>
      </c>
      <c r="BJ150" t="s">
        <v>3296</v>
      </c>
      <c r="BK150" t="s">
        <v>102</v>
      </c>
      <c r="BL150" t="s">
        <v>1206</v>
      </c>
      <c r="BM150" t="s">
        <v>3297</v>
      </c>
      <c r="BN150" t="s">
        <v>74</v>
      </c>
      <c r="BO150" t="s">
        <v>161</v>
      </c>
      <c r="BP150" t="s">
        <v>74</v>
      </c>
      <c r="BQ150" t="s">
        <v>74</v>
      </c>
      <c r="BR150" t="s">
        <v>106</v>
      </c>
      <c r="BS150" t="s">
        <v>3298</v>
      </c>
      <c r="BT150" t="str">
        <f>HYPERLINK("https%3A%2F%2Fwww.webofscience.com%2Fwos%2Fwoscc%2Ffull-record%2FWOS:000880595100001","View Full Record in Web of Science")</f>
        <v>View Full Record in Web of Science</v>
      </c>
    </row>
    <row r="151" spans="1:72" x14ac:dyDescent="0.2">
      <c r="A151" t="s">
        <v>72</v>
      </c>
      <c r="B151" t="s">
        <v>3299</v>
      </c>
      <c r="C151" t="s">
        <v>74</v>
      </c>
      <c r="D151" t="s">
        <v>74</v>
      </c>
      <c r="E151" t="s">
        <v>74</v>
      </c>
      <c r="F151" t="s">
        <v>3300</v>
      </c>
      <c r="G151" t="s">
        <v>74</v>
      </c>
      <c r="H151" t="s">
        <v>74</v>
      </c>
      <c r="I151" t="s">
        <v>3301</v>
      </c>
      <c r="J151" t="s">
        <v>2864</v>
      </c>
      <c r="K151" t="s">
        <v>74</v>
      </c>
      <c r="L151" t="s">
        <v>74</v>
      </c>
      <c r="M151" t="s">
        <v>78</v>
      </c>
      <c r="N151" t="s">
        <v>79</v>
      </c>
      <c r="O151" t="s">
        <v>74</v>
      </c>
      <c r="P151" t="s">
        <v>74</v>
      </c>
      <c r="Q151" t="s">
        <v>74</v>
      </c>
      <c r="R151" t="s">
        <v>74</v>
      </c>
      <c r="S151" t="s">
        <v>74</v>
      </c>
      <c r="T151" t="s">
        <v>3302</v>
      </c>
      <c r="U151" t="s">
        <v>3303</v>
      </c>
      <c r="V151" t="s">
        <v>3304</v>
      </c>
      <c r="W151" t="s">
        <v>3305</v>
      </c>
      <c r="X151" t="s">
        <v>3306</v>
      </c>
      <c r="Y151" t="s">
        <v>3307</v>
      </c>
      <c r="Z151" t="s">
        <v>3308</v>
      </c>
      <c r="AA151" t="s">
        <v>3309</v>
      </c>
      <c r="AB151" t="s">
        <v>3310</v>
      </c>
      <c r="AC151" t="s">
        <v>3311</v>
      </c>
      <c r="AD151" t="s">
        <v>3312</v>
      </c>
      <c r="AE151" t="s">
        <v>3313</v>
      </c>
      <c r="AF151" t="s">
        <v>74</v>
      </c>
      <c r="AG151">
        <v>41</v>
      </c>
      <c r="AH151">
        <v>49</v>
      </c>
      <c r="AI151">
        <v>52</v>
      </c>
      <c r="AJ151">
        <v>1</v>
      </c>
      <c r="AK151">
        <v>41</v>
      </c>
      <c r="AL151" t="s">
        <v>176</v>
      </c>
      <c r="AM151" t="s">
        <v>177</v>
      </c>
      <c r="AN151" t="s">
        <v>178</v>
      </c>
      <c r="AO151" t="s">
        <v>2876</v>
      </c>
      <c r="AP151" t="s">
        <v>2877</v>
      </c>
      <c r="AQ151" t="s">
        <v>74</v>
      </c>
      <c r="AR151" t="s">
        <v>2878</v>
      </c>
      <c r="AS151" t="s">
        <v>2879</v>
      </c>
      <c r="AT151" t="s">
        <v>805</v>
      </c>
      <c r="AU151">
        <v>2015</v>
      </c>
      <c r="AV151">
        <v>86</v>
      </c>
      <c r="AW151" t="s">
        <v>74</v>
      </c>
      <c r="AX151" t="s">
        <v>74</v>
      </c>
      <c r="AY151" t="s">
        <v>74</v>
      </c>
      <c r="AZ151" t="s">
        <v>74</v>
      </c>
      <c r="BA151" t="s">
        <v>74</v>
      </c>
      <c r="BB151">
        <v>328</v>
      </c>
      <c r="BC151">
        <v>337</v>
      </c>
      <c r="BD151" t="s">
        <v>74</v>
      </c>
      <c r="BE151" t="s">
        <v>3314</v>
      </c>
      <c r="BF151" t="str">
        <f>HYPERLINK("http://dx.doi.org/10.1016/j.enpol.2015.07.008","http://dx.doi.org/10.1016/j.enpol.2015.07.008")</f>
        <v>http://dx.doi.org/10.1016/j.enpol.2015.07.008</v>
      </c>
      <c r="BG151" t="s">
        <v>74</v>
      </c>
      <c r="BH151" t="s">
        <v>74</v>
      </c>
      <c r="BI151">
        <v>10</v>
      </c>
      <c r="BJ151" t="s">
        <v>2881</v>
      </c>
      <c r="BK151" t="s">
        <v>186</v>
      </c>
      <c r="BL151" t="s">
        <v>2882</v>
      </c>
      <c r="BM151" t="s">
        <v>3315</v>
      </c>
      <c r="BN151" t="s">
        <v>74</v>
      </c>
      <c r="BO151" t="s">
        <v>2296</v>
      </c>
      <c r="BP151" t="s">
        <v>74</v>
      </c>
      <c r="BQ151" t="s">
        <v>74</v>
      </c>
      <c r="BR151" t="s">
        <v>106</v>
      </c>
      <c r="BS151" t="s">
        <v>3316</v>
      </c>
      <c r="BT151" t="str">
        <f>HYPERLINK("https%3A%2F%2Fwww.webofscience.com%2Fwos%2Fwoscc%2Ffull-record%2FWOS:000364246100031","View Full Record in Web of Science")</f>
        <v>View Full Record in Web of Science</v>
      </c>
    </row>
    <row r="152" spans="1:72" x14ac:dyDescent="0.2">
      <c r="A152" t="s">
        <v>72</v>
      </c>
      <c r="B152" t="s">
        <v>3317</v>
      </c>
      <c r="C152" t="s">
        <v>74</v>
      </c>
      <c r="D152" t="s">
        <v>74</v>
      </c>
      <c r="E152" t="s">
        <v>74</v>
      </c>
      <c r="F152" t="s">
        <v>3318</v>
      </c>
      <c r="G152" t="s">
        <v>74</v>
      </c>
      <c r="H152" t="s">
        <v>74</v>
      </c>
      <c r="I152" t="s">
        <v>3319</v>
      </c>
      <c r="J152" t="s">
        <v>1526</v>
      </c>
      <c r="K152" t="s">
        <v>74</v>
      </c>
      <c r="L152" t="s">
        <v>74</v>
      </c>
      <c r="M152" t="s">
        <v>78</v>
      </c>
      <c r="N152" t="s">
        <v>79</v>
      </c>
      <c r="O152" t="s">
        <v>74</v>
      </c>
      <c r="P152" t="s">
        <v>74</v>
      </c>
      <c r="Q152" t="s">
        <v>74</v>
      </c>
      <c r="R152" t="s">
        <v>74</v>
      </c>
      <c r="S152" t="s">
        <v>74</v>
      </c>
      <c r="T152" t="s">
        <v>3320</v>
      </c>
      <c r="U152" t="s">
        <v>3321</v>
      </c>
      <c r="V152" t="s">
        <v>3322</v>
      </c>
      <c r="W152" t="s">
        <v>3323</v>
      </c>
      <c r="X152" t="s">
        <v>3324</v>
      </c>
      <c r="Y152" t="s">
        <v>3325</v>
      </c>
      <c r="Z152" t="s">
        <v>3326</v>
      </c>
      <c r="AA152" t="s">
        <v>3327</v>
      </c>
      <c r="AB152" t="s">
        <v>3328</v>
      </c>
      <c r="AC152" t="s">
        <v>3329</v>
      </c>
      <c r="AD152" t="s">
        <v>3330</v>
      </c>
      <c r="AE152" t="s">
        <v>3331</v>
      </c>
      <c r="AF152" t="s">
        <v>74</v>
      </c>
      <c r="AG152">
        <v>39</v>
      </c>
      <c r="AH152">
        <v>9</v>
      </c>
      <c r="AI152">
        <v>9</v>
      </c>
      <c r="AJ152">
        <v>2</v>
      </c>
      <c r="AK152">
        <v>23</v>
      </c>
      <c r="AL152" t="s">
        <v>176</v>
      </c>
      <c r="AM152" t="s">
        <v>177</v>
      </c>
      <c r="AN152" t="s">
        <v>178</v>
      </c>
      <c r="AO152" t="s">
        <v>1538</v>
      </c>
      <c r="AP152" t="s">
        <v>1539</v>
      </c>
      <c r="AQ152" t="s">
        <v>74</v>
      </c>
      <c r="AR152" t="s">
        <v>1540</v>
      </c>
      <c r="AS152" t="s">
        <v>1541</v>
      </c>
      <c r="AT152" t="s">
        <v>2578</v>
      </c>
      <c r="AU152">
        <v>2020</v>
      </c>
      <c r="AV152">
        <v>259</v>
      </c>
      <c r="AW152" t="s">
        <v>74</v>
      </c>
      <c r="AX152" t="s">
        <v>74</v>
      </c>
      <c r="AY152" t="s">
        <v>74</v>
      </c>
      <c r="AZ152" t="s">
        <v>74</v>
      </c>
      <c r="BA152" t="s">
        <v>74</v>
      </c>
      <c r="BB152" t="s">
        <v>74</v>
      </c>
      <c r="BC152" t="s">
        <v>74</v>
      </c>
      <c r="BD152">
        <v>120864</v>
      </c>
      <c r="BE152" t="s">
        <v>3332</v>
      </c>
      <c r="BF152" t="str">
        <f>HYPERLINK("http://dx.doi.org/10.1016/j.jclepro.2020.120864","http://dx.doi.org/10.1016/j.jclepro.2020.120864")</f>
        <v>http://dx.doi.org/10.1016/j.jclepro.2020.120864</v>
      </c>
      <c r="BG152" t="s">
        <v>74</v>
      </c>
      <c r="BH152" t="s">
        <v>74</v>
      </c>
      <c r="BI152">
        <v>11</v>
      </c>
      <c r="BJ152" t="s">
        <v>1543</v>
      </c>
      <c r="BK152" t="s">
        <v>102</v>
      </c>
      <c r="BL152" t="s">
        <v>1544</v>
      </c>
      <c r="BM152" t="s">
        <v>3333</v>
      </c>
      <c r="BN152" t="s">
        <v>74</v>
      </c>
      <c r="BO152" t="s">
        <v>74</v>
      </c>
      <c r="BP152" t="s">
        <v>74</v>
      </c>
      <c r="BQ152" t="s">
        <v>74</v>
      </c>
      <c r="BR152" t="s">
        <v>106</v>
      </c>
      <c r="BS152" t="s">
        <v>3334</v>
      </c>
      <c r="BT152" t="str">
        <f>HYPERLINK("https%3A%2F%2Fwww.webofscience.com%2Fwos%2Fwoscc%2Ffull-record%2FWOS:000530395400012","View Full Record in Web of Science")</f>
        <v>View Full Record in Web of Science</v>
      </c>
    </row>
    <row r="153" spans="1:72" x14ac:dyDescent="0.2">
      <c r="A153" t="s">
        <v>72</v>
      </c>
      <c r="B153" t="s">
        <v>3335</v>
      </c>
      <c r="C153" t="s">
        <v>74</v>
      </c>
      <c r="D153" t="s">
        <v>74</v>
      </c>
      <c r="E153" t="s">
        <v>74</v>
      </c>
      <c r="F153" t="s">
        <v>3336</v>
      </c>
      <c r="G153" t="s">
        <v>74</v>
      </c>
      <c r="H153" t="s">
        <v>74</v>
      </c>
      <c r="I153" t="s">
        <v>3337</v>
      </c>
      <c r="J153" t="s">
        <v>3277</v>
      </c>
      <c r="K153" t="s">
        <v>74</v>
      </c>
      <c r="L153" t="s">
        <v>74</v>
      </c>
      <c r="M153" t="s">
        <v>78</v>
      </c>
      <c r="N153" t="s">
        <v>79</v>
      </c>
      <c r="O153" t="s">
        <v>74</v>
      </c>
      <c r="P153" t="s">
        <v>74</v>
      </c>
      <c r="Q153" t="s">
        <v>74</v>
      </c>
      <c r="R153" t="s">
        <v>74</v>
      </c>
      <c r="S153" t="s">
        <v>74</v>
      </c>
      <c r="T153" t="s">
        <v>74</v>
      </c>
      <c r="U153" t="s">
        <v>3338</v>
      </c>
      <c r="V153" t="s">
        <v>3339</v>
      </c>
      <c r="W153" t="s">
        <v>3340</v>
      </c>
      <c r="X153" t="s">
        <v>3341</v>
      </c>
      <c r="Y153" t="s">
        <v>3342</v>
      </c>
      <c r="Z153" t="s">
        <v>3343</v>
      </c>
      <c r="AA153" t="s">
        <v>3344</v>
      </c>
      <c r="AB153" t="s">
        <v>3345</v>
      </c>
      <c r="AC153" t="s">
        <v>3346</v>
      </c>
      <c r="AD153" t="s">
        <v>3346</v>
      </c>
      <c r="AE153" t="s">
        <v>3347</v>
      </c>
      <c r="AF153" t="s">
        <v>74</v>
      </c>
      <c r="AG153">
        <v>46</v>
      </c>
      <c r="AH153">
        <v>38</v>
      </c>
      <c r="AI153">
        <v>40</v>
      </c>
      <c r="AJ153">
        <v>1</v>
      </c>
      <c r="AK153">
        <v>57</v>
      </c>
      <c r="AL153" t="s">
        <v>3289</v>
      </c>
      <c r="AM153" t="s">
        <v>3290</v>
      </c>
      <c r="AN153" t="s">
        <v>3291</v>
      </c>
      <c r="AO153" t="s">
        <v>3292</v>
      </c>
      <c r="AP153" t="s">
        <v>3293</v>
      </c>
      <c r="AQ153" t="s">
        <v>74</v>
      </c>
      <c r="AR153" t="s">
        <v>3277</v>
      </c>
      <c r="AS153" t="s">
        <v>3294</v>
      </c>
      <c r="AT153" t="s">
        <v>74</v>
      </c>
      <c r="AU153">
        <v>2015</v>
      </c>
      <c r="AV153">
        <v>12</v>
      </c>
      <c r="AW153">
        <v>11</v>
      </c>
      <c r="AX153" t="s">
        <v>74</v>
      </c>
      <c r="AY153" t="s">
        <v>74</v>
      </c>
      <c r="AZ153" t="s">
        <v>74</v>
      </c>
      <c r="BA153" t="s">
        <v>74</v>
      </c>
      <c r="BB153">
        <v>3241</v>
      </c>
      <c r="BC153">
        <v>3251</v>
      </c>
      <c r="BD153" t="s">
        <v>74</v>
      </c>
      <c r="BE153" t="s">
        <v>3348</v>
      </c>
      <c r="BF153" t="str">
        <f>HYPERLINK("http://dx.doi.org/10.5194/bg-12-3241-2015","http://dx.doi.org/10.5194/bg-12-3241-2015")</f>
        <v>http://dx.doi.org/10.5194/bg-12-3241-2015</v>
      </c>
      <c r="BG153" t="s">
        <v>74</v>
      </c>
      <c r="BH153" t="s">
        <v>74</v>
      </c>
      <c r="BI153">
        <v>11</v>
      </c>
      <c r="BJ153" t="s">
        <v>3296</v>
      </c>
      <c r="BK153" t="s">
        <v>102</v>
      </c>
      <c r="BL153" t="s">
        <v>1206</v>
      </c>
      <c r="BM153" t="s">
        <v>3349</v>
      </c>
      <c r="BN153" t="s">
        <v>74</v>
      </c>
      <c r="BO153" t="s">
        <v>161</v>
      </c>
      <c r="BP153" t="s">
        <v>74</v>
      </c>
      <c r="BQ153" t="s">
        <v>74</v>
      </c>
      <c r="BR153" t="s">
        <v>106</v>
      </c>
      <c r="BS153" t="s">
        <v>3350</v>
      </c>
      <c r="BT153" t="str">
        <f>HYPERLINK("https%3A%2F%2Fwww.webofscience.com%2Fwos%2Fwoscc%2Ffull-record%2FWOS:000356179800006","View Full Record in Web of Science")</f>
        <v>View Full Record in Web of Science</v>
      </c>
    </row>
    <row r="154" spans="1:72" x14ac:dyDescent="0.2">
      <c r="A154" t="s">
        <v>72</v>
      </c>
      <c r="B154" t="s">
        <v>3351</v>
      </c>
      <c r="C154" t="s">
        <v>74</v>
      </c>
      <c r="D154" t="s">
        <v>74</v>
      </c>
      <c r="E154" t="s">
        <v>74</v>
      </c>
      <c r="F154" t="s">
        <v>3352</v>
      </c>
      <c r="G154" t="s">
        <v>74</v>
      </c>
      <c r="H154" t="s">
        <v>74</v>
      </c>
      <c r="I154" t="s">
        <v>3353</v>
      </c>
      <c r="J154" t="s">
        <v>1049</v>
      </c>
      <c r="K154" t="s">
        <v>74</v>
      </c>
      <c r="L154" t="s">
        <v>74</v>
      </c>
      <c r="M154" t="s">
        <v>78</v>
      </c>
      <c r="N154" t="s">
        <v>79</v>
      </c>
      <c r="O154" t="s">
        <v>74</v>
      </c>
      <c r="P154" t="s">
        <v>74</v>
      </c>
      <c r="Q154" t="s">
        <v>74</v>
      </c>
      <c r="R154" t="s">
        <v>74</v>
      </c>
      <c r="S154" t="s">
        <v>74</v>
      </c>
      <c r="T154" t="s">
        <v>3354</v>
      </c>
      <c r="U154" t="s">
        <v>3355</v>
      </c>
      <c r="V154" t="s">
        <v>3356</v>
      </c>
      <c r="W154" t="s">
        <v>3357</v>
      </c>
      <c r="X154" t="s">
        <v>3358</v>
      </c>
      <c r="Y154" t="s">
        <v>3359</v>
      </c>
      <c r="Z154" t="s">
        <v>3360</v>
      </c>
      <c r="AA154" t="s">
        <v>3361</v>
      </c>
      <c r="AB154" t="s">
        <v>3362</v>
      </c>
      <c r="AC154" t="s">
        <v>3363</v>
      </c>
      <c r="AD154" t="s">
        <v>3364</v>
      </c>
      <c r="AE154" t="s">
        <v>3365</v>
      </c>
      <c r="AF154" t="s">
        <v>74</v>
      </c>
      <c r="AG154">
        <v>24</v>
      </c>
      <c r="AH154">
        <v>101</v>
      </c>
      <c r="AI154">
        <v>114</v>
      </c>
      <c r="AJ154">
        <v>6</v>
      </c>
      <c r="AK154">
        <v>140</v>
      </c>
      <c r="AL154" t="s">
        <v>1062</v>
      </c>
      <c r="AM154" t="s">
        <v>3366</v>
      </c>
      <c r="AN154" t="s">
        <v>3367</v>
      </c>
      <c r="AO154" t="s">
        <v>1065</v>
      </c>
      <c r="AP154" t="s">
        <v>1066</v>
      </c>
      <c r="AQ154" t="s">
        <v>74</v>
      </c>
      <c r="AR154" t="s">
        <v>1067</v>
      </c>
      <c r="AS154" t="s">
        <v>1068</v>
      </c>
      <c r="AT154" t="s">
        <v>3368</v>
      </c>
      <c r="AU154">
        <v>2019</v>
      </c>
      <c r="AV154">
        <v>11</v>
      </c>
      <c r="AW154">
        <v>3</v>
      </c>
      <c r="AX154" t="s">
        <v>74</v>
      </c>
      <c r="AY154" t="s">
        <v>74</v>
      </c>
      <c r="AZ154" t="s">
        <v>1070</v>
      </c>
      <c r="BA154" t="s">
        <v>74</v>
      </c>
      <c r="BB154">
        <v>536</v>
      </c>
      <c r="BC154">
        <v>554</v>
      </c>
      <c r="BD154" t="s">
        <v>74</v>
      </c>
      <c r="BE154" t="s">
        <v>3369</v>
      </c>
      <c r="BF154" t="str">
        <f>HYPERLINK("http://dx.doi.org/10.1108/CAER-12-2018-0244","http://dx.doi.org/10.1108/CAER-12-2018-0244")</f>
        <v>http://dx.doi.org/10.1108/CAER-12-2018-0244</v>
      </c>
      <c r="BG154" t="s">
        <v>74</v>
      </c>
      <c r="BH154" t="s">
        <v>74</v>
      </c>
      <c r="BI154">
        <v>19</v>
      </c>
      <c r="BJ154" t="s">
        <v>1073</v>
      </c>
      <c r="BK154" t="s">
        <v>186</v>
      </c>
      <c r="BL154" t="s">
        <v>1074</v>
      </c>
      <c r="BM154" t="s">
        <v>3370</v>
      </c>
      <c r="BN154" t="s">
        <v>74</v>
      </c>
      <c r="BO154" t="s">
        <v>74</v>
      </c>
      <c r="BP154" t="s">
        <v>74</v>
      </c>
      <c r="BQ154" t="s">
        <v>74</v>
      </c>
      <c r="BR154" t="s">
        <v>106</v>
      </c>
      <c r="BS154" t="s">
        <v>3371</v>
      </c>
      <c r="BT154" t="str">
        <f>HYPERLINK("https%3A%2F%2Fwww.webofscience.com%2Fwos%2Fwoscc%2Ffull-record%2FWOS:000487080600007","View Full Record in Web of Science")</f>
        <v>View Full Record in Web of Science</v>
      </c>
    </row>
    <row r="155" spans="1:72" x14ac:dyDescent="0.2">
      <c r="A155" t="s">
        <v>72</v>
      </c>
      <c r="B155" t="s">
        <v>3372</v>
      </c>
      <c r="C155" t="s">
        <v>74</v>
      </c>
      <c r="D155" t="s">
        <v>74</v>
      </c>
      <c r="E155" t="s">
        <v>74</v>
      </c>
      <c r="F155" t="s">
        <v>3373</v>
      </c>
      <c r="G155" t="s">
        <v>74</v>
      </c>
      <c r="H155" t="s">
        <v>74</v>
      </c>
      <c r="I155" t="s">
        <v>3374</v>
      </c>
      <c r="J155" t="s">
        <v>446</v>
      </c>
      <c r="K155" t="s">
        <v>74</v>
      </c>
      <c r="L155" t="s">
        <v>74</v>
      </c>
      <c r="M155" t="s">
        <v>78</v>
      </c>
      <c r="N155" t="s">
        <v>79</v>
      </c>
      <c r="O155" t="s">
        <v>74</v>
      </c>
      <c r="P155" t="s">
        <v>74</v>
      </c>
      <c r="Q155" t="s">
        <v>74</v>
      </c>
      <c r="R155" t="s">
        <v>74</v>
      </c>
      <c r="S155" t="s">
        <v>74</v>
      </c>
      <c r="T155" t="s">
        <v>3375</v>
      </c>
      <c r="U155" t="s">
        <v>3376</v>
      </c>
      <c r="V155" t="s">
        <v>3377</v>
      </c>
      <c r="W155" t="s">
        <v>3378</v>
      </c>
      <c r="X155" t="s">
        <v>3379</v>
      </c>
      <c r="Y155" t="s">
        <v>3380</v>
      </c>
      <c r="Z155" t="s">
        <v>3381</v>
      </c>
      <c r="AA155" t="s">
        <v>3382</v>
      </c>
      <c r="AB155" t="s">
        <v>3383</v>
      </c>
      <c r="AC155" t="s">
        <v>3384</v>
      </c>
      <c r="AD155" t="s">
        <v>3385</v>
      </c>
      <c r="AE155" t="s">
        <v>3386</v>
      </c>
      <c r="AF155" t="s">
        <v>74</v>
      </c>
      <c r="AG155">
        <v>104</v>
      </c>
      <c r="AH155">
        <v>8</v>
      </c>
      <c r="AI155">
        <v>9</v>
      </c>
      <c r="AJ155">
        <v>14</v>
      </c>
      <c r="AK155">
        <v>120</v>
      </c>
      <c r="AL155" t="s">
        <v>222</v>
      </c>
      <c r="AM155" t="s">
        <v>223</v>
      </c>
      <c r="AN155" t="s">
        <v>224</v>
      </c>
      <c r="AO155" t="s">
        <v>74</v>
      </c>
      <c r="AP155" t="s">
        <v>457</v>
      </c>
      <c r="AQ155" t="s">
        <v>74</v>
      </c>
      <c r="AR155" t="s">
        <v>446</v>
      </c>
      <c r="AS155" t="s">
        <v>458</v>
      </c>
      <c r="AT155" t="s">
        <v>2017</v>
      </c>
      <c r="AU155">
        <v>2023</v>
      </c>
      <c r="AV155">
        <v>13</v>
      </c>
      <c r="AW155">
        <v>10</v>
      </c>
      <c r="AX155" t="s">
        <v>74</v>
      </c>
      <c r="AY155" t="s">
        <v>74</v>
      </c>
      <c r="AZ155" t="s">
        <v>74</v>
      </c>
      <c r="BA155" t="s">
        <v>74</v>
      </c>
      <c r="BB155" t="s">
        <v>74</v>
      </c>
      <c r="BC155" t="s">
        <v>74</v>
      </c>
      <c r="BD155">
        <v>2618</v>
      </c>
      <c r="BE155" t="s">
        <v>3387</v>
      </c>
      <c r="BF155" t="str">
        <f>HYPERLINK("http://dx.doi.org/10.3390/agronomy13102618","http://dx.doi.org/10.3390/agronomy13102618")</f>
        <v>http://dx.doi.org/10.3390/agronomy13102618</v>
      </c>
      <c r="BG155" t="s">
        <v>74</v>
      </c>
      <c r="BH155" t="s">
        <v>74</v>
      </c>
      <c r="BI155">
        <v>20</v>
      </c>
      <c r="BJ155" t="s">
        <v>461</v>
      </c>
      <c r="BK155" t="s">
        <v>102</v>
      </c>
      <c r="BL155" t="s">
        <v>462</v>
      </c>
      <c r="BM155" t="s">
        <v>3388</v>
      </c>
      <c r="BN155" t="s">
        <v>74</v>
      </c>
      <c r="BO155" t="s">
        <v>231</v>
      </c>
      <c r="BP155" t="s">
        <v>74</v>
      </c>
      <c r="BQ155" t="s">
        <v>74</v>
      </c>
      <c r="BR155" t="s">
        <v>106</v>
      </c>
      <c r="BS155" t="s">
        <v>3389</v>
      </c>
      <c r="BT155" t="str">
        <f>HYPERLINK("https%3A%2F%2Fwww.webofscience.com%2Fwos%2Fwoscc%2Ffull-record%2FWOS:001095613900001","View Full Record in Web of Science")</f>
        <v>View Full Record in Web of Science</v>
      </c>
    </row>
    <row r="156" spans="1:72" x14ac:dyDescent="0.2">
      <c r="A156" t="s">
        <v>72</v>
      </c>
      <c r="B156" t="s">
        <v>3390</v>
      </c>
      <c r="C156" t="s">
        <v>74</v>
      </c>
      <c r="D156" t="s">
        <v>74</v>
      </c>
      <c r="E156" t="s">
        <v>74</v>
      </c>
      <c r="F156" t="s">
        <v>3391</v>
      </c>
      <c r="G156" t="s">
        <v>74</v>
      </c>
      <c r="H156" t="s">
        <v>74</v>
      </c>
      <c r="I156" t="s">
        <v>3392</v>
      </c>
      <c r="J156" t="s">
        <v>1526</v>
      </c>
      <c r="K156" t="s">
        <v>74</v>
      </c>
      <c r="L156" t="s">
        <v>74</v>
      </c>
      <c r="M156" t="s">
        <v>78</v>
      </c>
      <c r="N156" t="s">
        <v>79</v>
      </c>
      <c r="O156" t="s">
        <v>74</v>
      </c>
      <c r="P156" t="s">
        <v>74</v>
      </c>
      <c r="Q156" t="s">
        <v>74</v>
      </c>
      <c r="R156" t="s">
        <v>74</v>
      </c>
      <c r="S156" t="s">
        <v>74</v>
      </c>
      <c r="T156" t="s">
        <v>3393</v>
      </c>
      <c r="U156" t="s">
        <v>3394</v>
      </c>
      <c r="V156" t="s">
        <v>3395</v>
      </c>
      <c r="W156" t="s">
        <v>3396</v>
      </c>
      <c r="X156" t="s">
        <v>3397</v>
      </c>
      <c r="Y156" t="s">
        <v>3398</v>
      </c>
      <c r="Z156" t="s">
        <v>3399</v>
      </c>
      <c r="AA156" t="s">
        <v>3400</v>
      </c>
      <c r="AB156" t="s">
        <v>3401</v>
      </c>
      <c r="AC156" t="s">
        <v>3402</v>
      </c>
      <c r="AD156" t="s">
        <v>3403</v>
      </c>
      <c r="AE156" t="s">
        <v>3404</v>
      </c>
      <c r="AF156" t="s">
        <v>74</v>
      </c>
      <c r="AG156">
        <v>22</v>
      </c>
      <c r="AH156">
        <v>20</v>
      </c>
      <c r="AI156">
        <v>23</v>
      </c>
      <c r="AJ156">
        <v>15</v>
      </c>
      <c r="AK156">
        <v>47</v>
      </c>
      <c r="AL156" t="s">
        <v>176</v>
      </c>
      <c r="AM156" t="s">
        <v>1610</v>
      </c>
      <c r="AN156" t="s">
        <v>1611</v>
      </c>
      <c r="AO156" t="s">
        <v>1538</v>
      </c>
      <c r="AP156" t="s">
        <v>1539</v>
      </c>
      <c r="AQ156" t="s">
        <v>74</v>
      </c>
      <c r="AR156" t="s">
        <v>1540</v>
      </c>
      <c r="AS156" t="s">
        <v>1541</v>
      </c>
      <c r="AT156" t="s">
        <v>3405</v>
      </c>
      <c r="AU156">
        <v>2024</v>
      </c>
      <c r="AV156">
        <v>478</v>
      </c>
      <c r="AW156" t="s">
        <v>74</v>
      </c>
      <c r="AX156" t="s">
        <v>74</v>
      </c>
      <c r="AY156" t="s">
        <v>74</v>
      </c>
      <c r="AZ156" t="s">
        <v>74</v>
      </c>
      <c r="BA156" t="s">
        <v>74</v>
      </c>
      <c r="BB156" t="s">
        <v>74</v>
      </c>
      <c r="BC156" t="s">
        <v>74</v>
      </c>
      <c r="BD156">
        <v>143919</v>
      </c>
      <c r="BE156" t="s">
        <v>3406</v>
      </c>
      <c r="BF156" t="str">
        <f>HYPERLINK("http://dx.doi.org/10.1016/j.jclepro.2024.143919","http://dx.doi.org/10.1016/j.jclepro.2024.143919")</f>
        <v>http://dx.doi.org/10.1016/j.jclepro.2024.143919</v>
      </c>
      <c r="BG156" t="s">
        <v>74</v>
      </c>
      <c r="BH156" t="s">
        <v>3407</v>
      </c>
      <c r="BI156">
        <v>11</v>
      </c>
      <c r="BJ156" t="s">
        <v>1543</v>
      </c>
      <c r="BK156" t="s">
        <v>102</v>
      </c>
      <c r="BL156" t="s">
        <v>1544</v>
      </c>
      <c r="BM156" t="s">
        <v>3408</v>
      </c>
      <c r="BN156" t="s">
        <v>74</v>
      </c>
      <c r="BO156" t="s">
        <v>74</v>
      </c>
      <c r="BP156" t="s">
        <v>74</v>
      </c>
      <c r="BQ156" t="s">
        <v>74</v>
      </c>
      <c r="BR156" t="s">
        <v>106</v>
      </c>
      <c r="BS156" t="s">
        <v>3409</v>
      </c>
      <c r="BT156" t="str">
        <f>HYPERLINK("https%3A%2F%2Fwww.webofscience.com%2Fwos%2Fwoscc%2Ffull-record%2FWOS:001338967000001","View Full Record in Web of Science")</f>
        <v>View Full Record in Web of Science</v>
      </c>
    </row>
    <row r="157" spans="1:72" x14ac:dyDescent="0.2">
      <c r="A157" t="s">
        <v>72</v>
      </c>
      <c r="B157" t="s">
        <v>3410</v>
      </c>
      <c r="C157" t="s">
        <v>74</v>
      </c>
      <c r="D157" t="s">
        <v>74</v>
      </c>
      <c r="E157" t="s">
        <v>74</v>
      </c>
      <c r="F157" t="s">
        <v>3411</v>
      </c>
      <c r="G157" t="s">
        <v>74</v>
      </c>
      <c r="H157" t="s">
        <v>74</v>
      </c>
      <c r="I157" t="s">
        <v>3412</v>
      </c>
      <c r="J157" t="s">
        <v>3413</v>
      </c>
      <c r="K157" t="s">
        <v>74</v>
      </c>
      <c r="L157" t="s">
        <v>74</v>
      </c>
      <c r="M157" t="s">
        <v>78</v>
      </c>
      <c r="N157" t="s">
        <v>79</v>
      </c>
      <c r="O157" t="s">
        <v>74</v>
      </c>
      <c r="P157" t="s">
        <v>74</v>
      </c>
      <c r="Q157" t="s">
        <v>74</v>
      </c>
      <c r="R157" t="s">
        <v>74</v>
      </c>
      <c r="S157" t="s">
        <v>74</v>
      </c>
      <c r="T157" t="s">
        <v>3414</v>
      </c>
      <c r="U157" t="s">
        <v>74</v>
      </c>
      <c r="V157" t="s">
        <v>3415</v>
      </c>
      <c r="W157" t="s">
        <v>3416</v>
      </c>
      <c r="X157" t="s">
        <v>3417</v>
      </c>
      <c r="Y157" t="s">
        <v>3418</v>
      </c>
      <c r="Z157" t="s">
        <v>3419</v>
      </c>
      <c r="AA157" t="s">
        <v>3420</v>
      </c>
      <c r="AB157" t="s">
        <v>3421</v>
      </c>
      <c r="AC157" t="s">
        <v>3422</v>
      </c>
      <c r="AD157" t="s">
        <v>3423</v>
      </c>
      <c r="AE157" t="s">
        <v>3424</v>
      </c>
      <c r="AF157" t="s">
        <v>74</v>
      </c>
      <c r="AG157">
        <v>50</v>
      </c>
      <c r="AH157">
        <v>18</v>
      </c>
      <c r="AI157">
        <v>20</v>
      </c>
      <c r="AJ157">
        <v>24</v>
      </c>
      <c r="AK157">
        <v>81</v>
      </c>
      <c r="AL157" t="s">
        <v>123</v>
      </c>
      <c r="AM157" t="s">
        <v>124</v>
      </c>
      <c r="AN157" t="s">
        <v>125</v>
      </c>
      <c r="AO157" t="s">
        <v>3425</v>
      </c>
      <c r="AP157" t="s">
        <v>3426</v>
      </c>
      <c r="AQ157" t="s">
        <v>74</v>
      </c>
      <c r="AR157" t="s">
        <v>3427</v>
      </c>
      <c r="AS157" t="s">
        <v>3428</v>
      </c>
      <c r="AT157" t="s">
        <v>459</v>
      </c>
      <c r="AU157">
        <v>2024</v>
      </c>
      <c r="AV157">
        <v>159</v>
      </c>
      <c r="AW157" t="s">
        <v>74</v>
      </c>
      <c r="AX157" t="s">
        <v>74</v>
      </c>
      <c r="AY157" t="s">
        <v>74</v>
      </c>
      <c r="AZ157" t="s">
        <v>74</v>
      </c>
      <c r="BA157" t="s">
        <v>74</v>
      </c>
      <c r="BB157" t="s">
        <v>74</v>
      </c>
      <c r="BC157" t="s">
        <v>74</v>
      </c>
      <c r="BD157">
        <v>111757</v>
      </c>
      <c r="BE157" t="s">
        <v>3429</v>
      </c>
      <c r="BF157" t="str">
        <f>HYPERLINK("http://dx.doi.org/10.1016/j.ecolind.2024.111757","http://dx.doi.org/10.1016/j.ecolind.2024.111757")</f>
        <v>http://dx.doi.org/10.1016/j.ecolind.2024.111757</v>
      </c>
      <c r="BG157" t="s">
        <v>74</v>
      </c>
      <c r="BH157" t="s">
        <v>2430</v>
      </c>
      <c r="BI157">
        <v>19</v>
      </c>
      <c r="BJ157" t="s">
        <v>3430</v>
      </c>
      <c r="BK157" t="s">
        <v>102</v>
      </c>
      <c r="BL157" t="s">
        <v>756</v>
      </c>
      <c r="BM157" t="s">
        <v>3431</v>
      </c>
      <c r="BN157" t="s">
        <v>74</v>
      </c>
      <c r="BO157" t="s">
        <v>231</v>
      </c>
      <c r="BP157" t="s">
        <v>74</v>
      </c>
      <c r="BQ157" t="s">
        <v>74</v>
      </c>
      <c r="BR157" t="s">
        <v>106</v>
      </c>
      <c r="BS157" t="s">
        <v>3432</v>
      </c>
      <c r="BT157" t="str">
        <f>HYPERLINK("https%3A%2F%2Fwww.webofscience.com%2Fwos%2Fwoscc%2Ffull-record%2FWOS:001198249100001","View Full Record in Web of Science")</f>
        <v>View Full Record in Web of Science</v>
      </c>
    </row>
    <row r="158" spans="1:72" x14ac:dyDescent="0.2">
      <c r="A158" t="s">
        <v>72</v>
      </c>
      <c r="B158" t="s">
        <v>3433</v>
      </c>
      <c r="C158" t="s">
        <v>74</v>
      </c>
      <c r="D158" t="s">
        <v>74</v>
      </c>
      <c r="E158" t="s">
        <v>74</v>
      </c>
      <c r="F158" t="s">
        <v>3434</v>
      </c>
      <c r="G158" t="s">
        <v>74</v>
      </c>
      <c r="H158" t="s">
        <v>74</v>
      </c>
      <c r="I158" t="s">
        <v>3435</v>
      </c>
      <c r="J158" t="s">
        <v>3436</v>
      </c>
      <c r="K158" t="s">
        <v>74</v>
      </c>
      <c r="L158" t="s">
        <v>74</v>
      </c>
      <c r="M158" t="s">
        <v>78</v>
      </c>
      <c r="N158" t="s">
        <v>79</v>
      </c>
      <c r="O158" t="s">
        <v>74</v>
      </c>
      <c r="P158" t="s">
        <v>74</v>
      </c>
      <c r="Q158" t="s">
        <v>74</v>
      </c>
      <c r="R158" t="s">
        <v>74</v>
      </c>
      <c r="S158" t="s">
        <v>74</v>
      </c>
      <c r="T158" t="s">
        <v>3437</v>
      </c>
      <c r="U158" t="s">
        <v>3438</v>
      </c>
      <c r="V158" t="s">
        <v>3439</v>
      </c>
      <c r="W158" t="s">
        <v>3440</v>
      </c>
      <c r="X158" t="s">
        <v>3441</v>
      </c>
      <c r="Y158" t="s">
        <v>3442</v>
      </c>
      <c r="Z158" t="s">
        <v>3443</v>
      </c>
      <c r="AA158" t="s">
        <v>3444</v>
      </c>
      <c r="AB158" t="s">
        <v>3445</v>
      </c>
      <c r="AC158" t="s">
        <v>3446</v>
      </c>
      <c r="AD158" t="s">
        <v>3447</v>
      </c>
      <c r="AE158" t="s">
        <v>3448</v>
      </c>
      <c r="AF158" t="s">
        <v>74</v>
      </c>
      <c r="AG158">
        <v>48</v>
      </c>
      <c r="AH158">
        <v>18</v>
      </c>
      <c r="AI158">
        <v>23</v>
      </c>
      <c r="AJ158">
        <v>2</v>
      </c>
      <c r="AK158">
        <v>24</v>
      </c>
      <c r="AL158" t="s">
        <v>222</v>
      </c>
      <c r="AM158" t="s">
        <v>223</v>
      </c>
      <c r="AN158" t="s">
        <v>224</v>
      </c>
      <c r="AO158" t="s">
        <v>74</v>
      </c>
      <c r="AP158" t="s">
        <v>3449</v>
      </c>
      <c r="AQ158" t="s">
        <v>74</v>
      </c>
      <c r="AR158" t="s">
        <v>3450</v>
      </c>
      <c r="AS158" t="s">
        <v>3451</v>
      </c>
      <c r="AT158" t="s">
        <v>1752</v>
      </c>
      <c r="AU158">
        <v>2022</v>
      </c>
      <c r="AV158">
        <v>13</v>
      </c>
      <c r="AW158">
        <v>8</v>
      </c>
      <c r="AX158" t="s">
        <v>74</v>
      </c>
      <c r="AY158" t="s">
        <v>74</v>
      </c>
      <c r="AZ158" t="s">
        <v>74</v>
      </c>
      <c r="BA158" t="s">
        <v>74</v>
      </c>
      <c r="BB158" t="s">
        <v>74</v>
      </c>
      <c r="BC158" t="s">
        <v>74</v>
      </c>
      <c r="BD158">
        <v>1328</v>
      </c>
      <c r="BE158" t="s">
        <v>3452</v>
      </c>
      <c r="BF158" t="str">
        <f>HYPERLINK("http://dx.doi.org/10.3390/atmos13081328","http://dx.doi.org/10.3390/atmos13081328")</f>
        <v>http://dx.doi.org/10.3390/atmos13081328</v>
      </c>
      <c r="BG158" t="s">
        <v>74</v>
      </c>
      <c r="BH158" t="s">
        <v>74</v>
      </c>
      <c r="BI158">
        <v>17</v>
      </c>
      <c r="BJ158" t="s">
        <v>782</v>
      </c>
      <c r="BK158" t="s">
        <v>102</v>
      </c>
      <c r="BL158" t="s">
        <v>783</v>
      </c>
      <c r="BM158" t="s">
        <v>3453</v>
      </c>
      <c r="BN158" t="s">
        <v>74</v>
      </c>
      <c r="BO158" t="s">
        <v>161</v>
      </c>
      <c r="BP158" t="s">
        <v>74</v>
      </c>
      <c r="BQ158" t="s">
        <v>74</v>
      </c>
      <c r="BR158" t="s">
        <v>106</v>
      </c>
      <c r="BS158" t="s">
        <v>3454</v>
      </c>
      <c r="BT158" t="str">
        <f>HYPERLINK("https%3A%2F%2Fwww.webofscience.com%2Fwos%2Fwoscc%2Ffull-record%2FWOS:000846142200001","View Full Record in Web of Science")</f>
        <v>View Full Record in Web of Science</v>
      </c>
    </row>
    <row r="159" spans="1:72" x14ac:dyDescent="0.2">
      <c r="A159" t="s">
        <v>72</v>
      </c>
      <c r="B159" t="s">
        <v>3455</v>
      </c>
      <c r="C159" t="s">
        <v>74</v>
      </c>
      <c r="D159" t="s">
        <v>74</v>
      </c>
      <c r="E159" t="s">
        <v>74</v>
      </c>
      <c r="F159" t="s">
        <v>3456</v>
      </c>
      <c r="G159" t="s">
        <v>74</v>
      </c>
      <c r="H159" t="s">
        <v>74</v>
      </c>
      <c r="I159" t="s">
        <v>3457</v>
      </c>
      <c r="J159" t="s">
        <v>1760</v>
      </c>
      <c r="K159" t="s">
        <v>74</v>
      </c>
      <c r="L159" t="s">
        <v>74</v>
      </c>
      <c r="M159" t="s">
        <v>78</v>
      </c>
      <c r="N159" t="s">
        <v>79</v>
      </c>
      <c r="O159" t="s">
        <v>74</v>
      </c>
      <c r="P159" t="s">
        <v>74</v>
      </c>
      <c r="Q159" t="s">
        <v>74</v>
      </c>
      <c r="R159" t="s">
        <v>74</v>
      </c>
      <c r="S159" t="s">
        <v>74</v>
      </c>
      <c r="T159" t="s">
        <v>3458</v>
      </c>
      <c r="U159" t="s">
        <v>74</v>
      </c>
      <c r="V159" t="s">
        <v>3459</v>
      </c>
      <c r="W159" t="s">
        <v>3460</v>
      </c>
      <c r="X159" t="s">
        <v>3461</v>
      </c>
      <c r="Y159" t="s">
        <v>3462</v>
      </c>
      <c r="Z159" t="s">
        <v>3463</v>
      </c>
      <c r="AA159" t="s">
        <v>74</v>
      </c>
      <c r="AB159" t="s">
        <v>3464</v>
      </c>
      <c r="AC159" t="s">
        <v>74</v>
      </c>
      <c r="AD159" t="s">
        <v>74</v>
      </c>
      <c r="AE159" t="s">
        <v>3465</v>
      </c>
      <c r="AF159" t="s">
        <v>74</v>
      </c>
      <c r="AG159">
        <v>30</v>
      </c>
      <c r="AH159">
        <v>0</v>
      </c>
      <c r="AI159">
        <v>1</v>
      </c>
      <c r="AJ159">
        <v>7</v>
      </c>
      <c r="AK159">
        <v>36</v>
      </c>
      <c r="AL159" t="s">
        <v>1772</v>
      </c>
      <c r="AM159" t="s">
        <v>1773</v>
      </c>
      <c r="AN159" t="s">
        <v>1774</v>
      </c>
      <c r="AO159" t="s">
        <v>1775</v>
      </c>
      <c r="AP159" t="s">
        <v>74</v>
      </c>
      <c r="AQ159" t="s">
        <v>74</v>
      </c>
      <c r="AR159" t="s">
        <v>1776</v>
      </c>
      <c r="AS159" t="s">
        <v>1777</v>
      </c>
      <c r="AT159" t="s">
        <v>2017</v>
      </c>
      <c r="AU159">
        <v>2024</v>
      </c>
      <c r="AV159">
        <v>26</v>
      </c>
      <c r="AW159">
        <v>7</v>
      </c>
      <c r="AX159" t="s">
        <v>74</v>
      </c>
      <c r="AY159" t="s">
        <v>74</v>
      </c>
      <c r="AZ159" t="s">
        <v>74</v>
      </c>
      <c r="BA159" t="s">
        <v>74</v>
      </c>
      <c r="BB159" t="s">
        <v>74</v>
      </c>
      <c r="BC159" t="s">
        <v>74</v>
      </c>
      <c r="BD159">
        <v>5932</v>
      </c>
      <c r="BE159" t="s">
        <v>3466</v>
      </c>
      <c r="BF159" t="str">
        <f>HYPERLINK("http://dx.doi.org/10.30955/gnj.05932","http://dx.doi.org/10.30955/gnj.05932")</f>
        <v>http://dx.doi.org/10.30955/gnj.05932</v>
      </c>
      <c r="BG159" t="s">
        <v>74</v>
      </c>
      <c r="BH159" t="s">
        <v>74</v>
      </c>
      <c r="BI159">
        <v>15</v>
      </c>
      <c r="BJ159" t="s">
        <v>567</v>
      </c>
      <c r="BK159" t="s">
        <v>102</v>
      </c>
      <c r="BL159" t="s">
        <v>568</v>
      </c>
      <c r="BM159" t="s">
        <v>3467</v>
      </c>
      <c r="BN159" t="s">
        <v>74</v>
      </c>
      <c r="BO159" t="s">
        <v>74</v>
      </c>
      <c r="BP159" t="s">
        <v>74</v>
      </c>
      <c r="BQ159" t="s">
        <v>74</v>
      </c>
      <c r="BR159" t="s">
        <v>106</v>
      </c>
      <c r="BS159" t="s">
        <v>3468</v>
      </c>
      <c r="BT159" t="str">
        <f>HYPERLINK("https%3A%2F%2Fwww.webofscience.com%2Fwos%2Fwoscc%2Ffull-record%2FWOS:001297722100010","View Full Record in Web of Science")</f>
        <v>View Full Record in Web of Science</v>
      </c>
    </row>
    <row r="160" spans="1:72" x14ac:dyDescent="0.2">
      <c r="A160" t="s">
        <v>72</v>
      </c>
      <c r="B160" t="s">
        <v>3469</v>
      </c>
      <c r="C160" t="s">
        <v>74</v>
      </c>
      <c r="D160" t="s">
        <v>74</v>
      </c>
      <c r="E160" t="s">
        <v>74</v>
      </c>
      <c r="F160" t="s">
        <v>3470</v>
      </c>
      <c r="G160" t="s">
        <v>74</v>
      </c>
      <c r="H160" t="s">
        <v>74</v>
      </c>
      <c r="I160" t="s">
        <v>3471</v>
      </c>
      <c r="J160" t="s">
        <v>1231</v>
      </c>
      <c r="K160" t="s">
        <v>74</v>
      </c>
      <c r="L160" t="s">
        <v>74</v>
      </c>
      <c r="M160" t="s">
        <v>78</v>
      </c>
      <c r="N160" t="s">
        <v>79</v>
      </c>
      <c r="O160" t="s">
        <v>74</v>
      </c>
      <c r="P160" t="s">
        <v>74</v>
      </c>
      <c r="Q160" t="s">
        <v>74</v>
      </c>
      <c r="R160" t="s">
        <v>74</v>
      </c>
      <c r="S160" t="s">
        <v>74</v>
      </c>
      <c r="T160" t="s">
        <v>3472</v>
      </c>
      <c r="U160" t="s">
        <v>3473</v>
      </c>
      <c r="V160" t="s">
        <v>3474</v>
      </c>
      <c r="W160" t="s">
        <v>3475</v>
      </c>
      <c r="X160" t="s">
        <v>3476</v>
      </c>
      <c r="Y160" t="s">
        <v>3477</v>
      </c>
      <c r="Z160" t="s">
        <v>3478</v>
      </c>
      <c r="AA160" t="s">
        <v>74</v>
      </c>
      <c r="AB160" t="s">
        <v>3479</v>
      </c>
      <c r="AC160" t="s">
        <v>3480</v>
      </c>
      <c r="AD160" t="s">
        <v>3481</v>
      </c>
      <c r="AE160" t="s">
        <v>3482</v>
      </c>
      <c r="AF160" t="s">
        <v>74</v>
      </c>
      <c r="AG160">
        <v>60</v>
      </c>
      <c r="AH160">
        <v>54</v>
      </c>
      <c r="AI160">
        <v>61</v>
      </c>
      <c r="AJ160">
        <v>25</v>
      </c>
      <c r="AK160">
        <v>313</v>
      </c>
      <c r="AL160" t="s">
        <v>1242</v>
      </c>
      <c r="AM160" t="s">
        <v>1243</v>
      </c>
      <c r="AN160" t="s">
        <v>1244</v>
      </c>
      <c r="AO160" t="s">
        <v>1245</v>
      </c>
      <c r="AP160" t="s">
        <v>1246</v>
      </c>
      <c r="AQ160" t="s">
        <v>74</v>
      </c>
      <c r="AR160" t="s">
        <v>1247</v>
      </c>
      <c r="AS160" t="s">
        <v>1248</v>
      </c>
      <c r="AT160" t="s">
        <v>459</v>
      </c>
      <c r="AU160">
        <v>2021</v>
      </c>
      <c r="AV160">
        <v>28</v>
      </c>
      <c r="AW160">
        <v>5</v>
      </c>
      <c r="AX160" t="s">
        <v>74</v>
      </c>
      <c r="AY160" t="s">
        <v>74</v>
      </c>
      <c r="AZ160" t="s">
        <v>74</v>
      </c>
      <c r="BA160" t="s">
        <v>74</v>
      </c>
      <c r="BB160">
        <v>5742</v>
      </c>
      <c r="BC160">
        <v>5754</v>
      </c>
      <c r="BD160" t="s">
        <v>74</v>
      </c>
      <c r="BE160" t="s">
        <v>3483</v>
      </c>
      <c r="BF160" t="str">
        <f>HYPERLINK("http://dx.doi.org/10.1007/s11356-020-10914-w","http://dx.doi.org/10.1007/s11356-020-10914-w")</f>
        <v>http://dx.doi.org/10.1007/s11356-020-10914-w</v>
      </c>
      <c r="BG160" t="s">
        <v>74</v>
      </c>
      <c r="BH160" t="s">
        <v>3484</v>
      </c>
      <c r="BI160">
        <v>13</v>
      </c>
      <c r="BJ160" t="s">
        <v>567</v>
      </c>
      <c r="BK160" t="s">
        <v>102</v>
      </c>
      <c r="BL160" t="s">
        <v>568</v>
      </c>
      <c r="BM160" t="s">
        <v>3485</v>
      </c>
      <c r="BN160">
        <v>32974819</v>
      </c>
      <c r="BO160" t="s">
        <v>74</v>
      </c>
      <c r="BP160" t="s">
        <v>74</v>
      </c>
      <c r="BQ160" t="s">
        <v>74</v>
      </c>
      <c r="BR160" t="s">
        <v>106</v>
      </c>
      <c r="BS160" t="s">
        <v>3486</v>
      </c>
      <c r="BT160" t="str">
        <f>HYPERLINK("https%3A%2F%2Fwww.webofscience.com%2Fwos%2Fwoscc%2Ffull-record%2FWOS:000572607400006","View Full Record in Web of Science")</f>
        <v>View Full Record in Web of Science</v>
      </c>
    </row>
    <row r="161" spans="1:72" x14ac:dyDescent="0.2">
      <c r="A161" t="s">
        <v>72</v>
      </c>
      <c r="B161" t="s">
        <v>3487</v>
      </c>
      <c r="C161" t="s">
        <v>74</v>
      </c>
      <c r="D161" t="s">
        <v>74</v>
      </c>
      <c r="E161" t="s">
        <v>74</v>
      </c>
      <c r="F161" t="s">
        <v>3488</v>
      </c>
      <c r="G161" t="s">
        <v>74</v>
      </c>
      <c r="H161" t="s">
        <v>74</v>
      </c>
      <c r="I161" t="s">
        <v>3489</v>
      </c>
      <c r="J161" t="s">
        <v>211</v>
      </c>
      <c r="K161" t="s">
        <v>74</v>
      </c>
      <c r="L161" t="s">
        <v>74</v>
      </c>
      <c r="M161" t="s">
        <v>78</v>
      </c>
      <c r="N161" t="s">
        <v>79</v>
      </c>
      <c r="O161" t="s">
        <v>74</v>
      </c>
      <c r="P161" t="s">
        <v>74</v>
      </c>
      <c r="Q161" t="s">
        <v>74</v>
      </c>
      <c r="R161" t="s">
        <v>74</v>
      </c>
      <c r="S161" t="s">
        <v>74</v>
      </c>
      <c r="T161" t="s">
        <v>3490</v>
      </c>
      <c r="U161" t="s">
        <v>3491</v>
      </c>
      <c r="V161" t="s">
        <v>3492</v>
      </c>
      <c r="W161" t="s">
        <v>3493</v>
      </c>
      <c r="X161" t="s">
        <v>3494</v>
      </c>
      <c r="Y161" t="s">
        <v>3495</v>
      </c>
      <c r="Z161" t="s">
        <v>3496</v>
      </c>
      <c r="AA161" t="s">
        <v>3497</v>
      </c>
      <c r="AB161" t="s">
        <v>3498</v>
      </c>
      <c r="AC161" t="s">
        <v>3499</v>
      </c>
      <c r="AD161" t="s">
        <v>3500</v>
      </c>
      <c r="AE161" t="s">
        <v>3501</v>
      </c>
      <c r="AF161" t="s">
        <v>74</v>
      </c>
      <c r="AG161">
        <v>47</v>
      </c>
      <c r="AH161">
        <v>69</v>
      </c>
      <c r="AI161">
        <v>71</v>
      </c>
      <c r="AJ161">
        <v>19</v>
      </c>
      <c r="AK161">
        <v>262</v>
      </c>
      <c r="AL161" t="s">
        <v>222</v>
      </c>
      <c r="AM161" t="s">
        <v>223</v>
      </c>
      <c r="AN161" t="s">
        <v>224</v>
      </c>
      <c r="AO161" t="s">
        <v>74</v>
      </c>
      <c r="AP161" t="s">
        <v>225</v>
      </c>
      <c r="AQ161" t="s">
        <v>74</v>
      </c>
      <c r="AR161" t="s">
        <v>211</v>
      </c>
      <c r="AS161" t="s">
        <v>226</v>
      </c>
      <c r="AT161" t="s">
        <v>459</v>
      </c>
      <c r="AU161">
        <v>2022</v>
      </c>
      <c r="AV161">
        <v>15</v>
      </c>
      <c r="AW161">
        <v>3</v>
      </c>
      <c r="AX161" t="s">
        <v>74</v>
      </c>
      <c r="AY161" t="s">
        <v>74</v>
      </c>
      <c r="AZ161" t="s">
        <v>74</v>
      </c>
      <c r="BA161" t="s">
        <v>74</v>
      </c>
      <c r="BB161" t="s">
        <v>74</v>
      </c>
      <c r="BC161" t="s">
        <v>74</v>
      </c>
      <c r="BD161">
        <v>940</v>
      </c>
      <c r="BE161" t="s">
        <v>3502</v>
      </c>
      <c r="BF161" t="str">
        <f>HYPERLINK("http://dx.doi.org/10.3390/en15030940","http://dx.doi.org/10.3390/en15030940")</f>
        <v>http://dx.doi.org/10.3390/en15030940</v>
      </c>
      <c r="BG161" t="s">
        <v>74</v>
      </c>
      <c r="BH161" t="s">
        <v>74</v>
      </c>
      <c r="BI161">
        <v>20</v>
      </c>
      <c r="BJ161" t="s">
        <v>229</v>
      </c>
      <c r="BK161" t="s">
        <v>186</v>
      </c>
      <c r="BL161" t="s">
        <v>229</v>
      </c>
      <c r="BM161" t="s">
        <v>3503</v>
      </c>
      <c r="BN161" t="s">
        <v>74</v>
      </c>
      <c r="BO161" t="s">
        <v>161</v>
      </c>
      <c r="BP161" t="s">
        <v>74</v>
      </c>
      <c r="BQ161" t="s">
        <v>74</v>
      </c>
      <c r="BR161" t="s">
        <v>106</v>
      </c>
      <c r="BS161" t="s">
        <v>3504</v>
      </c>
      <c r="BT161" t="str">
        <f>HYPERLINK("https%3A%2F%2Fwww.webofscience.com%2Fwos%2Fwoscc%2Ffull-record%2FWOS:000754594500001","View Full Record in Web of Science")</f>
        <v>View Full Record in Web of Science</v>
      </c>
    </row>
    <row r="162" spans="1:72" x14ac:dyDescent="0.2">
      <c r="A162" t="s">
        <v>72</v>
      </c>
      <c r="B162" t="s">
        <v>3505</v>
      </c>
      <c r="C162" t="s">
        <v>74</v>
      </c>
      <c r="D162" t="s">
        <v>74</v>
      </c>
      <c r="E162" t="s">
        <v>74</v>
      </c>
      <c r="F162" t="s">
        <v>3506</v>
      </c>
      <c r="G162" t="s">
        <v>74</v>
      </c>
      <c r="H162" t="s">
        <v>74</v>
      </c>
      <c r="I162" t="s">
        <v>3507</v>
      </c>
      <c r="J162" t="s">
        <v>3508</v>
      </c>
      <c r="K162" t="s">
        <v>74</v>
      </c>
      <c r="L162" t="s">
        <v>74</v>
      </c>
      <c r="M162" t="s">
        <v>78</v>
      </c>
      <c r="N162" t="s">
        <v>79</v>
      </c>
      <c r="O162" t="s">
        <v>74</v>
      </c>
      <c r="P162" t="s">
        <v>74</v>
      </c>
      <c r="Q162" t="s">
        <v>74</v>
      </c>
      <c r="R162" t="s">
        <v>74</v>
      </c>
      <c r="S162" t="s">
        <v>74</v>
      </c>
      <c r="T162" t="s">
        <v>3509</v>
      </c>
      <c r="U162" t="s">
        <v>3510</v>
      </c>
      <c r="V162" t="s">
        <v>3511</v>
      </c>
      <c r="W162" t="s">
        <v>3512</v>
      </c>
      <c r="X162" t="s">
        <v>3513</v>
      </c>
      <c r="Y162" t="s">
        <v>3514</v>
      </c>
      <c r="Z162" t="s">
        <v>3515</v>
      </c>
      <c r="AA162" t="s">
        <v>3516</v>
      </c>
      <c r="AB162" t="s">
        <v>3517</v>
      </c>
      <c r="AC162" t="s">
        <v>74</v>
      </c>
      <c r="AD162" t="s">
        <v>74</v>
      </c>
      <c r="AE162" t="s">
        <v>74</v>
      </c>
      <c r="AF162" t="s">
        <v>74</v>
      </c>
      <c r="AG162">
        <v>38</v>
      </c>
      <c r="AH162">
        <v>23</v>
      </c>
      <c r="AI162">
        <v>27</v>
      </c>
      <c r="AJ162">
        <v>1</v>
      </c>
      <c r="AK162">
        <v>23</v>
      </c>
      <c r="AL162" t="s">
        <v>3518</v>
      </c>
      <c r="AM162" t="s">
        <v>3519</v>
      </c>
      <c r="AN162" t="s">
        <v>3520</v>
      </c>
      <c r="AO162" t="s">
        <v>3521</v>
      </c>
      <c r="AP162" t="s">
        <v>3522</v>
      </c>
      <c r="AQ162" t="s">
        <v>74</v>
      </c>
      <c r="AR162" t="s">
        <v>3523</v>
      </c>
      <c r="AS162" t="s">
        <v>3524</v>
      </c>
      <c r="AT162" t="s">
        <v>1632</v>
      </c>
      <c r="AU162">
        <v>2021</v>
      </c>
      <c r="AV162">
        <v>72</v>
      </c>
      <c r="AW162">
        <v>1</v>
      </c>
      <c r="AX162" t="s">
        <v>74</v>
      </c>
      <c r="AY162" t="s">
        <v>74</v>
      </c>
      <c r="AZ162" t="s">
        <v>74</v>
      </c>
      <c r="BA162" t="s">
        <v>74</v>
      </c>
      <c r="BB162">
        <v>46</v>
      </c>
      <c r="BC162">
        <v>55</v>
      </c>
      <c r="BD162" t="s">
        <v>74</v>
      </c>
      <c r="BE162" t="s">
        <v>3525</v>
      </c>
      <c r="BF162" t="str">
        <f>HYPERLINK("http://dx.doi.org/10.5344/ajev.2020.20027","http://dx.doi.org/10.5344/ajev.2020.20027")</f>
        <v>http://dx.doi.org/10.5344/ajev.2020.20027</v>
      </c>
      <c r="BG162" t="s">
        <v>74</v>
      </c>
      <c r="BH162" t="s">
        <v>74</v>
      </c>
      <c r="BI162">
        <v>10</v>
      </c>
      <c r="BJ162" t="s">
        <v>3526</v>
      </c>
      <c r="BK162" t="s">
        <v>102</v>
      </c>
      <c r="BL162" t="s">
        <v>3527</v>
      </c>
      <c r="BM162" t="s">
        <v>3528</v>
      </c>
      <c r="BN162" t="s">
        <v>74</v>
      </c>
      <c r="BO162" t="s">
        <v>74</v>
      </c>
      <c r="BP162" t="s">
        <v>74</v>
      </c>
      <c r="BQ162" t="s">
        <v>74</v>
      </c>
      <c r="BR162" t="s">
        <v>106</v>
      </c>
      <c r="BS162" t="s">
        <v>3529</v>
      </c>
      <c r="BT162" t="str">
        <f>HYPERLINK("https%3A%2F%2Fwww.webofscience.com%2Fwos%2Fwoscc%2Ffull-record%2FWOS:000607694800005","View Full Record in Web of Science")</f>
        <v>View Full Record in Web of Science</v>
      </c>
    </row>
    <row r="163" spans="1:72" x14ac:dyDescent="0.2">
      <c r="A163" t="s">
        <v>72</v>
      </c>
      <c r="B163" t="s">
        <v>3530</v>
      </c>
      <c r="C163" t="s">
        <v>74</v>
      </c>
      <c r="D163" t="s">
        <v>74</v>
      </c>
      <c r="E163" t="s">
        <v>74</v>
      </c>
      <c r="F163" t="s">
        <v>3531</v>
      </c>
      <c r="G163" t="s">
        <v>74</v>
      </c>
      <c r="H163" t="s">
        <v>74</v>
      </c>
      <c r="I163" t="s">
        <v>3532</v>
      </c>
      <c r="J163" t="s">
        <v>3533</v>
      </c>
      <c r="K163" t="s">
        <v>74</v>
      </c>
      <c r="L163" t="s">
        <v>74</v>
      </c>
      <c r="M163" t="s">
        <v>78</v>
      </c>
      <c r="N163" t="s">
        <v>79</v>
      </c>
      <c r="O163" t="s">
        <v>74</v>
      </c>
      <c r="P163" t="s">
        <v>74</v>
      </c>
      <c r="Q163" t="s">
        <v>74</v>
      </c>
      <c r="R163" t="s">
        <v>74</v>
      </c>
      <c r="S163" t="s">
        <v>74</v>
      </c>
      <c r="T163" t="s">
        <v>74</v>
      </c>
      <c r="U163" t="s">
        <v>3534</v>
      </c>
      <c r="V163" t="s">
        <v>3535</v>
      </c>
      <c r="W163" t="s">
        <v>3536</v>
      </c>
      <c r="X163" t="s">
        <v>3537</v>
      </c>
      <c r="Y163" t="s">
        <v>3538</v>
      </c>
      <c r="Z163" t="s">
        <v>3539</v>
      </c>
      <c r="AA163" t="s">
        <v>3540</v>
      </c>
      <c r="AB163" t="s">
        <v>3541</v>
      </c>
      <c r="AC163" t="s">
        <v>74</v>
      </c>
      <c r="AD163" t="s">
        <v>74</v>
      </c>
      <c r="AE163" t="s">
        <v>74</v>
      </c>
      <c r="AF163" t="s">
        <v>74</v>
      </c>
      <c r="AG163">
        <v>41</v>
      </c>
      <c r="AH163">
        <v>19</v>
      </c>
      <c r="AI163">
        <v>20</v>
      </c>
      <c r="AJ163">
        <v>0</v>
      </c>
      <c r="AK163">
        <v>25</v>
      </c>
      <c r="AL163" t="s">
        <v>377</v>
      </c>
      <c r="AM163" t="s">
        <v>93</v>
      </c>
      <c r="AN163" t="s">
        <v>378</v>
      </c>
      <c r="AO163" t="s">
        <v>3542</v>
      </c>
      <c r="AP163" t="s">
        <v>3543</v>
      </c>
      <c r="AQ163" t="s">
        <v>74</v>
      </c>
      <c r="AR163" t="s">
        <v>3544</v>
      </c>
      <c r="AS163" t="s">
        <v>3545</v>
      </c>
      <c r="AT163" t="s">
        <v>1468</v>
      </c>
      <c r="AU163">
        <v>2019</v>
      </c>
      <c r="AV163">
        <v>18</v>
      </c>
      <c r="AW163">
        <v>6</v>
      </c>
      <c r="AX163" t="s">
        <v>74</v>
      </c>
      <c r="AY163" t="s">
        <v>74</v>
      </c>
      <c r="AZ163" t="s">
        <v>74</v>
      </c>
      <c r="BA163" t="s">
        <v>74</v>
      </c>
      <c r="BB163">
        <v>1382</v>
      </c>
      <c r="BC163">
        <v>1388</v>
      </c>
      <c r="BD163" t="s">
        <v>74</v>
      </c>
      <c r="BE163" t="s">
        <v>3546</v>
      </c>
      <c r="BF163" t="str">
        <f>HYPERLINK("http://dx.doi.org/10.1039/c8pp00454d","http://dx.doi.org/10.1039/c8pp00454d")</f>
        <v>http://dx.doi.org/10.1039/c8pp00454d</v>
      </c>
      <c r="BG163" t="s">
        <v>74</v>
      </c>
      <c r="BH163" t="s">
        <v>74</v>
      </c>
      <c r="BI163">
        <v>7</v>
      </c>
      <c r="BJ163" t="s">
        <v>3547</v>
      </c>
      <c r="BK163" t="s">
        <v>102</v>
      </c>
      <c r="BL163" t="s">
        <v>3548</v>
      </c>
      <c r="BM163" t="s">
        <v>3549</v>
      </c>
      <c r="BN163">
        <v>30919854</v>
      </c>
      <c r="BO163" t="s">
        <v>74</v>
      </c>
      <c r="BP163" t="s">
        <v>74</v>
      </c>
      <c r="BQ163" t="s">
        <v>74</v>
      </c>
      <c r="BR163" t="s">
        <v>106</v>
      </c>
      <c r="BS163" t="s">
        <v>3550</v>
      </c>
      <c r="BT163" t="str">
        <f>HYPERLINK("https%3A%2F%2Fwww.webofscience.com%2Fwos%2Fwoscc%2Ffull-record%2FWOS:000471136600007","View Full Record in Web of Science")</f>
        <v>View Full Record in Web of Science</v>
      </c>
    </row>
    <row r="164" spans="1:72" x14ac:dyDescent="0.2">
      <c r="A164" t="s">
        <v>72</v>
      </c>
      <c r="B164" t="s">
        <v>3551</v>
      </c>
      <c r="C164" t="s">
        <v>74</v>
      </c>
      <c r="D164" t="s">
        <v>74</v>
      </c>
      <c r="E164" t="s">
        <v>74</v>
      </c>
      <c r="F164" t="s">
        <v>3552</v>
      </c>
      <c r="G164" t="s">
        <v>74</v>
      </c>
      <c r="H164" t="s">
        <v>74</v>
      </c>
      <c r="I164" t="s">
        <v>3553</v>
      </c>
      <c r="J164" t="s">
        <v>2104</v>
      </c>
      <c r="K164" t="s">
        <v>74</v>
      </c>
      <c r="L164" t="s">
        <v>74</v>
      </c>
      <c r="M164" t="s">
        <v>78</v>
      </c>
      <c r="N164" t="s">
        <v>79</v>
      </c>
      <c r="O164" t="s">
        <v>74</v>
      </c>
      <c r="P164" t="s">
        <v>74</v>
      </c>
      <c r="Q164" t="s">
        <v>74</v>
      </c>
      <c r="R164" t="s">
        <v>74</v>
      </c>
      <c r="S164" t="s">
        <v>74</v>
      </c>
      <c r="T164" t="s">
        <v>3554</v>
      </c>
      <c r="U164" t="s">
        <v>3555</v>
      </c>
      <c r="V164" t="s">
        <v>3556</v>
      </c>
      <c r="W164" t="s">
        <v>3557</v>
      </c>
      <c r="X164" t="s">
        <v>3558</v>
      </c>
      <c r="Y164" t="s">
        <v>3559</v>
      </c>
      <c r="Z164" t="s">
        <v>3560</v>
      </c>
      <c r="AA164" t="s">
        <v>3561</v>
      </c>
      <c r="AB164" t="s">
        <v>3562</v>
      </c>
      <c r="AC164" t="s">
        <v>3563</v>
      </c>
      <c r="AD164" t="s">
        <v>3564</v>
      </c>
      <c r="AE164" t="s">
        <v>3565</v>
      </c>
      <c r="AF164" t="s">
        <v>74</v>
      </c>
      <c r="AG164">
        <v>61</v>
      </c>
      <c r="AH164">
        <v>25</v>
      </c>
      <c r="AI164">
        <v>29</v>
      </c>
      <c r="AJ164">
        <v>1</v>
      </c>
      <c r="AK164">
        <v>38</v>
      </c>
      <c r="AL164" t="s">
        <v>1242</v>
      </c>
      <c r="AM164" t="s">
        <v>1243</v>
      </c>
      <c r="AN164" t="s">
        <v>1244</v>
      </c>
      <c r="AO164" t="s">
        <v>2116</v>
      </c>
      <c r="AP164" t="s">
        <v>2117</v>
      </c>
      <c r="AQ164" t="s">
        <v>74</v>
      </c>
      <c r="AR164" t="s">
        <v>2118</v>
      </c>
      <c r="AS164" t="s">
        <v>2119</v>
      </c>
      <c r="AT164" t="s">
        <v>636</v>
      </c>
      <c r="AU164">
        <v>2018</v>
      </c>
      <c r="AV164">
        <v>23</v>
      </c>
      <c r="AW164">
        <v>4</v>
      </c>
      <c r="AX164" t="s">
        <v>74</v>
      </c>
      <c r="AY164" t="s">
        <v>74</v>
      </c>
      <c r="AZ164" t="s">
        <v>74</v>
      </c>
      <c r="BA164" t="s">
        <v>74</v>
      </c>
      <c r="BB164">
        <v>787</v>
      </c>
      <c r="BC164">
        <v>799</v>
      </c>
      <c r="BD164" t="s">
        <v>74</v>
      </c>
      <c r="BE164" t="s">
        <v>3566</v>
      </c>
      <c r="BF164" t="str">
        <f>HYPERLINK("http://dx.doi.org/10.1007/s11367-017-1334-7","http://dx.doi.org/10.1007/s11367-017-1334-7")</f>
        <v>http://dx.doi.org/10.1007/s11367-017-1334-7</v>
      </c>
      <c r="BG164" t="s">
        <v>74</v>
      </c>
      <c r="BH164" t="s">
        <v>74</v>
      </c>
      <c r="BI164">
        <v>13</v>
      </c>
      <c r="BJ164" t="s">
        <v>340</v>
      </c>
      <c r="BK164" t="s">
        <v>102</v>
      </c>
      <c r="BL164" t="s">
        <v>341</v>
      </c>
      <c r="BM164" t="s">
        <v>3567</v>
      </c>
      <c r="BN164" t="s">
        <v>74</v>
      </c>
      <c r="BO164" t="s">
        <v>541</v>
      </c>
      <c r="BP164" t="s">
        <v>74</v>
      </c>
      <c r="BQ164" t="s">
        <v>74</v>
      </c>
      <c r="BR164" t="s">
        <v>106</v>
      </c>
      <c r="BS164" t="s">
        <v>3568</v>
      </c>
      <c r="BT164" t="str">
        <f>HYPERLINK("https%3A%2F%2Fwww.webofscience.com%2Fwos%2Fwoscc%2Ffull-record%2FWOS:000427994900004","View Full Record in Web of Science")</f>
        <v>View Full Record in Web of Science</v>
      </c>
    </row>
    <row r="165" spans="1:72" x14ac:dyDescent="0.2">
      <c r="A165" t="s">
        <v>72</v>
      </c>
      <c r="B165" t="s">
        <v>3569</v>
      </c>
      <c r="C165" t="s">
        <v>74</v>
      </c>
      <c r="D165" t="s">
        <v>74</v>
      </c>
      <c r="E165" t="s">
        <v>74</v>
      </c>
      <c r="F165" t="s">
        <v>3570</v>
      </c>
      <c r="G165" t="s">
        <v>74</v>
      </c>
      <c r="H165" t="s">
        <v>74</v>
      </c>
      <c r="I165" t="s">
        <v>3571</v>
      </c>
      <c r="J165" t="s">
        <v>3572</v>
      </c>
      <c r="K165" t="s">
        <v>74</v>
      </c>
      <c r="L165" t="s">
        <v>74</v>
      </c>
      <c r="M165" t="s">
        <v>78</v>
      </c>
      <c r="N165" t="s">
        <v>79</v>
      </c>
      <c r="O165" t="s">
        <v>74</v>
      </c>
      <c r="P165" t="s">
        <v>74</v>
      </c>
      <c r="Q165" t="s">
        <v>74</v>
      </c>
      <c r="R165" t="s">
        <v>74</v>
      </c>
      <c r="S165" t="s">
        <v>74</v>
      </c>
      <c r="T165" t="s">
        <v>3573</v>
      </c>
      <c r="U165" t="s">
        <v>3574</v>
      </c>
      <c r="V165" t="s">
        <v>3575</v>
      </c>
      <c r="W165" t="s">
        <v>3576</v>
      </c>
      <c r="X165" t="s">
        <v>3577</v>
      </c>
      <c r="Y165" t="s">
        <v>3578</v>
      </c>
      <c r="Z165" t="s">
        <v>3579</v>
      </c>
      <c r="AA165" t="s">
        <v>3580</v>
      </c>
      <c r="AB165" t="s">
        <v>3581</v>
      </c>
      <c r="AC165" t="s">
        <v>3582</v>
      </c>
      <c r="AD165" t="s">
        <v>3583</v>
      </c>
      <c r="AE165" t="s">
        <v>3584</v>
      </c>
      <c r="AF165" t="s">
        <v>74</v>
      </c>
      <c r="AG165">
        <v>86</v>
      </c>
      <c r="AH165">
        <v>0</v>
      </c>
      <c r="AI165">
        <v>0</v>
      </c>
      <c r="AJ165">
        <v>5</v>
      </c>
      <c r="AK165">
        <v>5</v>
      </c>
      <c r="AL165" t="s">
        <v>123</v>
      </c>
      <c r="AM165" t="s">
        <v>124</v>
      </c>
      <c r="AN165" t="s">
        <v>125</v>
      </c>
      <c r="AO165" t="s">
        <v>3585</v>
      </c>
      <c r="AP165" t="s">
        <v>3586</v>
      </c>
      <c r="AQ165" t="s">
        <v>74</v>
      </c>
      <c r="AR165" t="s">
        <v>3587</v>
      </c>
      <c r="AS165" t="s">
        <v>3588</v>
      </c>
      <c r="AT165" t="s">
        <v>2017</v>
      </c>
      <c r="AU165">
        <v>2025</v>
      </c>
      <c r="AV165">
        <v>202</v>
      </c>
      <c r="AW165" t="s">
        <v>74</v>
      </c>
      <c r="AX165" t="s">
        <v>2317</v>
      </c>
      <c r="AY165" t="s">
        <v>74</v>
      </c>
      <c r="AZ165" t="s">
        <v>74</v>
      </c>
      <c r="BA165" t="s">
        <v>74</v>
      </c>
      <c r="BB165" t="s">
        <v>74</v>
      </c>
      <c r="BC165" t="s">
        <v>74</v>
      </c>
      <c r="BD165">
        <v>107580</v>
      </c>
      <c r="BE165" t="s">
        <v>3589</v>
      </c>
      <c r="BF165" t="str">
        <f>HYPERLINK("http://dx.doi.org/10.1016/j.psep.2025.107580","http://dx.doi.org/10.1016/j.psep.2025.107580")</f>
        <v>http://dx.doi.org/10.1016/j.psep.2025.107580</v>
      </c>
      <c r="BG165" t="s">
        <v>74</v>
      </c>
      <c r="BH165" t="s">
        <v>1965</v>
      </c>
      <c r="BI165">
        <v>15</v>
      </c>
      <c r="BJ165" t="s">
        <v>3590</v>
      </c>
      <c r="BK165" t="s">
        <v>102</v>
      </c>
      <c r="BL165" t="s">
        <v>2743</v>
      </c>
      <c r="BM165" t="s">
        <v>3591</v>
      </c>
      <c r="BN165" t="s">
        <v>74</v>
      </c>
      <c r="BO165" t="s">
        <v>74</v>
      </c>
      <c r="BP165" t="s">
        <v>74</v>
      </c>
      <c r="BQ165" t="s">
        <v>74</v>
      </c>
      <c r="BR165" t="s">
        <v>106</v>
      </c>
      <c r="BS165" t="s">
        <v>3592</v>
      </c>
      <c r="BT165" t="str">
        <f>HYPERLINK("https%3A%2F%2Fwww.webofscience.com%2Fwos%2Fwoscc%2Ffull-record%2FWOS:001550406900001","View Full Record in Web of Science")</f>
        <v>View Full Record in Web of Science</v>
      </c>
    </row>
    <row r="166" spans="1:72" x14ac:dyDescent="0.2">
      <c r="A166" t="s">
        <v>72</v>
      </c>
      <c r="B166" t="s">
        <v>3593</v>
      </c>
      <c r="C166" t="s">
        <v>74</v>
      </c>
      <c r="D166" t="s">
        <v>74</v>
      </c>
      <c r="E166" t="s">
        <v>74</v>
      </c>
      <c r="F166" t="s">
        <v>3594</v>
      </c>
      <c r="G166" t="s">
        <v>74</v>
      </c>
      <c r="H166" t="s">
        <v>74</v>
      </c>
      <c r="I166" t="s">
        <v>3595</v>
      </c>
      <c r="J166" t="s">
        <v>1526</v>
      </c>
      <c r="K166" t="s">
        <v>74</v>
      </c>
      <c r="L166" t="s">
        <v>74</v>
      </c>
      <c r="M166" t="s">
        <v>78</v>
      </c>
      <c r="N166" t="s">
        <v>79</v>
      </c>
      <c r="O166" t="s">
        <v>74</v>
      </c>
      <c r="P166" t="s">
        <v>74</v>
      </c>
      <c r="Q166" t="s">
        <v>74</v>
      </c>
      <c r="R166" t="s">
        <v>74</v>
      </c>
      <c r="S166" t="s">
        <v>74</v>
      </c>
      <c r="T166" t="s">
        <v>3596</v>
      </c>
      <c r="U166" t="s">
        <v>3597</v>
      </c>
      <c r="V166" t="s">
        <v>3598</v>
      </c>
      <c r="W166" t="s">
        <v>3599</v>
      </c>
      <c r="X166" t="s">
        <v>3600</v>
      </c>
      <c r="Y166" t="s">
        <v>3601</v>
      </c>
      <c r="Z166" t="s">
        <v>3602</v>
      </c>
      <c r="AA166" t="s">
        <v>3603</v>
      </c>
      <c r="AB166" t="s">
        <v>3604</v>
      </c>
      <c r="AC166" t="s">
        <v>3605</v>
      </c>
      <c r="AD166" t="s">
        <v>3606</v>
      </c>
      <c r="AE166" t="s">
        <v>3607</v>
      </c>
      <c r="AF166" t="s">
        <v>74</v>
      </c>
      <c r="AG166">
        <v>54</v>
      </c>
      <c r="AH166">
        <v>87</v>
      </c>
      <c r="AI166">
        <v>118</v>
      </c>
      <c r="AJ166">
        <v>13</v>
      </c>
      <c r="AK166">
        <v>372</v>
      </c>
      <c r="AL166" t="s">
        <v>176</v>
      </c>
      <c r="AM166" t="s">
        <v>177</v>
      </c>
      <c r="AN166" t="s">
        <v>178</v>
      </c>
      <c r="AO166" t="s">
        <v>1538</v>
      </c>
      <c r="AP166" t="s">
        <v>1539</v>
      </c>
      <c r="AQ166" t="s">
        <v>74</v>
      </c>
      <c r="AR166" t="s">
        <v>1540</v>
      </c>
      <c r="AS166" t="s">
        <v>1541</v>
      </c>
      <c r="AT166" t="s">
        <v>3608</v>
      </c>
      <c r="AU166">
        <v>2017</v>
      </c>
      <c r="AV166">
        <v>146</v>
      </c>
      <c r="AW166" t="s">
        <v>74</v>
      </c>
      <c r="AX166" t="s">
        <v>74</v>
      </c>
      <c r="AY166" t="s">
        <v>74</v>
      </c>
      <c r="AZ166" t="s">
        <v>1070</v>
      </c>
      <c r="BA166" t="s">
        <v>74</v>
      </c>
      <c r="BB166">
        <v>218</v>
      </c>
      <c r="BC166">
        <v>227</v>
      </c>
      <c r="BD166" t="s">
        <v>74</v>
      </c>
      <c r="BE166" t="s">
        <v>3609</v>
      </c>
      <c r="BF166" t="str">
        <f>HYPERLINK("http://dx.doi.org/10.1016/j.jclepro.2016.11.181","http://dx.doi.org/10.1016/j.jclepro.2016.11.181")</f>
        <v>http://dx.doi.org/10.1016/j.jclepro.2016.11.181</v>
      </c>
      <c r="BG166" t="s">
        <v>74</v>
      </c>
      <c r="BH166" t="s">
        <v>74</v>
      </c>
      <c r="BI166">
        <v>10</v>
      </c>
      <c r="BJ166" t="s">
        <v>1543</v>
      </c>
      <c r="BK166" t="s">
        <v>102</v>
      </c>
      <c r="BL166" t="s">
        <v>1544</v>
      </c>
      <c r="BM166" t="s">
        <v>3610</v>
      </c>
      <c r="BN166" t="s">
        <v>74</v>
      </c>
      <c r="BO166" t="s">
        <v>74</v>
      </c>
      <c r="BP166" t="s">
        <v>74</v>
      </c>
      <c r="BQ166" t="s">
        <v>74</v>
      </c>
      <c r="BR166" t="s">
        <v>106</v>
      </c>
      <c r="BS166" t="s">
        <v>3611</v>
      </c>
      <c r="BT166" t="str">
        <f>HYPERLINK("https%3A%2F%2Fwww.webofscience.com%2Fwos%2Fwoscc%2Ffull-record%2FWOS:000397368000022","View Full Record in Web of Science")</f>
        <v>View Full Record in Web of Science</v>
      </c>
    </row>
    <row r="167" spans="1:72" x14ac:dyDescent="0.2">
      <c r="A167" t="s">
        <v>72</v>
      </c>
      <c r="B167" t="s">
        <v>3612</v>
      </c>
      <c r="C167" t="s">
        <v>74</v>
      </c>
      <c r="D167" t="s">
        <v>74</v>
      </c>
      <c r="E167" t="s">
        <v>74</v>
      </c>
      <c r="F167" t="s">
        <v>3613</v>
      </c>
      <c r="G167" t="s">
        <v>74</v>
      </c>
      <c r="H167" t="s">
        <v>74</v>
      </c>
      <c r="I167" t="s">
        <v>3614</v>
      </c>
      <c r="J167" t="s">
        <v>1833</v>
      </c>
      <c r="K167" t="s">
        <v>74</v>
      </c>
      <c r="L167" t="s">
        <v>74</v>
      </c>
      <c r="M167" t="s">
        <v>78</v>
      </c>
      <c r="N167" t="s">
        <v>492</v>
      </c>
      <c r="O167" t="s">
        <v>74</v>
      </c>
      <c r="P167" t="s">
        <v>74</v>
      </c>
      <c r="Q167" t="s">
        <v>74</v>
      </c>
      <c r="R167" t="s">
        <v>74</v>
      </c>
      <c r="S167" t="s">
        <v>74</v>
      </c>
      <c r="T167" t="s">
        <v>3615</v>
      </c>
      <c r="U167" t="s">
        <v>3616</v>
      </c>
      <c r="V167" t="s">
        <v>3617</v>
      </c>
      <c r="W167" t="s">
        <v>3618</v>
      </c>
      <c r="X167" t="s">
        <v>3619</v>
      </c>
      <c r="Y167" t="s">
        <v>3620</v>
      </c>
      <c r="Z167" t="s">
        <v>3621</v>
      </c>
      <c r="AA167" t="s">
        <v>74</v>
      </c>
      <c r="AB167" t="s">
        <v>74</v>
      </c>
      <c r="AC167" t="s">
        <v>74</v>
      </c>
      <c r="AD167" t="s">
        <v>74</v>
      </c>
      <c r="AE167" t="s">
        <v>74</v>
      </c>
      <c r="AF167" t="s">
        <v>74</v>
      </c>
      <c r="AG167">
        <v>114</v>
      </c>
      <c r="AH167">
        <v>6</v>
      </c>
      <c r="AI167">
        <v>6</v>
      </c>
      <c r="AJ167">
        <v>8</v>
      </c>
      <c r="AK167">
        <v>47</v>
      </c>
      <c r="AL167" t="s">
        <v>585</v>
      </c>
      <c r="AM167" t="s">
        <v>306</v>
      </c>
      <c r="AN167" t="s">
        <v>586</v>
      </c>
      <c r="AO167" t="s">
        <v>1841</v>
      </c>
      <c r="AP167" t="s">
        <v>1842</v>
      </c>
      <c r="AQ167" t="s">
        <v>74</v>
      </c>
      <c r="AR167" t="s">
        <v>1843</v>
      </c>
      <c r="AS167" t="s">
        <v>1844</v>
      </c>
      <c r="AT167" t="s">
        <v>3622</v>
      </c>
      <c r="AU167">
        <v>2024</v>
      </c>
      <c r="AV167" t="s">
        <v>74</v>
      </c>
      <c r="AW167" t="s">
        <v>74</v>
      </c>
      <c r="AX167" t="s">
        <v>74</v>
      </c>
      <c r="AY167" t="s">
        <v>74</v>
      </c>
      <c r="AZ167" t="s">
        <v>74</v>
      </c>
      <c r="BA167" t="s">
        <v>74</v>
      </c>
      <c r="BB167" t="s">
        <v>74</v>
      </c>
      <c r="BC167" t="s">
        <v>74</v>
      </c>
      <c r="BD167" t="s">
        <v>74</v>
      </c>
      <c r="BE167" t="s">
        <v>3623</v>
      </c>
      <c r="BF167" t="str">
        <f>HYPERLINK("http://dx.doi.org/10.1080/14735903.2024.2331949","http://dx.doi.org/10.1080/14735903.2024.2331949")</f>
        <v>http://dx.doi.org/10.1080/14735903.2024.2331949</v>
      </c>
      <c r="BG167" t="s">
        <v>74</v>
      </c>
      <c r="BH167" t="s">
        <v>3624</v>
      </c>
      <c r="BI167">
        <v>20</v>
      </c>
      <c r="BJ167" t="s">
        <v>1846</v>
      </c>
      <c r="BK167" t="s">
        <v>102</v>
      </c>
      <c r="BL167" t="s">
        <v>1847</v>
      </c>
      <c r="BM167" t="s">
        <v>3625</v>
      </c>
      <c r="BN167" t="s">
        <v>74</v>
      </c>
      <c r="BO167" t="s">
        <v>231</v>
      </c>
      <c r="BP167" t="s">
        <v>74</v>
      </c>
      <c r="BQ167" t="s">
        <v>74</v>
      </c>
      <c r="BR167" t="s">
        <v>106</v>
      </c>
      <c r="BS167" t="s">
        <v>3626</v>
      </c>
      <c r="BT167" t="str">
        <f>HYPERLINK("https%3A%2F%2Fwww.webofscience.com%2Fwos%2Fwoscc%2Ffull-record%2FWOS:001238392900001","View Full Record in Web of Science")</f>
        <v>View Full Record in Web of Science</v>
      </c>
    </row>
    <row r="168" spans="1:72" x14ac:dyDescent="0.2">
      <c r="A168" t="s">
        <v>72</v>
      </c>
      <c r="B168" t="s">
        <v>3627</v>
      </c>
      <c r="C168" t="s">
        <v>74</v>
      </c>
      <c r="D168" t="s">
        <v>74</v>
      </c>
      <c r="E168" t="s">
        <v>74</v>
      </c>
      <c r="F168" t="s">
        <v>3628</v>
      </c>
      <c r="G168" t="s">
        <v>74</v>
      </c>
      <c r="H168" t="s">
        <v>74</v>
      </c>
      <c r="I168" t="s">
        <v>3629</v>
      </c>
      <c r="J168" t="s">
        <v>3630</v>
      </c>
      <c r="K168" t="s">
        <v>74</v>
      </c>
      <c r="L168" t="s">
        <v>74</v>
      </c>
      <c r="M168" t="s">
        <v>78</v>
      </c>
      <c r="N168" t="s">
        <v>79</v>
      </c>
      <c r="O168" t="s">
        <v>74</v>
      </c>
      <c r="P168" t="s">
        <v>74</v>
      </c>
      <c r="Q168" t="s">
        <v>74</v>
      </c>
      <c r="R168" t="s">
        <v>74</v>
      </c>
      <c r="S168" t="s">
        <v>74</v>
      </c>
      <c r="T168" t="s">
        <v>74</v>
      </c>
      <c r="U168" t="s">
        <v>3631</v>
      </c>
      <c r="V168" t="s">
        <v>3632</v>
      </c>
      <c r="W168" t="s">
        <v>3633</v>
      </c>
      <c r="X168" t="s">
        <v>3634</v>
      </c>
      <c r="Y168" t="s">
        <v>3635</v>
      </c>
      <c r="Z168" t="s">
        <v>3636</v>
      </c>
      <c r="AA168" t="s">
        <v>3637</v>
      </c>
      <c r="AB168" t="s">
        <v>74</v>
      </c>
      <c r="AC168" t="s">
        <v>3638</v>
      </c>
      <c r="AD168" t="s">
        <v>3638</v>
      </c>
      <c r="AE168" t="s">
        <v>3639</v>
      </c>
      <c r="AF168" t="s">
        <v>74</v>
      </c>
      <c r="AG168">
        <v>53</v>
      </c>
      <c r="AH168">
        <v>0</v>
      </c>
      <c r="AI168">
        <v>0</v>
      </c>
      <c r="AJ168">
        <v>2</v>
      </c>
      <c r="AK168">
        <v>2</v>
      </c>
      <c r="AL168" t="s">
        <v>504</v>
      </c>
      <c r="AM168" t="s">
        <v>505</v>
      </c>
      <c r="AN168" t="s">
        <v>506</v>
      </c>
      <c r="AO168" t="s">
        <v>3640</v>
      </c>
      <c r="AP168" t="s">
        <v>3641</v>
      </c>
      <c r="AQ168" t="s">
        <v>74</v>
      </c>
      <c r="AR168" t="s">
        <v>3642</v>
      </c>
      <c r="AS168" t="s">
        <v>3643</v>
      </c>
      <c r="AT168" t="s">
        <v>2017</v>
      </c>
      <c r="AU168">
        <v>2025</v>
      </c>
      <c r="AV168">
        <v>36</v>
      </c>
      <c r="AW168">
        <v>28</v>
      </c>
      <c r="AX168" t="s">
        <v>74</v>
      </c>
      <c r="AY168" t="s">
        <v>74</v>
      </c>
      <c r="AZ168" t="s">
        <v>74</v>
      </c>
      <c r="BA168" t="s">
        <v>74</v>
      </c>
      <c r="BB168" t="s">
        <v>74</v>
      </c>
      <c r="BC168" t="s">
        <v>74</v>
      </c>
      <c r="BD168">
        <v>1839</v>
      </c>
      <c r="BE168" t="s">
        <v>3644</v>
      </c>
      <c r="BF168" t="str">
        <f>HYPERLINK("http://dx.doi.org/10.1007/s10854-025-15916-3","http://dx.doi.org/10.1007/s10854-025-15916-3")</f>
        <v>http://dx.doi.org/10.1007/s10854-025-15916-3</v>
      </c>
      <c r="BG168" t="s">
        <v>74</v>
      </c>
      <c r="BH168" t="s">
        <v>74</v>
      </c>
      <c r="BI168">
        <v>15</v>
      </c>
      <c r="BJ168" t="s">
        <v>3645</v>
      </c>
      <c r="BK168" t="s">
        <v>102</v>
      </c>
      <c r="BL168" t="s">
        <v>3646</v>
      </c>
      <c r="BM168" t="s">
        <v>3647</v>
      </c>
      <c r="BN168" t="s">
        <v>74</v>
      </c>
      <c r="BO168" t="s">
        <v>74</v>
      </c>
      <c r="BP168" t="s">
        <v>74</v>
      </c>
      <c r="BQ168" t="s">
        <v>74</v>
      </c>
      <c r="BR168" t="s">
        <v>106</v>
      </c>
      <c r="BS168" t="s">
        <v>3648</v>
      </c>
      <c r="BT168" t="str">
        <f>HYPERLINK("https%3A%2F%2Fwww.webofscience.com%2Fwos%2Fwoscc%2Ffull-record%2FWOS:001591582900002","View Full Record in Web of Science")</f>
        <v>View Full Record in Web of Science</v>
      </c>
    </row>
    <row r="169" spans="1:72" x14ac:dyDescent="0.2">
      <c r="A169" t="s">
        <v>72</v>
      </c>
      <c r="B169" t="s">
        <v>3649</v>
      </c>
      <c r="C169" t="s">
        <v>74</v>
      </c>
      <c r="D169" t="s">
        <v>74</v>
      </c>
      <c r="E169" t="s">
        <v>74</v>
      </c>
      <c r="F169" t="s">
        <v>3650</v>
      </c>
      <c r="G169" t="s">
        <v>74</v>
      </c>
      <c r="H169" t="s">
        <v>74</v>
      </c>
      <c r="I169" t="s">
        <v>3651</v>
      </c>
      <c r="J169" t="s">
        <v>1833</v>
      </c>
      <c r="K169" t="s">
        <v>74</v>
      </c>
      <c r="L169" t="s">
        <v>74</v>
      </c>
      <c r="M169" t="s">
        <v>78</v>
      </c>
      <c r="N169" t="s">
        <v>79</v>
      </c>
      <c r="O169" t="s">
        <v>74</v>
      </c>
      <c r="P169" t="s">
        <v>74</v>
      </c>
      <c r="Q169" t="s">
        <v>74</v>
      </c>
      <c r="R169" t="s">
        <v>74</v>
      </c>
      <c r="S169" t="s">
        <v>74</v>
      </c>
      <c r="T169" t="s">
        <v>3652</v>
      </c>
      <c r="U169" t="s">
        <v>3653</v>
      </c>
      <c r="V169" t="s">
        <v>3654</v>
      </c>
      <c r="W169" t="s">
        <v>3655</v>
      </c>
      <c r="X169" t="s">
        <v>3656</v>
      </c>
      <c r="Y169" t="s">
        <v>3657</v>
      </c>
      <c r="Z169" t="s">
        <v>3658</v>
      </c>
      <c r="AA169" t="s">
        <v>3659</v>
      </c>
      <c r="AB169" t="s">
        <v>3660</v>
      </c>
      <c r="AC169" t="s">
        <v>74</v>
      </c>
      <c r="AD169" t="s">
        <v>74</v>
      </c>
      <c r="AE169" t="s">
        <v>74</v>
      </c>
      <c r="AF169" t="s">
        <v>74</v>
      </c>
      <c r="AG169">
        <v>67</v>
      </c>
      <c r="AH169">
        <v>8</v>
      </c>
      <c r="AI169">
        <v>10</v>
      </c>
      <c r="AJ169">
        <v>0</v>
      </c>
      <c r="AK169">
        <v>21</v>
      </c>
      <c r="AL169" t="s">
        <v>585</v>
      </c>
      <c r="AM169" t="s">
        <v>306</v>
      </c>
      <c r="AN169" t="s">
        <v>586</v>
      </c>
      <c r="AO169" t="s">
        <v>1841</v>
      </c>
      <c r="AP169" t="s">
        <v>1842</v>
      </c>
      <c r="AQ169" t="s">
        <v>74</v>
      </c>
      <c r="AR169" t="s">
        <v>1843</v>
      </c>
      <c r="AS169" t="s">
        <v>1844</v>
      </c>
      <c r="AT169" t="s">
        <v>74</v>
      </c>
      <c r="AU169">
        <v>2017</v>
      </c>
      <c r="AV169">
        <v>15</v>
      </c>
      <c r="AW169">
        <v>6</v>
      </c>
      <c r="AX169" t="s">
        <v>74</v>
      </c>
      <c r="AY169" t="s">
        <v>74</v>
      </c>
      <c r="AZ169" t="s">
        <v>74</v>
      </c>
      <c r="BA169" t="s">
        <v>74</v>
      </c>
      <c r="BB169">
        <v>645</v>
      </c>
      <c r="BC169">
        <v>661</v>
      </c>
      <c r="BD169" t="s">
        <v>74</v>
      </c>
      <c r="BE169" t="s">
        <v>3661</v>
      </c>
      <c r="BF169" t="str">
        <f>HYPERLINK("http://dx.doi.org/10.1080/14735903.2017.1398628","http://dx.doi.org/10.1080/14735903.2017.1398628")</f>
        <v>http://dx.doi.org/10.1080/14735903.2017.1398628</v>
      </c>
      <c r="BG169" t="s">
        <v>74</v>
      </c>
      <c r="BH169" t="s">
        <v>74</v>
      </c>
      <c r="BI169">
        <v>17</v>
      </c>
      <c r="BJ169" t="s">
        <v>1846</v>
      </c>
      <c r="BK169" t="s">
        <v>186</v>
      </c>
      <c r="BL169" t="s">
        <v>1847</v>
      </c>
      <c r="BM169" t="s">
        <v>3662</v>
      </c>
      <c r="BN169" t="s">
        <v>74</v>
      </c>
      <c r="BO169" t="s">
        <v>541</v>
      </c>
      <c r="BP169" t="s">
        <v>74</v>
      </c>
      <c r="BQ169" t="s">
        <v>74</v>
      </c>
      <c r="BR169" t="s">
        <v>106</v>
      </c>
      <c r="BS169" t="s">
        <v>3663</v>
      </c>
      <c r="BT169" t="str">
        <f>HYPERLINK("https%3A%2F%2Fwww.webofscience.com%2Fwos%2Fwoscc%2Ffull-record%2FWOS:000418934400003","View Full Record in Web of Science")</f>
        <v>View Full Record in Web of Science</v>
      </c>
    </row>
    <row r="170" spans="1:72" x14ac:dyDescent="0.2">
      <c r="A170" t="s">
        <v>72</v>
      </c>
      <c r="B170" t="s">
        <v>3664</v>
      </c>
      <c r="C170" t="s">
        <v>74</v>
      </c>
      <c r="D170" t="s">
        <v>74</v>
      </c>
      <c r="E170" t="s">
        <v>74</v>
      </c>
      <c r="F170" t="s">
        <v>3665</v>
      </c>
      <c r="G170" t="s">
        <v>74</v>
      </c>
      <c r="H170" t="s">
        <v>74</v>
      </c>
      <c r="I170" t="s">
        <v>3666</v>
      </c>
      <c r="J170" t="s">
        <v>347</v>
      </c>
      <c r="K170" t="s">
        <v>74</v>
      </c>
      <c r="L170" t="s">
        <v>74</v>
      </c>
      <c r="M170" t="s">
        <v>78</v>
      </c>
      <c r="N170" t="s">
        <v>79</v>
      </c>
      <c r="O170" t="s">
        <v>74</v>
      </c>
      <c r="P170" t="s">
        <v>74</v>
      </c>
      <c r="Q170" t="s">
        <v>74</v>
      </c>
      <c r="R170" t="s">
        <v>74</v>
      </c>
      <c r="S170" t="s">
        <v>74</v>
      </c>
      <c r="T170" t="s">
        <v>74</v>
      </c>
      <c r="U170" t="s">
        <v>3667</v>
      </c>
      <c r="V170" t="s">
        <v>3668</v>
      </c>
      <c r="W170" t="s">
        <v>3669</v>
      </c>
      <c r="X170" t="s">
        <v>3670</v>
      </c>
      <c r="Y170" t="s">
        <v>3671</v>
      </c>
      <c r="Z170" t="s">
        <v>3672</v>
      </c>
      <c r="AA170" t="s">
        <v>3673</v>
      </c>
      <c r="AB170" t="s">
        <v>74</v>
      </c>
      <c r="AC170" t="s">
        <v>3674</v>
      </c>
      <c r="AD170" t="s">
        <v>3675</v>
      </c>
      <c r="AE170" t="s">
        <v>3676</v>
      </c>
      <c r="AF170" t="s">
        <v>74</v>
      </c>
      <c r="AG170">
        <v>53</v>
      </c>
      <c r="AH170">
        <v>23</v>
      </c>
      <c r="AI170">
        <v>23</v>
      </c>
      <c r="AJ170">
        <v>2</v>
      </c>
      <c r="AK170">
        <v>18</v>
      </c>
      <c r="AL170" t="s">
        <v>274</v>
      </c>
      <c r="AM170" t="s">
        <v>275</v>
      </c>
      <c r="AN170" t="s">
        <v>276</v>
      </c>
      <c r="AO170" t="s">
        <v>357</v>
      </c>
      <c r="AP170" t="s">
        <v>74</v>
      </c>
      <c r="AQ170" t="s">
        <v>74</v>
      </c>
      <c r="AR170" t="s">
        <v>358</v>
      </c>
      <c r="AS170" t="s">
        <v>359</v>
      </c>
      <c r="AT170" t="s">
        <v>3677</v>
      </c>
      <c r="AU170">
        <v>2023</v>
      </c>
      <c r="AV170">
        <v>13</v>
      </c>
      <c r="AW170">
        <v>1</v>
      </c>
      <c r="AX170" t="s">
        <v>74</v>
      </c>
      <c r="AY170" t="s">
        <v>74</v>
      </c>
      <c r="AZ170" t="s">
        <v>74</v>
      </c>
      <c r="BA170" t="s">
        <v>74</v>
      </c>
      <c r="BB170" t="s">
        <v>74</v>
      </c>
      <c r="BC170" t="s">
        <v>74</v>
      </c>
      <c r="BD170">
        <v>19008</v>
      </c>
      <c r="BE170" t="s">
        <v>3678</v>
      </c>
      <c r="BF170" t="str">
        <f>HYPERLINK("http://dx.doi.org/10.1038/s41598-023-43118-6","http://dx.doi.org/10.1038/s41598-023-43118-6")</f>
        <v>http://dx.doi.org/10.1038/s41598-023-43118-6</v>
      </c>
      <c r="BG170" t="s">
        <v>74</v>
      </c>
      <c r="BH170" t="s">
        <v>74</v>
      </c>
      <c r="BI170">
        <v>12</v>
      </c>
      <c r="BJ170" t="s">
        <v>158</v>
      </c>
      <c r="BK170" t="s">
        <v>102</v>
      </c>
      <c r="BL170" t="s">
        <v>159</v>
      </c>
      <c r="BM170" t="s">
        <v>3679</v>
      </c>
      <c r="BN170">
        <v>37923761</v>
      </c>
      <c r="BO170" t="s">
        <v>161</v>
      </c>
      <c r="BP170" t="s">
        <v>74</v>
      </c>
      <c r="BQ170" t="s">
        <v>74</v>
      </c>
      <c r="BR170" t="s">
        <v>106</v>
      </c>
      <c r="BS170" t="s">
        <v>3680</v>
      </c>
      <c r="BT170" t="str">
        <f>HYPERLINK("https%3A%2F%2Fwww.webofscience.com%2Fwos%2Fwoscc%2Ffull-record%2FWOS:001102763800004","View Full Record in Web of Science")</f>
        <v>View Full Record in Web of Science</v>
      </c>
    </row>
    <row r="171" spans="1:72" x14ac:dyDescent="0.2">
      <c r="A171" t="s">
        <v>72</v>
      </c>
      <c r="B171" t="s">
        <v>3681</v>
      </c>
      <c r="C171" t="s">
        <v>74</v>
      </c>
      <c r="D171" t="s">
        <v>74</v>
      </c>
      <c r="E171" t="s">
        <v>74</v>
      </c>
      <c r="F171" t="s">
        <v>3682</v>
      </c>
      <c r="G171" t="s">
        <v>74</v>
      </c>
      <c r="H171" t="s">
        <v>74</v>
      </c>
      <c r="I171" t="s">
        <v>3683</v>
      </c>
      <c r="J171" t="s">
        <v>995</v>
      </c>
      <c r="K171" t="s">
        <v>74</v>
      </c>
      <c r="L171" t="s">
        <v>74</v>
      </c>
      <c r="M171" t="s">
        <v>78</v>
      </c>
      <c r="N171" t="s">
        <v>79</v>
      </c>
      <c r="O171" t="s">
        <v>74</v>
      </c>
      <c r="P171" t="s">
        <v>74</v>
      </c>
      <c r="Q171" t="s">
        <v>74</v>
      </c>
      <c r="R171" t="s">
        <v>74</v>
      </c>
      <c r="S171" t="s">
        <v>74</v>
      </c>
      <c r="T171" t="s">
        <v>3684</v>
      </c>
      <c r="U171" t="s">
        <v>74</v>
      </c>
      <c r="V171" t="s">
        <v>3685</v>
      </c>
      <c r="W171" t="s">
        <v>3686</v>
      </c>
      <c r="X171" t="s">
        <v>3687</v>
      </c>
      <c r="Y171" t="s">
        <v>3688</v>
      </c>
      <c r="Z171" t="s">
        <v>3689</v>
      </c>
      <c r="AA171" t="s">
        <v>3690</v>
      </c>
      <c r="AB171" t="s">
        <v>3691</v>
      </c>
      <c r="AC171" t="s">
        <v>74</v>
      </c>
      <c r="AD171" t="s">
        <v>74</v>
      </c>
      <c r="AE171" t="s">
        <v>74</v>
      </c>
      <c r="AF171" t="s">
        <v>74</v>
      </c>
      <c r="AG171">
        <v>33</v>
      </c>
      <c r="AH171">
        <v>40</v>
      </c>
      <c r="AI171">
        <v>50</v>
      </c>
      <c r="AJ171">
        <v>1</v>
      </c>
      <c r="AK171">
        <v>111</v>
      </c>
      <c r="AL171" t="s">
        <v>2162</v>
      </c>
      <c r="AM171" t="s">
        <v>124</v>
      </c>
      <c r="AN171" t="s">
        <v>2163</v>
      </c>
      <c r="AO171" t="s">
        <v>1008</v>
      </c>
      <c r="AP171" t="s">
        <v>1009</v>
      </c>
      <c r="AQ171" t="s">
        <v>74</v>
      </c>
      <c r="AR171" t="s">
        <v>1010</v>
      </c>
      <c r="AS171" t="s">
        <v>1011</v>
      </c>
      <c r="AT171" t="s">
        <v>2684</v>
      </c>
      <c r="AU171">
        <v>2014</v>
      </c>
      <c r="AV171">
        <v>472</v>
      </c>
      <c r="AW171" t="s">
        <v>74</v>
      </c>
      <c r="AX171" t="s">
        <v>74</v>
      </c>
      <c r="AY171" t="s">
        <v>74</v>
      </c>
      <c r="AZ171" t="s">
        <v>74</v>
      </c>
      <c r="BA171" t="s">
        <v>74</v>
      </c>
      <c r="BB171">
        <v>1082</v>
      </c>
      <c r="BC171">
        <v>1088</v>
      </c>
      <c r="BD171" t="s">
        <v>74</v>
      </c>
      <c r="BE171" t="s">
        <v>3692</v>
      </c>
      <c r="BF171" t="str">
        <f>HYPERLINK("http://dx.doi.org/10.1016/j.scitotenv.2013.11.072","http://dx.doi.org/10.1016/j.scitotenv.2013.11.072")</f>
        <v>http://dx.doi.org/10.1016/j.scitotenv.2013.11.072</v>
      </c>
      <c r="BG171" t="s">
        <v>74</v>
      </c>
      <c r="BH171" t="s">
        <v>74</v>
      </c>
      <c r="BI171">
        <v>7</v>
      </c>
      <c r="BJ171" t="s">
        <v>567</v>
      </c>
      <c r="BK171" t="s">
        <v>102</v>
      </c>
      <c r="BL171" t="s">
        <v>568</v>
      </c>
      <c r="BM171" t="s">
        <v>3693</v>
      </c>
      <c r="BN171">
        <v>24361571</v>
      </c>
      <c r="BO171" t="s">
        <v>74</v>
      </c>
      <c r="BP171" t="s">
        <v>74</v>
      </c>
      <c r="BQ171" t="s">
        <v>74</v>
      </c>
      <c r="BR171" t="s">
        <v>106</v>
      </c>
      <c r="BS171" t="s">
        <v>3694</v>
      </c>
      <c r="BT171" t="str">
        <f>HYPERLINK("https%3A%2F%2Fwww.webofscience.com%2Fwos%2Fwoscc%2Ffull-record%2FWOS:000331916100117","View Full Record in Web of Science")</f>
        <v>View Full Record in Web of Science</v>
      </c>
    </row>
    <row r="172" spans="1:72" x14ac:dyDescent="0.2">
      <c r="A172" t="s">
        <v>72</v>
      </c>
      <c r="B172" t="s">
        <v>3695</v>
      </c>
      <c r="C172" t="s">
        <v>74</v>
      </c>
      <c r="D172" t="s">
        <v>74</v>
      </c>
      <c r="E172" t="s">
        <v>74</v>
      </c>
      <c r="F172" t="s">
        <v>3696</v>
      </c>
      <c r="G172" t="s">
        <v>74</v>
      </c>
      <c r="H172" t="s">
        <v>3697</v>
      </c>
      <c r="I172" t="s">
        <v>3698</v>
      </c>
      <c r="J172" t="s">
        <v>995</v>
      </c>
      <c r="K172" t="s">
        <v>74</v>
      </c>
      <c r="L172" t="s">
        <v>74</v>
      </c>
      <c r="M172" t="s">
        <v>78</v>
      </c>
      <c r="N172" t="s">
        <v>79</v>
      </c>
      <c r="O172" t="s">
        <v>74</v>
      </c>
      <c r="P172" t="s">
        <v>74</v>
      </c>
      <c r="Q172" t="s">
        <v>74</v>
      </c>
      <c r="R172" t="s">
        <v>74</v>
      </c>
      <c r="S172" t="s">
        <v>74</v>
      </c>
      <c r="T172" t="s">
        <v>3699</v>
      </c>
      <c r="U172" t="s">
        <v>3700</v>
      </c>
      <c r="V172" t="s">
        <v>3701</v>
      </c>
      <c r="W172" t="s">
        <v>3702</v>
      </c>
      <c r="X172" t="s">
        <v>3703</v>
      </c>
      <c r="Y172" t="s">
        <v>3704</v>
      </c>
      <c r="Z172" t="s">
        <v>3705</v>
      </c>
      <c r="AA172" t="s">
        <v>3706</v>
      </c>
      <c r="AB172" t="s">
        <v>3707</v>
      </c>
      <c r="AC172" t="s">
        <v>3708</v>
      </c>
      <c r="AD172" t="s">
        <v>3708</v>
      </c>
      <c r="AE172" t="s">
        <v>3709</v>
      </c>
      <c r="AF172" t="s">
        <v>74</v>
      </c>
      <c r="AG172">
        <v>92</v>
      </c>
      <c r="AH172">
        <v>42</v>
      </c>
      <c r="AI172">
        <v>46</v>
      </c>
      <c r="AJ172">
        <v>1</v>
      </c>
      <c r="AK172">
        <v>55</v>
      </c>
      <c r="AL172" t="s">
        <v>123</v>
      </c>
      <c r="AM172" t="s">
        <v>124</v>
      </c>
      <c r="AN172" t="s">
        <v>125</v>
      </c>
      <c r="AO172" t="s">
        <v>1008</v>
      </c>
      <c r="AP172" t="s">
        <v>1009</v>
      </c>
      <c r="AQ172" t="s">
        <v>74</v>
      </c>
      <c r="AR172" t="s">
        <v>1010</v>
      </c>
      <c r="AS172" t="s">
        <v>1011</v>
      </c>
      <c r="AT172" t="s">
        <v>1040</v>
      </c>
      <c r="AU172">
        <v>2019</v>
      </c>
      <c r="AV172">
        <v>678</v>
      </c>
      <c r="AW172" t="s">
        <v>74</v>
      </c>
      <c r="AX172" t="s">
        <v>74</v>
      </c>
      <c r="AY172" t="s">
        <v>74</v>
      </c>
      <c r="AZ172" t="s">
        <v>74</v>
      </c>
      <c r="BA172" t="s">
        <v>74</v>
      </c>
      <c r="BB172">
        <v>94</v>
      </c>
      <c r="BC172">
        <v>104</v>
      </c>
      <c r="BD172" t="s">
        <v>74</v>
      </c>
      <c r="BE172" t="s">
        <v>3710</v>
      </c>
      <c r="BF172" t="str">
        <f>HYPERLINK("http://dx.doi.org/10.1016/j.scitotenv.2019.04.382","http://dx.doi.org/10.1016/j.scitotenv.2019.04.382")</f>
        <v>http://dx.doi.org/10.1016/j.scitotenv.2019.04.382</v>
      </c>
      <c r="BG172" t="s">
        <v>74</v>
      </c>
      <c r="BH172" t="s">
        <v>74</v>
      </c>
      <c r="BI172">
        <v>11</v>
      </c>
      <c r="BJ172" t="s">
        <v>567</v>
      </c>
      <c r="BK172" t="s">
        <v>186</v>
      </c>
      <c r="BL172" t="s">
        <v>568</v>
      </c>
      <c r="BM172" t="s">
        <v>3711</v>
      </c>
      <c r="BN172">
        <v>31075607</v>
      </c>
      <c r="BO172" t="s">
        <v>541</v>
      </c>
      <c r="BP172" t="s">
        <v>74</v>
      </c>
      <c r="BQ172" t="s">
        <v>74</v>
      </c>
      <c r="BR172" t="s">
        <v>106</v>
      </c>
      <c r="BS172" t="s">
        <v>3712</v>
      </c>
      <c r="BT172" t="str">
        <f>HYPERLINK("https%3A%2F%2Fwww.webofscience.com%2Fwos%2Fwoscc%2Ffull-record%2FWOS:000468618900011","View Full Record in Web of Science")</f>
        <v>View Full Record in Web of Science</v>
      </c>
    </row>
    <row r="173" spans="1:72" x14ac:dyDescent="0.2">
      <c r="A173" t="s">
        <v>72</v>
      </c>
      <c r="B173" t="s">
        <v>3713</v>
      </c>
      <c r="C173" t="s">
        <v>74</v>
      </c>
      <c r="D173" t="s">
        <v>74</v>
      </c>
      <c r="E173" t="s">
        <v>74</v>
      </c>
      <c r="F173" t="s">
        <v>3714</v>
      </c>
      <c r="G173" t="s">
        <v>74</v>
      </c>
      <c r="H173" t="s">
        <v>74</v>
      </c>
      <c r="I173" t="s">
        <v>3715</v>
      </c>
      <c r="J173" t="s">
        <v>3716</v>
      </c>
      <c r="K173" t="s">
        <v>74</v>
      </c>
      <c r="L173" t="s">
        <v>74</v>
      </c>
      <c r="M173" t="s">
        <v>78</v>
      </c>
      <c r="N173" t="s">
        <v>79</v>
      </c>
      <c r="O173" t="s">
        <v>74</v>
      </c>
      <c r="P173" t="s">
        <v>74</v>
      </c>
      <c r="Q173" t="s">
        <v>74</v>
      </c>
      <c r="R173" t="s">
        <v>74</v>
      </c>
      <c r="S173" t="s">
        <v>74</v>
      </c>
      <c r="T173" t="s">
        <v>3717</v>
      </c>
      <c r="U173" t="s">
        <v>3718</v>
      </c>
      <c r="V173" t="s">
        <v>3719</v>
      </c>
      <c r="W173" t="s">
        <v>3720</v>
      </c>
      <c r="X173" t="s">
        <v>3088</v>
      </c>
      <c r="Y173" t="s">
        <v>3721</v>
      </c>
      <c r="Z173" t="s">
        <v>2756</v>
      </c>
      <c r="AA173" t="s">
        <v>3722</v>
      </c>
      <c r="AB173" t="s">
        <v>3723</v>
      </c>
      <c r="AC173" t="s">
        <v>74</v>
      </c>
      <c r="AD173" t="s">
        <v>74</v>
      </c>
      <c r="AE173" t="s">
        <v>74</v>
      </c>
      <c r="AF173" t="s">
        <v>74</v>
      </c>
      <c r="AG173">
        <v>97</v>
      </c>
      <c r="AH173">
        <v>13</v>
      </c>
      <c r="AI173">
        <v>14</v>
      </c>
      <c r="AJ173">
        <v>5</v>
      </c>
      <c r="AK173">
        <v>11</v>
      </c>
      <c r="AL173" t="s">
        <v>3724</v>
      </c>
      <c r="AM173" t="s">
        <v>1996</v>
      </c>
      <c r="AN173" t="s">
        <v>3725</v>
      </c>
      <c r="AO173" t="s">
        <v>3726</v>
      </c>
      <c r="AP173" t="s">
        <v>3727</v>
      </c>
      <c r="AQ173" t="s">
        <v>74</v>
      </c>
      <c r="AR173" t="s">
        <v>3728</v>
      </c>
      <c r="AS173" t="s">
        <v>3729</v>
      </c>
      <c r="AT173" t="s">
        <v>3730</v>
      </c>
      <c r="AU173">
        <v>2023</v>
      </c>
      <c r="AV173">
        <v>59</v>
      </c>
      <c r="AW173" t="s">
        <v>74</v>
      </c>
      <c r="AX173" t="s">
        <v>74</v>
      </c>
      <c r="AY173" t="s">
        <v>74</v>
      </c>
      <c r="AZ173" t="s">
        <v>74</v>
      </c>
      <c r="BA173" t="s">
        <v>74</v>
      </c>
      <c r="BB173" t="s">
        <v>74</v>
      </c>
      <c r="BC173" t="s">
        <v>74</v>
      </c>
      <c r="BD173" t="s">
        <v>3731</v>
      </c>
      <c r="BE173" t="s">
        <v>3732</v>
      </c>
      <c r="BF173" t="str">
        <f>HYPERLINK("http://dx.doi.org/10.1017/S0014479723000091","http://dx.doi.org/10.1017/S0014479723000091")</f>
        <v>http://dx.doi.org/10.1017/S0014479723000091</v>
      </c>
      <c r="BG173" t="s">
        <v>74</v>
      </c>
      <c r="BH173" t="s">
        <v>74</v>
      </c>
      <c r="BI173">
        <v>27</v>
      </c>
      <c r="BJ173" t="s">
        <v>1357</v>
      </c>
      <c r="BK173" t="s">
        <v>102</v>
      </c>
      <c r="BL173" t="s">
        <v>103</v>
      </c>
      <c r="BM173" t="s">
        <v>3733</v>
      </c>
      <c r="BN173" t="s">
        <v>74</v>
      </c>
      <c r="BO173" t="s">
        <v>2296</v>
      </c>
      <c r="BP173" t="s">
        <v>74</v>
      </c>
      <c r="BQ173" t="s">
        <v>74</v>
      </c>
      <c r="BR173" t="s">
        <v>106</v>
      </c>
      <c r="BS173" t="s">
        <v>3734</v>
      </c>
      <c r="BT173" t="str">
        <f>HYPERLINK("https%3A%2F%2Fwww.webofscience.com%2Fwos%2Fwoscc%2Ffull-record%2FWOS:001033443800001","View Full Record in Web of Science")</f>
        <v>View Full Record in Web of Science</v>
      </c>
    </row>
    <row r="174" spans="1:72" x14ac:dyDescent="0.2">
      <c r="A174" t="s">
        <v>72</v>
      </c>
      <c r="B174" t="s">
        <v>3735</v>
      </c>
      <c r="C174" t="s">
        <v>74</v>
      </c>
      <c r="D174" t="s">
        <v>74</v>
      </c>
      <c r="E174" t="s">
        <v>74</v>
      </c>
      <c r="F174" t="s">
        <v>3736</v>
      </c>
      <c r="G174" t="s">
        <v>74</v>
      </c>
      <c r="H174" t="s">
        <v>74</v>
      </c>
      <c r="I174" t="s">
        <v>3737</v>
      </c>
      <c r="J174" t="s">
        <v>3738</v>
      </c>
      <c r="K174" t="s">
        <v>74</v>
      </c>
      <c r="L174" t="s">
        <v>74</v>
      </c>
      <c r="M174" t="s">
        <v>78</v>
      </c>
      <c r="N174" t="s">
        <v>3739</v>
      </c>
      <c r="O174" t="s">
        <v>74</v>
      </c>
      <c r="P174" t="s">
        <v>74</v>
      </c>
      <c r="Q174" t="s">
        <v>74</v>
      </c>
      <c r="R174" t="s">
        <v>74</v>
      </c>
      <c r="S174" t="s">
        <v>74</v>
      </c>
      <c r="T174" t="s">
        <v>74</v>
      </c>
      <c r="U174" t="s">
        <v>3740</v>
      </c>
      <c r="V174" t="s">
        <v>3741</v>
      </c>
      <c r="W174" t="s">
        <v>3742</v>
      </c>
      <c r="X174" t="s">
        <v>74</v>
      </c>
      <c r="Y174" t="s">
        <v>3743</v>
      </c>
      <c r="Z174" t="s">
        <v>3744</v>
      </c>
      <c r="AA174" t="s">
        <v>3745</v>
      </c>
      <c r="AB174" t="s">
        <v>3746</v>
      </c>
      <c r="AC174" t="s">
        <v>3747</v>
      </c>
      <c r="AD174" t="s">
        <v>3747</v>
      </c>
      <c r="AE174" t="s">
        <v>3748</v>
      </c>
      <c r="AF174" t="s">
        <v>74</v>
      </c>
      <c r="AG174">
        <v>90</v>
      </c>
      <c r="AH174">
        <v>47</v>
      </c>
      <c r="AI174">
        <v>56</v>
      </c>
      <c r="AJ174">
        <v>18</v>
      </c>
      <c r="AK174">
        <v>76</v>
      </c>
      <c r="AL174" t="s">
        <v>3289</v>
      </c>
      <c r="AM174" t="s">
        <v>3290</v>
      </c>
      <c r="AN174" t="s">
        <v>3291</v>
      </c>
      <c r="AO174" t="s">
        <v>3749</v>
      </c>
      <c r="AP174" t="s">
        <v>3750</v>
      </c>
      <c r="AQ174" t="s">
        <v>74</v>
      </c>
      <c r="AR174" t="s">
        <v>3751</v>
      </c>
      <c r="AS174" t="s">
        <v>3752</v>
      </c>
      <c r="AT174" t="s">
        <v>3753</v>
      </c>
      <c r="AU174">
        <v>2023</v>
      </c>
      <c r="AV174">
        <v>15</v>
      </c>
      <c r="AW174">
        <v>5</v>
      </c>
      <c r="AX174" t="s">
        <v>74</v>
      </c>
      <c r="AY174" t="s">
        <v>74</v>
      </c>
      <c r="AZ174" t="s">
        <v>74</v>
      </c>
      <c r="BA174" t="s">
        <v>74</v>
      </c>
      <c r="BB174">
        <v>2025</v>
      </c>
      <c r="BC174">
        <v>2054</v>
      </c>
      <c r="BD174" t="s">
        <v>74</v>
      </c>
      <c r="BE174" t="s">
        <v>3754</v>
      </c>
      <c r="BF174" t="str">
        <f>HYPERLINK("http://dx.doi.org/10.5194/essd-15-2025-2023","http://dx.doi.org/10.5194/essd-15-2025-2023")</f>
        <v>http://dx.doi.org/10.5194/essd-15-2025-2023</v>
      </c>
      <c r="BG174" t="s">
        <v>74</v>
      </c>
      <c r="BH174" t="s">
        <v>74</v>
      </c>
      <c r="BI174">
        <v>30</v>
      </c>
      <c r="BJ174" t="s">
        <v>3755</v>
      </c>
      <c r="BK174" t="s">
        <v>102</v>
      </c>
      <c r="BL174" t="s">
        <v>3756</v>
      </c>
      <c r="BM174" t="s">
        <v>3757</v>
      </c>
      <c r="BN174" t="s">
        <v>74</v>
      </c>
      <c r="BO174" t="s">
        <v>231</v>
      </c>
      <c r="BP174" t="s">
        <v>74</v>
      </c>
      <c r="BQ174" t="s">
        <v>74</v>
      </c>
      <c r="BR174" t="s">
        <v>106</v>
      </c>
      <c r="BS174" t="s">
        <v>3758</v>
      </c>
      <c r="BT174" t="str">
        <f>HYPERLINK("https%3A%2F%2Fwww.webofscience.com%2Fwos%2Fwoscc%2Ffull-record%2FWOS:000993735100001","View Full Record in Web of Science")</f>
        <v>View Full Record in Web of Science</v>
      </c>
    </row>
    <row r="175" spans="1:72" x14ac:dyDescent="0.2">
      <c r="A175" t="s">
        <v>72</v>
      </c>
      <c r="B175" t="s">
        <v>3759</v>
      </c>
      <c r="C175" t="s">
        <v>74</v>
      </c>
      <c r="D175" t="s">
        <v>74</v>
      </c>
      <c r="E175" t="s">
        <v>74</v>
      </c>
      <c r="F175" t="s">
        <v>3760</v>
      </c>
      <c r="G175" t="s">
        <v>74</v>
      </c>
      <c r="H175" t="s">
        <v>74</v>
      </c>
      <c r="I175" t="s">
        <v>3761</v>
      </c>
      <c r="J175" t="s">
        <v>3413</v>
      </c>
      <c r="K175" t="s">
        <v>74</v>
      </c>
      <c r="L175" t="s">
        <v>74</v>
      </c>
      <c r="M175" t="s">
        <v>78</v>
      </c>
      <c r="N175" t="s">
        <v>79</v>
      </c>
      <c r="O175" t="s">
        <v>74</v>
      </c>
      <c r="P175" t="s">
        <v>74</v>
      </c>
      <c r="Q175" t="s">
        <v>74</v>
      </c>
      <c r="R175" t="s">
        <v>74</v>
      </c>
      <c r="S175" t="s">
        <v>74</v>
      </c>
      <c r="T175" t="s">
        <v>3762</v>
      </c>
      <c r="U175" t="s">
        <v>3763</v>
      </c>
      <c r="V175" t="s">
        <v>3764</v>
      </c>
      <c r="W175" t="s">
        <v>3765</v>
      </c>
      <c r="X175" t="s">
        <v>3766</v>
      </c>
      <c r="Y175" t="s">
        <v>3767</v>
      </c>
      <c r="Z175" t="s">
        <v>3768</v>
      </c>
      <c r="AA175" t="s">
        <v>74</v>
      </c>
      <c r="AB175" t="s">
        <v>74</v>
      </c>
      <c r="AC175" t="s">
        <v>3769</v>
      </c>
      <c r="AD175" t="s">
        <v>3770</v>
      </c>
      <c r="AE175" t="s">
        <v>3771</v>
      </c>
      <c r="AF175" t="s">
        <v>74</v>
      </c>
      <c r="AG175">
        <v>50</v>
      </c>
      <c r="AH175">
        <v>17</v>
      </c>
      <c r="AI175">
        <v>19</v>
      </c>
      <c r="AJ175">
        <v>0</v>
      </c>
      <c r="AK175">
        <v>65</v>
      </c>
      <c r="AL175" t="s">
        <v>2162</v>
      </c>
      <c r="AM175" t="s">
        <v>124</v>
      </c>
      <c r="AN175" t="s">
        <v>2163</v>
      </c>
      <c r="AO175" t="s">
        <v>3425</v>
      </c>
      <c r="AP175" t="s">
        <v>3426</v>
      </c>
      <c r="AQ175" t="s">
        <v>74</v>
      </c>
      <c r="AR175" t="s">
        <v>3427</v>
      </c>
      <c r="AS175" t="s">
        <v>3428</v>
      </c>
      <c r="AT175" t="s">
        <v>459</v>
      </c>
      <c r="AU175">
        <v>2019</v>
      </c>
      <c r="AV175">
        <v>97</v>
      </c>
      <c r="AW175" t="s">
        <v>74</v>
      </c>
      <c r="AX175" t="s">
        <v>74</v>
      </c>
      <c r="AY175" t="s">
        <v>74</v>
      </c>
      <c r="AZ175" t="s">
        <v>74</v>
      </c>
      <c r="BA175" t="s">
        <v>74</v>
      </c>
      <c r="BB175">
        <v>141</v>
      </c>
      <c r="BC175">
        <v>149</v>
      </c>
      <c r="BD175" t="s">
        <v>74</v>
      </c>
      <c r="BE175" t="s">
        <v>3772</v>
      </c>
      <c r="BF175" t="str">
        <f>HYPERLINK("http://dx.doi.org/10.1016/j.ecolind.2018.10.002","http://dx.doi.org/10.1016/j.ecolind.2018.10.002")</f>
        <v>http://dx.doi.org/10.1016/j.ecolind.2018.10.002</v>
      </c>
      <c r="BG175" t="s">
        <v>74</v>
      </c>
      <c r="BH175" t="s">
        <v>74</v>
      </c>
      <c r="BI175">
        <v>9</v>
      </c>
      <c r="BJ175" t="s">
        <v>3430</v>
      </c>
      <c r="BK175" t="s">
        <v>102</v>
      </c>
      <c r="BL175" t="s">
        <v>756</v>
      </c>
      <c r="BM175" t="s">
        <v>3773</v>
      </c>
      <c r="BN175" t="s">
        <v>74</v>
      </c>
      <c r="BO175" t="s">
        <v>74</v>
      </c>
      <c r="BP175" t="s">
        <v>74</v>
      </c>
      <c r="BQ175" t="s">
        <v>74</v>
      </c>
      <c r="BR175" t="s">
        <v>106</v>
      </c>
      <c r="BS175" t="s">
        <v>3774</v>
      </c>
      <c r="BT175" t="str">
        <f>HYPERLINK("https%3A%2F%2Fwww.webofscience.com%2Fwos%2Fwoscc%2Ffull-record%2FWOS:000464891000016","View Full Record in Web of Science")</f>
        <v>View Full Record in Web of Science</v>
      </c>
    </row>
    <row r="176" spans="1:72" x14ac:dyDescent="0.2">
      <c r="A176" t="s">
        <v>72</v>
      </c>
      <c r="B176" t="s">
        <v>3775</v>
      </c>
      <c r="C176" t="s">
        <v>74</v>
      </c>
      <c r="D176" t="s">
        <v>74</v>
      </c>
      <c r="E176" t="s">
        <v>74</v>
      </c>
      <c r="F176" t="s">
        <v>3776</v>
      </c>
      <c r="G176" t="s">
        <v>74</v>
      </c>
      <c r="H176" t="s">
        <v>74</v>
      </c>
      <c r="I176" t="s">
        <v>3777</v>
      </c>
      <c r="J176" t="s">
        <v>645</v>
      </c>
      <c r="K176" t="s">
        <v>74</v>
      </c>
      <c r="L176" t="s">
        <v>74</v>
      </c>
      <c r="M176" t="s">
        <v>78</v>
      </c>
      <c r="N176" t="s">
        <v>79</v>
      </c>
      <c r="O176" t="s">
        <v>74</v>
      </c>
      <c r="P176" t="s">
        <v>74</v>
      </c>
      <c r="Q176" t="s">
        <v>74</v>
      </c>
      <c r="R176" t="s">
        <v>74</v>
      </c>
      <c r="S176" t="s">
        <v>74</v>
      </c>
      <c r="T176" t="s">
        <v>3778</v>
      </c>
      <c r="U176" t="s">
        <v>74</v>
      </c>
      <c r="V176" t="s">
        <v>3779</v>
      </c>
      <c r="W176" t="s">
        <v>3780</v>
      </c>
      <c r="X176" t="s">
        <v>3781</v>
      </c>
      <c r="Y176" t="s">
        <v>3782</v>
      </c>
      <c r="Z176" t="s">
        <v>3783</v>
      </c>
      <c r="AA176" t="s">
        <v>3784</v>
      </c>
      <c r="AB176" t="s">
        <v>74</v>
      </c>
      <c r="AC176" t="s">
        <v>74</v>
      </c>
      <c r="AD176" t="s">
        <v>74</v>
      </c>
      <c r="AE176" t="s">
        <v>74</v>
      </c>
      <c r="AF176" t="s">
        <v>74</v>
      </c>
      <c r="AG176">
        <v>49</v>
      </c>
      <c r="AH176">
        <v>0</v>
      </c>
      <c r="AI176">
        <v>0</v>
      </c>
      <c r="AJ176">
        <v>7</v>
      </c>
      <c r="AK176">
        <v>7</v>
      </c>
      <c r="AL176" t="s">
        <v>655</v>
      </c>
      <c r="AM176" t="s">
        <v>405</v>
      </c>
      <c r="AN176" t="s">
        <v>656</v>
      </c>
      <c r="AO176" t="s">
        <v>74</v>
      </c>
      <c r="AP176" t="s">
        <v>657</v>
      </c>
      <c r="AQ176" t="s">
        <v>74</v>
      </c>
      <c r="AR176" t="s">
        <v>658</v>
      </c>
      <c r="AS176" t="s">
        <v>659</v>
      </c>
      <c r="AT176" t="s">
        <v>2471</v>
      </c>
      <c r="AU176">
        <v>2025</v>
      </c>
      <c r="AV176">
        <v>13</v>
      </c>
      <c r="AW176" t="s">
        <v>74</v>
      </c>
      <c r="AX176" t="s">
        <v>74</v>
      </c>
      <c r="AY176" t="s">
        <v>74</v>
      </c>
      <c r="AZ176" t="s">
        <v>74</v>
      </c>
      <c r="BA176" t="s">
        <v>74</v>
      </c>
      <c r="BB176" t="s">
        <v>74</v>
      </c>
      <c r="BC176" t="s">
        <v>74</v>
      </c>
      <c r="BD176">
        <v>1561655</v>
      </c>
      <c r="BE176" t="s">
        <v>3785</v>
      </c>
      <c r="BF176" t="str">
        <f>HYPERLINK("http://dx.doi.org/10.3389/fenvs.2025.1561655","http://dx.doi.org/10.3389/fenvs.2025.1561655")</f>
        <v>http://dx.doi.org/10.3389/fenvs.2025.1561655</v>
      </c>
      <c r="BG176" t="s">
        <v>74</v>
      </c>
      <c r="BH176" t="s">
        <v>74</v>
      </c>
      <c r="BI176">
        <v>22</v>
      </c>
      <c r="BJ176" t="s">
        <v>567</v>
      </c>
      <c r="BK176" t="s">
        <v>102</v>
      </c>
      <c r="BL176" t="s">
        <v>568</v>
      </c>
      <c r="BM176" t="s">
        <v>3786</v>
      </c>
      <c r="BN176" t="s">
        <v>74</v>
      </c>
      <c r="BO176" t="s">
        <v>231</v>
      </c>
      <c r="BP176" t="s">
        <v>74</v>
      </c>
      <c r="BQ176" t="s">
        <v>74</v>
      </c>
      <c r="BR176" t="s">
        <v>106</v>
      </c>
      <c r="BS176" t="s">
        <v>3787</v>
      </c>
      <c r="BT176" t="str">
        <f>HYPERLINK("https%3A%2F%2Fwww.webofscience.com%2Fwos%2Fwoscc%2Ffull-record%2FWOS:001521138100001","View Full Record in Web of Science")</f>
        <v>View Full Record in Web of Science</v>
      </c>
    </row>
    <row r="177" spans="1:72" x14ac:dyDescent="0.2">
      <c r="A177" t="s">
        <v>72</v>
      </c>
      <c r="B177" t="s">
        <v>3788</v>
      </c>
      <c r="C177" t="s">
        <v>74</v>
      </c>
      <c r="D177" t="s">
        <v>74</v>
      </c>
      <c r="E177" t="s">
        <v>74</v>
      </c>
      <c r="F177" t="s">
        <v>3789</v>
      </c>
      <c r="G177" t="s">
        <v>74</v>
      </c>
      <c r="H177" t="s">
        <v>74</v>
      </c>
      <c r="I177" t="s">
        <v>3790</v>
      </c>
      <c r="J177" t="s">
        <v>3791</v>
      </c>
      <c r="K177" t="s">
        <v>74</v>
      </c>
      <c r="L177" t="s">
        <v>74</v>
      </c>
      <c r="M177" t="s">
        <v>78</v>
      </c>
      <c r="N177" t="s">
        <v>79</v>
      </c>
      <c r="O177" t="s">
        <v>74</v>
      </c>
      <c r="P177" t="s">
        <v>74</v>
      </c>
      <c r="Q177" t="s">
        <v>74</v>
      </c>
      <c r="R177" t="s">
        <v>74</v>
      </c>
      <c r="S177" t="s">
        <v>74</v>
      </c>
      <c r="T177" t="s">
        <v>3792</v>
      </c>
      <c r="U177" t="s">
        <v>3793</v>
      </c>
      <c r="V177" t="s">
        <v>3794</v>
      </c>
      <c r="W177" t="s">
        <v>3795</v>
      </c>
      <c r="X177" t="s">
        <v>3796</v>
      </c>
      <c r="Y177" t="s">
        <v>3797</v>
      </c>
      <c r="Z177" t="s">
        <v>3798</v>
      </c>
      <c r="AA177" t="s">
        <v>3799</v>
      </c>
      <c r="AB177" t="s">
        <v>3800</v>
      </c>
      <c r="AC177" t="s">
        <v>3801</v>
      </c>
      <c r="AD177" t="s">
        <v>3802</v>
      </c>
      <c r="AE177" t="s">
        <v>3803</v>
      </c>
      <c r="AF177" t="s">
        <v>74</v>
      </c>
      <c r="AG177">
        <v>97</v>
      </c>
      <c r="AH177">
        <v>3</v>
      </c>
      <c r="AI177">
        <v>3</v>
      </c>
      <c r="AJ177">
        <v>42</v>
      </c>
      <c r="AK177">
        <v>54</v>
      </c>
      <c r="AL177" t="s">
        <v>123</v>
      </c>
      <c r="AM177" t="s">
        <v>124</v>
      </c>
      <c r="AN177" t="s">
        <v>125</v>
      </c>
      <c r="AO177" t="s">
        <v>3804</v>
      </c>
      <c r="AP177" t="s">
        <v>74</v>
      </c>
      <c r="AQ177" t="s">
        <v>74</v>
      </c>
      <c r="AR177" t="s">
        <v>3805</v>
      </c>
      <c r="AS177" t="s">
        <v>3806</v>
      </c>
      <c r="AT177" t="s">
        <v>912</v>
      </c>
      <c r="AU177">
        <v>2025</v>
      </c>
      <c r="AV177">
        <v>38</v>
      </c>
      <c r="AW177" t="s">
        <v>74</v>
      </c>
      <c r="AX177" t="s">
        <v>74</v>
      </c>
      <c r="AY177" t="s">
        <v>74</v>
      </c>
      <c r="AZ177" t="s">
        <v>74</v>
      </c>
      <c r="BA177" t="s">
        <v>74</v>
      </c>
      <c r="BB177" t="s">
        <v>74</v>
      </c>
      <c r="BC177" t="s">
        <v>74</v>
      </c>
      <c r="BD177">
        <v>104173</v>
      </c>
      <c r="BE177" t="s">
        <v>3807</v>
      </c>
      <c r="BF177" t="str">
        <f>HYPERLINK("http://dx.doi.org/10.1016/j.eti.2025.104173","http://dx.doi.org/10.1016/j.eti.2025.104173")</f>
        <v>http://dx.doi.org/10.1016/j.eti.2025.104173</v>
      </c>
      <c r="BG177" t="s">
        <v>74</v>
      </c>
      <c r="BH177" t="s">
        <v>1870</v>
      </c>
      <c r="BI177">
        <v>15</v>
      </c>
      <c r="BJ177" t="s">
        <v>3808</v>
      </c>
      <c r="BK177" t="s">
        <v>102</v>
      </c>
      <c r="BL177" t="s">
        <v>3809</v>
      </c>
      <c r="BM177" t="s">
        <v>3810</v>
      </c>
      <c r="BN177" t="s">
        <v>74</v>
      </c>
      <c r="BO177" t="s">
        <v>231</v>
      </c>
      <c r="BP177" t="s">
        <v>74</v>
      </c>
      <c r="BQ177" t="s">
        <v>74</v>
      </c>
      <c r="BR177" t="s">
        <v>106</v>
      </c>
      <c r="BS177" t="s">
        <v>3811</v>
      </c>
      <c r="BT177" t="str">
        <f>HYPERLINK("https%3A%2F%2Fwww.webofscience.com%2Fwos%2Fwoscc%2Ffull-record%2FWOS:001474229800001","View Full Record in Web of Science")</f>
        <v>View Full Record in Web of Science</v>
      </c>
    </row>
    <row r="178" spans="1:72" x14ac:dyDescent="0.2">
      <c r="A178" t="s">
        <v>72</v>
      </c>
      <c r="B178" t="s">
        <v>3812</v>
      </c>
      <c r="C178" t="s">
        <v>74</v>
      </c>
      <c r="D178" t="s">
        <v>74</v>
      </c>
      <c r="E178" t="s">
        <v>74</v>
      </c>
      <c r="F178" t="s">
        <v>3813</v>
      </c>
      <c r="G178" t="s">
        <v>74</v>
      </c>
      <c r="H178" t="s">
        <v>74</v>
      </c>
      <c r="I178" t="s">
        <v>3814</v>
      </c>
      <c r="J178" t="s">
        <v>848</v>
      </c>
      <c r="K178" t="s">
        <v>74</v>
      </c>
      <c r="L178" t="s">
        <v>74</v>
      </c>
      <c r="M178" t="s">
        <v>78</v>
      </c>
      <c r="N178" t="s">
        <v>79</v>
      </c>
      <c r="O178" t="s">
        <v>74</v>
      </c>
      <c r="P178" t="s">
        <v>74</v>
      </c>
      <c r="Q178" t="s">
        <v>74</v>
      </c>
      <c r="R178" t="s">
        <v>74</v>
      </c>
      <c r="S178" t="s">
        <v>74</v>
      </c>
      <c r="T178" t="s">
        <v>3815</v>
      </c>
      <c r="U178" t="s">
        <v>3816</v>
      </c>
      <c r="V178" t="s">
        <v>3817</v>
      </c>
      <c r="W178" t="s">
        <v>3818</v>
      </c>
      <c r="X178" t="s">
        <v>3819</v>
      </c>
      <c r="Y178" t="s">
        <v>3820</v>
      </c>
      <c r="Z178" t="s">
        <v>3821</v>
      </c>
      <c r="AA178" t="s">
        <v>3822</v>
      </c>
      <c r="AB178" t="s">
        <v>3823</v>
      </c>
      <c r="AC178" t="s">
        <v>3824</v>
      </c>
      <c r="AD178" t="s">
        <v>74</v>
      </c>
      <c r="AE178" t="s">
        <v>3825</v>
      </c>
      <c r="AF178" t="s">
        <v>74</v>
      </c>
      <c r="AG178">
        <v>91</v>
      </c>
      <c r="AH178">
        <v>10</v>
      </c>
      <c r="AI178">
        <v>10</v>
      </c>
      <c r="AJ178">
        <v>1</v>
      </c>
      <c r="AK178">
        <v>16</v>
      </c>
      <c r="AL178" t="s">
        <v>655</v>
      </c>
      <c r="AM178" t="s">
        <v>405</v>
      </c>
      <c r="AN178" t="s">
        <v>656</v>
      </c>
      <c r="AO178" t="s">
        <v>74</v>
      </c>
      <c r="AP178" t="s">
        <v>859</v>
      </c>
      <c r="AQ178" t="s">
        <v>74</v>
      </c>
      <c r="AR178" t="s">
        <v>860</v>
      </c>
      <c r="AS178" t="s">
        <v>861</v>
      </c>
      <c r="AT178" t="s">
        <v>3826</v>
      </c>
      <c r="AU178">
        <v>2023</v>
      </c>
      <c r="AV178">
        <v>7</v>
      </c>
      <c r="AW178" t="s">
        <v>74</v>
      </c>
      <c r="AX178" t="s">
        <v>74</v>
      </c>
      <c r="AY178" t="s">
        <v>74</v>
      </c>
      <c r="AZ178" t="s">
        <v>74</v>
      </c>
      <c r="BA178" t="s">
        <v>74</v>
      </c>
      <c r="BB178" t="s">
        <v>74</v>
      </c>
      <c r="BC178" t="s">
        <v>74</v>
      </c>
      <c r="BD178">
        <v>1045734</v>
      </c>
      <c r="BE178" t="s">
        <v>3827</v>
      </c>
      <c r="BF178" t="str">
        <f>HYPERLINK("http://dx.doi.org/10.3389/fsufs.2023.1045734","http://dx.doi.org/10.3389/fsufs.2023.1045734")</f>
        <v>http://dx.doi.org/10.3389/fsufs.2023.1045734</v>
      </c>
      <c r="BG178" t="s">
        <v>74</v>
      </c>
      <c r="BH178" t="s">
        <v>74</v>
      </c>
      <c r="BI178">
        <v>14</v>
      </c>
      <c r="BJ178" t="s">
        <v>864</v>
      </c>
      <c r="BK178" t="s">
        <v>102</v>
      </c>
      <c r="BL178" t="s">
        <v>864</v>
      </c>
      <c r="BM178" t="s">
        <v>3828</v>
      </c>
      <c r="BN178" t="s">
        <v>74</v>
      </c>
      <c r="BO178" t="s">
        <v>161</v>
      </c>
      <c r="BP178" t="s">
        <v>74</v>
      </c>
      <c r="BQ178" t="s">
        <v>74</v>
      </c>
      <c r="BR178" t="s">
        <v>106</v>
      </c>
      <c r="BS178" t="s">
        <v>3829</v>
      </c>
      <c r="BT178" t="str">
        <f>HYPERLINK("https%3A%2F%2Fwww.webofscience.com%2Fwos%2Fwoscc%2Ffull-record%2FWOS:001039744500001","View Full Record in Web of Science")</f>
        <v>View Full Record in Web of Science</v>
      </c>
    </row>
    <row r="179" spans="1:72" x14ac:dyDescent="0.2">
      <c r="A179" t="s">
        <v>72</v>
      </c>
      <c r="B179" t="s">
        <v>3830</v>
      </c>
      <c r="C179" t="s">
        <v>74</v>
      </c>
      <c r="D179" t="s">
        <v>74</v>
      </c>
      <c r="E179" t="s">
        <v>74</v>
      </c>
      <c r="F179" t="s">
        <v>3831</v>
      </c>
      <c r="G179" t="s">
        <v>74</v>
      </c>
      <c r="H179" t="s">
        <v>74</v>
      </c>
      <c r="I179" t="s">
        <v>3832</v>
      </c>
      <c r="J179" t="s">
        <v>3833</v>
      </c>
      <c r="K179" t="s">
        <v>74</v>
      </c>
      <c r="L179" t="s">
        <v>74</v>
      </c>
      <c r="M179" t="s">
        <v>78</v>
      </c>
      <c r="N179" t="s">
        <v>79</v>
      </c>
      <c r="O179" t="s">
        <v>74</v>
      </c>
      <c r="P179" t="s">
        <v>74</v>
      </c>
      <c r="Q179" t="s">
        <v>74</v>
      </c>
      <c r="R179" t="s">
        <v>74</v>
      </c>
      <c r="S179" t="s">
        <v>74</v>
      </c>
      <c r="T179" t="s">
        <v>3834</v>
      </c>
      <c r="U179" t="s">
        <v>3835</v>
      </c>
      <c r="V179" t="s">
        <v>3836</v>
      </c>
      <c r="W179" t="s">
        <v>3837</v>
      </c>
      <c r="X179" t="s">
        <v>3838</v>
      </c>
      <c r="Y179" t="s">
        <v>3839</v>
      </c>
      <c r="Z179" t="s">
        <v>3840</v>
      </c>
      <c r="AA179" t="s">
        <v>3841</v>
      </c>
      <c r="AB179" t="s">
        <v>3842</v>
      </c>
      <c r="AC179" t="s">
        <v>3843</v>
      </c>
      <c r="AD179" t="s">
        <v>3844</v>
      </c>
      <c r="AE179" t="s">
        <v>3845</v>
      </c>
      <c r="AF179" t="s">
        <v>74</v>
      </c>
      <c r="AG179">
        <v>63</v>
      </c>
      <c r="AH179">
        <v>37</v>
      </c>
      <c r="AI179">
        <v>37</v>
      </c>
      <c r="AJ179">
        <v>3</v>
      </c>
      <c r="AK179">
        <v>92</v>
      </c>
      <c r="AL179" t="s">
        <v>655</v>
      </c>
      <c r="AM179" t="s">
        <v>405</v>
      </c>
      <c r="AN179" t="s">
        <v>656</v>
      </c>
      <c r="AO179" t="s">
        <v>3846</v>
      </c>
      <c r="AP179" t="s">
        <v>74</v>
      </c>
      <c r="AQ179" t="s">
        <v>74</v>
      </c>
      <c r="AR179" t="s">
        <v>3847</v>
      </c>
      <c r="AS179" t="s">
        <v>3848</v>
      </c>
      <c r="AT179" t="s">
        <v>2533</v>
      </c>
      <c r="AU179">
        <v>2016</v>
      </c>
      <c r="AV179">
        <v>7</v>
      </c>
      <c r="AW179" t="s">
        <v>74</v>
      </c>
      <c r="AX179" t="s">
        <v>74</v>
      </c>
      <c r="AY179" t="s">
        <v>74</v>
      </c>
      <c r="AZ179" t="s">
        <v>74</v>
      </c>
      <c r="BA179" t="s">
        <v>74</v>
      </c>
      <c r="BB179" t="s">
        <v>74</v>
      </c>
      <c r="BC179" t="s">
        <v>74</v>
      </c>
      <c r="BD179">
        <v>661</v>
      </c>
      <c r="BE179" t="s">
        <v>3849</v>
      </c>
      <c r="BF179" t="str">
        <f>HYPERLINK("http://dx.doi.org/10.3389/fpls.2016.00661","http://dx.doi.org/10.3389/fpls.2016.00661")</f>
        <v>http://dx.doi.org/10.3389/fpls.2016.00661</v>
      </c>
      <c r="BG179" t="s">
        <v>74</v>
      </c>
      <c r="BH179" t="s">
        <v>74</v>
      </c>
      <c r="BI179">
        <v>15</v>
      </c>
      <c r="BJ179" t="s">
        <v>3850</v>
      </c>
      <c r="BK179" t="s">
        <v>102</v>
      </c>
      <c r="BL179" t="s">
        <v>3850</v>
      </c>
      <c r="BM179" t="s">
        <v>3851</v>
      </c>
      <c r="BN179">
        <v>27242862</v>
      </c>
      <c r="BO179" t="s">
        <v>161</v>
      </c>
      <c r="BP179" t="s">
        <v>74</v>
      </c>
      <c r="BQ179" t="s">
        <v>74</v>
      </c>
      <c r="BR179" t="s">
        <v>106</v>
      </c>
      <c r="BS179" t="s">
        <v>3852</v>
      </c>
      <c r="BT179" t="str">
        <f>HYPERLINK("https%3A%2F%2Fwww.webofscience.com%2Fwos%2Fwoscc%2Ffull-record%2FWOS:000375976500001","View Full Record in Web of Science")</f>
        <v>View Full Record in Web of Science</v>
      </c>
    </row>
    <row r="180" spans="1:72" x14ac:dyDescent="0.2">
      <c r="A180" t="s">
        <v>72</v>
      </c>
      <c r="B180" t="s">
        <v>3853</v>
      </c>
      <c r="C180" t="s">
        <v>74</v>
      </c>
      <c r="D180" t="s">
        <v>74</v>
      </c>
      <c r="E180" t="s">
        <v>74</v>
      </c>
      <c r="F180" t="s">
        <v>3854</v>
      </c>
      <c r="G180" t="s">
        <v>74</v>
      </c>
      <c r="H180" t="s">
        <v>74</v>
      </c>
      <c r="I180" t="s">
        <v>3855</v>
      </c>
      <c r="J180" t="s">
        <v>468</v>
      </c>
      <c r="K180" t="s">
        <v>74</v>
      </c>
      <c r="L180" t="s">
        <v>74</v>
      </c>
      <c r="M180" t="s">
        <v>78</v>
      </c>
      <c r="N180" t="s">
        <v>79</v>
      </c>
      <c r="O180" t="s">
        <v>74</v>
      </c>
      <c r="P180" t="s">
        <v>74</v>
      </c>
      <c r="Q180" t="s">
        <v>74</v>
      </c>
      <c r="R180" t="s">
        <v>74</v>
      </c>
      <c r="S180" t="s">
        <v>74</v>
      </c>
      <c r="T180" t="s">
        <v>3856</v>
      </c>
      <c r="U180" t="s">
        <v>74</v>
      </c>
      <c r="V180" t="s">
        <v>3857</v>
      </c>
      <c r="W180" t="s">
        <v>3858</v>
      </c>
      <c r="X180" t="s">
        <v>3859</v>
      </c>
      <c r="Y180" t="s">
        <v>3860</v>
      </c>
      <c r="Z180" t="s">
        <v>3861</v>
      </c>
      <c r="AA180" t="s">
        <v>74</v>
      </c>
      <c r="AB180" t="s">
        <v>3862</v>
      </c>
      <c r="AC180" t="s">
        <v>3863</v>
      </c>
      <c r="AD180" t="s">
        <v>3864</v>
      </c>
      <c r="AE180" t="s">
        <v>3865</v>
      </c>
      <c r="AF180" t="s">
        <v>74</v>
      </c>
      <c r="AG180">
        <v>47</v>
      </c>
      <c r="AH180">
        <v>3</v>
      </c>
      <c r="AI180">
        <v>3</v>
      </c>
      <c r="AJ180">
        <v>15</v>
      </c>
      <c r="AK180">
        <v>47</v>
      </c>
      <c r="AL180" t="s">
        <v>222</v>
      </c>
      <c r="AM180" t="s">
        <v>223</v>
      </c>
      <c r="AN180" t="s">
        <v>224</v>
      </c>
      <c r="AO180" t="s">
        <v>74</v>
      </c>
      <c r="AP180" t="s">
        <v>479</v>
      </c>
      <c r="AQ180" t="s">
        <v>74</v>
      </c>
      <c r="AR180" t="s">
        <v>480</v>
      </c>
      <c r="AS180" t="s">
        <v>481</v>
      </c>
      <c r="AT180" t="s">
        <v>183</v>
      </c>
      <c r="AU180">
        <v>2024</v>
      </c>
      <c r="AV180">
        <v>16</v>
      </c>
      <c r="AW180">
        <v>13</v>
      </c>
      <c r="AX180" t="s">
        <v>74</v>
      </c>
      <c r="AY180" t="s">
        <v>74</v>
      </c>
      <c r="AZ180" t="s">
        <v>74</v>
      </c>
      <c r="BA180" t="s">
        <v>74</v>
      </c>
      <c r="BB180" t="s">
        <v>74</v>
      </c>
      <c r="BC180" t="s">
        <v>74</v>
      </c>
      <c r="BD180">
        <v>5522</v>
      </c>
      <c r="BE180" t="s">
        <v>3866</v>
      </c>
      <c r="BF180" t="str">
        <f>HYPERLINK("http://dx.doi.org/10.3390/su16135522","http://dx.doi.org/10.3390/su16135522")</f>
        <v>http://dx.doi.org/10.3390/su16135522</v>
      </c>
      <c r="BG180" t="s">
        <v>74</v>
      </c>
      <c r="BH180" t="s">
        <v>74</v>
      </c>
      <c r="BI180">
        <v>13</v>
      </c>
      <c r="BJ180" t="s">
        <v>484</v>
      </c>
      <c r="BK180" t="s">
        <v>186</v>
      </c>
      <c r="BL180" t="s">
        <v>485</v>
      </c>
      <c r="BM180" t="s">
        <v>3867</v>
      </c>
      <c r="BN180" t="s">
        <v>74</v>
      </c>
      <c r="BO180" t="s">
        <v>231</v>
      </c>
      <c r="BP180" t="s">
        <v>74</v>
      </c>
      <c r="BQ180" t="s">
        <v>74</v>
      </c>
      <c r="BR180" t="s">
        <v>106</v>
      </c>
      <c r="BS180" t="s">
        <v>3868</v>
      </c>
      <c r="BT180" t="str">
        <f>HYPERLINK("https%3A%2F%2Fwww.webofscience.com%2Fwos%2Fwoscc%2Ffull-record%2FWOS:001266594100001","View Full Record in Web of Science")</f>
        <v>View Full Record in Web of Science</v>
      </c>
    </row>
    <row r="181" spans="1:72" x14ac:dyDescent="0.2">
      <c r="A181" t="s">
        <v>72</v>
      </c>
      <c r="B181" t="s">
        <v>3869</v>
      </c>
      <c r="C181" t="s">
        <v>74</v>
      </c>
      <c r="D181" t="s">
        <v>74</v>
      </c>
      <c r="E181" t="s">
        <v>74</v>
      </c>
      <c r="F181" t="s">
        <v>3870</v>
      </c>
      <c r="G181" t="s">
        <v>74</v>
      </c>
      <c r="H181" t="s">
        <v>74</v>
      </c>
      <c r="I181" t="s">
        <v>3871</v>
      </c>
      <c r="J181" t="s">
        <v>3872</v>
      </c>
      <c r="K181" t="s">
        <v>74</v>
      </c>
      <c r="L181" t="s">
        <v>74</v>
      </c>
      <c r="M181" t="s">
        <v>78</v>
      </c>
      <c r="N181" t="s">
        <v>79</v>
      </c>
      <c r="O181" t="s">
        <v>74</v>
      </c>
      <c r="P181" t="s">
        <v>74</v>
      </c>
      <c r="Q181" t="s">
        <v>74</v>
      </c>
      <c r="R181" t="s">
        <v>74</v>
      </c>
      <c r="S181" t="s">
        <v>74</v>
      </c>
      <c r="T181" t="s">
        <v>3873</v>
      </c>
      <c r="U181" t="s">
        <v>74</v>
      </c>
      <c r="V181" t="s">
        <v>3874</v>
      </c>
      <c r="W181" t="s">
        <v>3875</v>
      </c>
      <c r="X181" t="s">
        <v>3876</v>
      </c>
      <c r="Y181" t="s">
        <v>3877</v>
      </c>
      <c r="Z181" t="s">
        <v>3878</v>
      </c>
      <c r="AA181" t="s">
        <v>3879</v>
      </c>
      <c r="AB181" t="s">
        <v>3880</v>
      </c>
      <c r="AC181" t="s">
        <v>74</v>
      </c>
      <c r="AD181" t="s">
        <v>74</v>
      </c>
      <c r="AE181" t="s">
        <v>74</v>
      </c>
      <c r="AF181" t="s">
        <v>74</v>
      </c>
      <c r="AG181">
        <v>29</v>
      </c>
      <c r="AH181">
        <v>3</v>
      </c>
      <c r="AI181">
        <v>4</v>
      </c>
      <c r="AJ181">
        <v>6</v>
      </c>
      <c r="AK181">
        <v>12</v>
      </c>
      <c r="AL181" t="s">
        <v>3881</v>
      </c>
      <c r="AM181" t="s">
        <v>3882</v>
      </c>
      <c r="AN181" t="s">
        <v>3883</v>
      </c>
      <c r="AO181" t="s">
        <v>3884</v>
      </c>
      <c r="AP181" t="s">
        <v>74</v>
      </c>
      <c r="AQ181" t="s">
        <v>74</v>
      </c>
      <c r="AR181" t="s">
        <v>3885</v>
      </c>
      <c r="AS181" t="s">
        <v>3886</v>
      </c>
      <c r="AT181" t="s">
        <v>74</v>
      </c>
      <c r="AU181">
        <v>2024</v>
      </c>
      <c r="AV181">
        <v>26</v>
      </c>
      <c r="AW181" t="s">
        <v>74</v>
      </c>
      <c r="AX181" t="s">
        <v>74</v>
      </c>
      <c r="AY181" t="s">
        <v>74</v>
      </c>
      <c r="AZ181" t="s">
        <v>74</v>
      </c>
      <c r="BA181" t="s">
        <v>74</v>
      </c>
      <c r="BB181">
        <v>707</v>
      </c>
      <c r="BC181">
        <v>715</v>
      </c>
      <c r="BD181" t="s">
        <v>74</v>
      </c>
      <c r="BE181" t="s">
        <v>3887</v>
      </c>
      <c r="BF181" t="str">
        <f>HYPERLINK("http://dx.doi.org/10.54740/ros.2024.062","http://dx.doi.org/10.54740/ros.2024.062")</f>
        <v>http://dx.doi.org/10.54740/ros.2024.062</v>
      </c>
      <c r="BG181" t="s">
        <v>74</v>
      </c>
      <c r="BH181" t="s">
        <v>74</v>
      </c>
      <c r="BI181">
        <v>9</v>
      </c>
      <c r="BJ181" t="s">
        <v>567</v>
      </c>
      <c r="BK181" t="s">
        <v>102</v>
      </c>
      <c r="BL181" t="s">
        <v>568</v>
      </c>
      <c r="BM181" t="s">
        <v>3888</v>
      </c>
      <c r="BN181" t="s">
        <v>74</v>
      </c>
      <c r="BO181" t="s">
        <v>3889</v>
      </c>
      <c r="BP181" t="s">
        <v>74</v>
      </c>
      <c r="BQ181" t="s">
        <v>74</v>
      </c>
      <c r="BR181" t="s">
        <v>106</v>
      </c>
      <c r="BS181" t="s">
        <v>3890</v>
      </c>
      <c r="BT181" t="str">
        <f>HYPERLINK("https%3A%2F%2Fwww.webofscience.com%2Fwos%2Fwoscc%2Ffull-record%2FWOS:001381848800008","View Full Record in Web of Science")</f>
        <v>View Full Record in Web of Science</v>
      </c>
    </row>
    <row r="182" spans="1:72" x14ac:dyDescent="0.2">
      <c r="A182" t="s">
        <v>72</v>
      </c>
      <c r="B182" t="s">
        <v>3891</v>
      </c>
      <c r="C182" t="s">
        <v>74</v>
      </c>
      <c r="D182" t="s">
        <v>74</v>
      </c>
      <c r="E182" t="s">
        <v>74</v>
      </c>
      <c r="F182" t="s">
        <v>3892</v>
      </c>
      <c r="G182" t="s">
        <v>74</v>
      </c>
      <c r="H182" t="s">
        <v>74</v>
      </c>
      <c r="I182" t="s">
        <v>3893</v>
      </c>
      <c r="J182" t="s">
        <v>347</v>
      </c>
      <c r="K182" t="s">
        <v>74</v>
      </c>
      <c r="L182" t="s">
        <v>74</v>
      </c>
      <c r="M182" t="s">
        <v>78</v>
      </c>
      <c r="N182" t="s">
        <v>79</v>
      </c>
      <c r="O182" t="s">
        <v>74</v>
      </c>
      <c r="P182" t="s">
        <v>74</v>
      </c>
      <c r="Q182" t="s">
        <v>74</v>
      </c>
      <c r="R182" t="s">
        <v>74</v>
      </c>
      <c r="S182" t="s">
        <v>74</v>
      </c>
      <c r="T182" t="s">
        <v>3894</v>
      </c>
      <c r="U182" t="s">
        <v>3895</v>
      </c>
      <c r="V182" t="s">
        <v>3896</v>
      </c>
      <c r="W182" t="s">
        <v>3897</v>
      </c>
      <c r="X182" t="s">
        <v>3898</v>
      </c>
      <c r="Y182" t="s">
        <v>3899</v>
      </c>
      <c r="Z182" t="s">
        <v>3900</v>
      </c>
      <c r="AA182" t="s">
        <v>3901</v>
      </c>
      <c r="AB182" t="s">
        <v>74</v>
      </c>
      <c r="AC182" t="s">
        <v>3902</v>
      </c>
      <c r="AD182" t="s">
        <v>3902</v>
      </c>
      <c r="AE182" t="s">
        <v>3903</v>
      </c>
      <c r="AF182" t="s">
        <v>74</v>
      </c>
      <c r="AG182">
        <v>59</v>
      </c>
      <c r="AH182">
        <v>7</v>
      </c>
      <c r="AI182">
        <v>7</v>
      </c>
      <c r="AJ182">
        <v>18</v>
      </c>
      <c r="AK182">
        <v>69</v>
      </c>
      <c r="AL182" t="s">
        <v>274</v>
      </c>
      <c r="AM182" t="s">
        <v>275</v>
      </c>
      <c r="AN182" t="s">
        <v>276</v>
      </c>
      <c r="AO182" t="s">
        <v>357</v>
      </c>
      <c r="AP182" t="s">
        <v>74</v>
      </c>
      <c r="AQ182" t="s">
        <v>74</v>
      </c>
      <c r="AR182" t="s">
        <v>358</v>
      </c>
      <c r="AS182" t="s">
        <v>359</v>
      </c>
      <c r="AT182" t="s">
        <v>3904</v>
      </c>
      <c r="AU182">
        <v>2024</v>
      </c>
      <c r="AV182">
        <v>14</v>
      </c>
      <c r="AW182">
        <v>1</v>
      </c>
      <c r="AX182" t="s">
        <v>74</v>
      </c>
      <c r="AY182" t="s">
        <v>74</v>
      </c>
      <c r="AZ182" t="s">
        <v>74</v>
      </c>
      <c r="BA182" t="s">
        <v>74</v>
      </c>
      <c r="BB182" t="s">
        <v>74</v>
      </c>
      <c r="BC182" t="s">
        <v>74</v>
      </c>
      <c r="BD182">
        <v>17984</v>
      </c>
      <c r="BE182" t="s">
        <v>3905</v>
      </c>
      <c r="BF182" t="str">
        <f>HYPERLINK("http://dx.doi.org/10.1038/s41598-024-68614-1","http://dx.doi.org/10.1038/s41598-024-68614-1")</f>
        <v>http://dx.doi.org/10.1038/s41598-024-68614-1</v>
      </c>
      <c r="BG182" t="s">
        <v>74</v>
      </c>
      <c r="BH182" t="s">
        <v>74</v>
      </c>
      <c r="BI182">
        <v>20</v>
      </c>
      <c r="BJ182" t="s">
        <v>158</v>
      </c>
      <c r="BK182" t="s">
        <v>102</v>
      </c>
      <c r="BL182" t="s">
        <v>159</v>
      </c>
      <c r="BM182" t="s">
        <v>3906</v>
      </c>
      <c r="BN182">
        <v>39097634</v>
      </c>
      <c r="BO182" t="s">
        <v>161</v>
      </c>
      <c r="BP182" t="s">
        <v>74</v>
      </c>
      <c r="BQ182" t="s">
        <v>74</v>
      </c>
      <c r="BR182" t="s">
        <v>106</v>
      </c>
      <c r="BS182" t="s">
        <v>3907</v>
      </c>
      <c r="BT182" t="str">
        <f>HYPERLINK("https%3A%2F%2Fwww.webofscience.com%2Fwos%2Fwoscc%2Ffull-record%2FWOS:001285116800012","View Full Record in Web of Science")</f>
        <v>View Full Record in Web of Science</v>
      </c>
    </row>
    <row r="183" spans="1:72" x14ac:dyDescent="0.2">
      <c r="A183" t="s">
        <v>72</v>
      </c>
      <c r="B183" t="s">
        <v>3908</v>
      </c>
      <c r="C183" t="s">
        <v>74</v>
      </c>
      <c r="D183" t="s">
        <v>74</v>
      </c>
      <c r="E183" t="s">
        <v>74</v>
      </c>
      <c r="F183" t="s">
        <v>3909</v>
      </c>
      <c r="G183" t="s">
        <v>74</v>
      </c>
      <c r="H183" t="s">
        <v>74</v>
      </c>
      <c r="I183" t="s">
        <v>3910</v>
      </c>
      <c r="J183" t="s">
        <v>3061</v>
      </c>
      <c r="K183" t="s">
        <v>74</v>
      </c>
      <c r="L183" t="s">
        <v>74</v>
      </c>
      <c r="M183" t="s">
        <v>78</v>
      </c>
      <c r="N183" t="s">
        <v>79</v>
      </c>
      <c r="O183" t="s">
        <v>74</v>
      </c>
      <c r="P183" t="s">
        <v>74</v>
      </c>
      <c r="Q183" t="s">
        <v>74</v>
      </c>
      <c r="R183" t="s">
        <v>74</v>
      </c>
      <c r="S183" t="s">
        <v>74</v>
      </c>
      <c r="T183" t="s">
        <v>3911</v>
      </c>
      <c r="U183" t="s">
        <v>3912</v>
      </c>
      <c r="V183" t="s">
        <v>3913</v>
      </c>
      <c r="W183" t="s">
        <v>3914</v>
      </c>
      <c r="X183" t="s">
        <v>3915</v>
      </c>
      <c r="Y183" t="s">
        <v>3916</v>
      </c>
      <c r="Z183" t="s">
        <v>3917</v>
      </c>
      <c r="AA183" t="s">
        <v>3918</v>
      </c>
      <c r="AB183" t="s">
        <v>3919</v>
      </c>
      <c r="AC183" t="s">
        <v>3920</v>
      </c>
      <c r="AD183" t="s">
        <v>3921</v>
      </c>
      <c r="AE183" t="s">
        <v>3922</v>
      </c>
      <c r="AF183" t="s">
        <v>74</v>
      </c>
      <c r="AG183">
        <v>67</v>
      </c>
      <c r="AH183">
        <v>47</v>
      </c>
      <c r="AI183">
        <v>58</v>
      </c>
      <c r="AJ183">
        <v>4</v>
      </c>
      <c r="AK183">
        <v>330</v>
      </c>
      <c r="AL183" t="s">
        <v>123</v>
      </c>
      <c r="AM183" t="s">
        <v>124</v>
      </c>
      <c r="AN183" t="s">
        <v>125</v>
      </c>
      <c r="AO183" t="s">
        <v>3074</v>
      </c>
      <c r="AP183" t="s">
        <v>3075</v>
      </c>
      <c r="AQ183" t="s">
        <v>74</v>
      </c>
      <c r="AR183" t="s">
        <v>3061</v>
      </c>
      <c r="AS183" t="s">
        <v>3076</v>
      </c>
      <c r="AT183" t="s">
        <v>2684</v>
      </c>
      <c r="AU183">
        <v>2019</v>
      </c>
      <c r="AV183">
        <v>336</v>
      </c>
      <c r="AW183" t="s">
        <v>74</v>
      </c>
      <c r="AX183" t="s">
        <v>74</v>
      </c>
      <c r="AY183" t="s">
        <v>74</v>
      </c>
      <c r="AZ183" t="s">
        <v>74</v>
      </c>
      <c r="BA183" t="s">
        <v>74</v>
      </c>
      <c r="BB183">
        <v>49</v>
      </c>
      <c r="BC183">
        <v>58</v>
      </c>
      <c r="BD183" t="s">
        <v>74</v>
      </c>
      <c r="BE183" t="s">
        <v>3923</v>
      </c>
      <c r="BF183" t="str">
        <f>HYPERLINK("http://dx.doi.org/10.1016/j.geoderma.2018.08.004","http://dx.doi.org/10.1016/j.geoderma.2018.08.004")</f>
        <v>http://dx.doi.org/10.1016/j.geoderma.2018.08.004</v>
      </c>
      <c r="BG183" t="s">
        <v>74</v>
      </c>
      <c r="BH183" t="s">
        <v>74</v>
      </c>
      <c r="BI183">
        <v>10</v>
      </c>
      <c r="BJ183" t="s">
        <v>256</v>
      </c>
      <c r="BK183" t="s">
        <v>102</v>
      </c>
      <c r="BL183" t="s">
        <v>103</v>
      </c>
      <c r="BM183" t="s">
        <v>3924</v>
      </c>
      <c r="BN183" t="s">
        <v>74</v>
      </c>
      <c r="BO183" t="s">
        <v>74</v>
      </c>
      <c r="BP183" t="s">
        <v>74</v>
      </c>
      <c r="BQ183" t="s">
        <v>74</v>
      </c>
      <c r="BR183" t="s">
        <v>106</v>
      </c>
      <c r="BS183" t="s">
        <v>3925</v>
      </c>
      <c r="BT183" t="str">
        <f>HYPERLINK("https%3A%2F%2Fwww.webofscience.com%2Fwos%2Fwoscc%2Ffull-record%2FWOS:000447108600005","View Full Record in Web of Science")</f>
        <v>View Full Record in Web of Science</v>
      </c>
    </row>
    <row r="184" spans="1:72" x14ac:dyDescent="0.2">
      <c r="A184" t="s">
        <v>72</v>
      </c>
      <c r="B184" t="s">
        <v>3926</v>
      </c>
      <c r="C184" t="s">
        <v>74</v>
      </c>
      <c r="D184" t="s">
        <v>74</v>
      </c>
      <c r="E184" t="s">
        <v>74</v>
      </c>
      <c r="F184" t="s">
        <v>3927</v>
      </c>
      <c r="G184" t="s">
        <v>74</v>
      </c>
      <c r="H184" t="s">
        <v>74</v>
      </c>
      <c r="I184" t="s">
        <v>3928</v>
      </c>
      <c r="J184" t="s">
        <v>3929</v>
      </c>
      <c r="K184" t="s">
        <v>74</v>
      </c>
      <c r="L184" t="s">
        <v>74</v>
      </c>
      <c r="M184" t="s">
        <v>78</v>
      </c>
      <c r="N184" t="s">
        <v>79</v>
      </c>
      <c r="O184" t="s">
        <v>74</v>
      </c>
      <c r="P184" t="s">
        <v>74</v>
      </c>
      <c r="Q184" t="s">
        <v>74</v>
      </c>
      <c r="R184" t="s">
        <v>74</v>
      </c>
      <c r="S184" t="s">
        <v>74</v>
      </c>
      <c r="T184" t="s">
        <v>3930</v>
      </c>
      <c r="U184" t="s">
        <v>3931</v>
      </c>
      <c r="V184" t="s">
        <v>3932</v>
      </c>
      <c r="W184" t="s">
        <v>3933</v>
      </c>
      <c r="X184" t="s">
        <v>3934</v>
      </c>
      <c r="Y184" t="s">
        <v>3935</v>
      </c>
      <c r="Z184" t="s">
        <v>3936</v>
      </c>
      <c r="AA184" t="s">
        <v>3937</v>
      </c>
      <c r="AB184" t="s">
        <v>3938</v>
      </c>
      <c r="AC184" t="s">
        <v>3939</v>
      </c>
      <c r="AD184" t="s">
        <v>3940</v>
      </c>
      <c r="AE184" t="s">
        <v>3941</v>
      </c>
      <c r="AF184" t="s">
        <v>74</v>
      </c>
      <c r="AG184">
        <v>46</v>
      </c>
      <c r="AH184">
        <v>0</v>
      </c>
      <c r="AI184">
        <v>0</v>
      </c>
      <c r="AJ184">
        <v>1</v>
      </c>
      <c r="AK184">
        <v>1</v>
      </c>
      <c r="AL184" t="s">
        <v>3942</v>
      </c>
      <c r="AM184" t="s">
        <v>3943</v>
      </c>
      <c r="AN184" t="s">
        <v>3944</v>
      </c>
      <c r="AO184" t="s">
        <v>3945</v>
      </c>
      <c r="AP184" t="s">
        <v>3946</v>
      </c>
      <c r="AQ184" t="s">
        <v>74</v>
      </c>
      <c r="AR184" t="s">
        <v>3947</v>
      </c>
      <c r="AS184" t="s">
        <v>3948</v>
      </c>
      <c r="AT184" t="s">
        <v>912</v>
      </c>
      <c r="AU184">
        <v>2025</v>
      </c>
      <c r="AV184">
        <v>71</v>
      </c>
      <c r="AW184">
        <v>2</v>
      </c>
      <c r="AX184" t="s">
        <v>74</v>
      </c>
      <c r="AY184" t="s">
        <v>74</v>
      </c>
      <c r="AZ184" t="s">
        <v>74</v>
      </c>
      <c r="BA184" t="s">
        <v>74</v>
      </c>
      <c r="BB184">
        <v>6960</v>
      </c>
      <c r="BC184">
        <v>6968</v>
      </c>
      <c r="BD184" t="s">
        <v>74</v>
      </c>
      <c r="BE184" t="s">
        <v>3949</v>
      </c>
      <c r="BF184" t="str">
        <f>HYPERLINK("http://dx.doi.org/10.1109/TCE.2025.3553395","http://dx.doi.org/10.1109/TCE.2025.3553395")</f>
        <v>http://dx.doi.org/10.1109/TCE.2025.3553395</v>
      </c>
      <c r="BG184" t="s">
        <v>74</v>
      </c>
      <c r="BH184" t="s">
        <v>74</v>
      </c>
      <c r="BI184">
        <v>9</v>
      </c>
      <c r="BJ184" t="s">
        <v>3950</v>
      </c>
      <c r="BK184" t="s">
        <v>102</v>
      </c>
      <c r="BL184" t="s">
        <v>3951</v>
      </c>
      <c r="BM184" t="s">
        <v>3952</v>
      </c>
      <c r="BN184" t="s">
        <v>74</v>
      </c>
      <c r="BO184" t="s">
        <v>74</v>
      </c>
      <c r="BP184" t="s">
        <v>74</v>
      </c>
      <c r="BQ184" t="s">
        <v>74</v>
      </c>
      <c r="BR184" t="s">
        <v>106</v>
      </c>
      <c r="BS184" t="s">
        <v>3953</v>
      </c>
      <c r="BT184" t="str">
        <f>HYPERLINK("https%3A%2F%2Fwww.webofscience.com%2Fwos%2Fwoscc%2Ffull-record%2FWOS:001554484400034","View Full Record in Web of Science")</f>
        <v>View Full Record in Web of Science</v>
      </c>
    </row>
    <row r="185" spans="1:72" x14ac:dyDescent="0.2">
      <c r="A185" t="s">
        <v>72</v>
      </c>
      <c r="B185" t="s">
        <v>3954</v>
      </c>
      <c r="C185" t="s">
        <v>74</v>
      </c>
      <c r="D185" t="s">
        <v>74</v>
      </c>
      <c r="E185" t="s">
        <v>74</v>
      </c>
      <c r="F185" t="s">
        <v>3955</v>
      </c>
      <c r="G185" t="s">
        <v>74</v>
      </c>
      <c r="H185" t="s">
        <v>74</v>
      </c>
      <c r="I185" t="s">
        <v>3956</v>
      </c>
      <c r="J185" t="s">
        <v>446</v>
      </c>
      <c r="K185" t="s">
        <v>74</v>
      </c>
      <c r="L185" t="s">
        <v>74</v>
      </c>
      <c r="M185" t="s">
        <v>78</v>
      </c>
      <c r="N185" t="s">
        <v>79</v>
      </c>
      <c r="O185" t="s">
        <v>74</v>
      </c>
      <c r="P185" t="s">
        <v>74</v>
      </c>
      <c r="Q185" t="s">
        <v>74</v>
      </c>
      <c r="R185" t="s">
        <v>74</v>
      </c>
      <c r="S185" t="s">
        <v>74</v>
      </c>
      <c r="T185" t="s">
        <v>3957</v>
      </c>
      <c r="U185" t="s">
        <v>3958</v>
      </c>
      <c r="V185" t="s">
        <v>3959</v>
      </c>
      <c r="W185" t="s">
        <v>3960</v>
      </c>
      <c r="X185" t="s">
        <v>3961</v>
      </c>
      <c r="Y185" t="s">
        <v>3962</v>
      </c>
      <c r="Z185" t="s">
        <v>3963</v>
      </c>
      <c r="AA185" t="s">
        <v>3964</v>
      </c>
      <c r="AB185" t="s">
        <v>74</v>
      </c>
      <c r="AC185" t="s">
        <v>3965</v>
      </c>
      <c r="AD185" t="s">
        <v>3966</v>
      </c>
      <c r="AE185" t="s">
        <v>3967</v>
      </c>
      <c r="AF185" t="s">
        <v>74</v>
      </c>
      <c r="AG185">
        <v>86</v>
      </c>
      <c r="AH185">
        <v>4</v>
      </c>
      <c r="AI185">
        <v>4</v>
      </c>
      <c r="AJ185">
        <v>37</v>
      </c>
      <c r="AK185">
        <v>104</v>
      </c>
      <c r="AL185" t="s">
        <v>222</v>
      </c>
      <c r="AM185" t="s">
        <v>223</v>
      </c>
      <c r="AN185" t="s">
        <v>224</v>
      </c>
      <c r="AO185" t="s">
        <v>74</v>
      </c>
      <c r="AP185" t="s">
        <v>457</v>
      </c>
      <c r="AQ185" t="s">
        <v>74</v>
      </c>
      <c r="AR185" t="s">
        <v>446</v>
      </c>
      <c r="AS185" t="s">
        <v>458</v>
      </c>
      <c r="AT185" t="s">
        <v>2017</v>
      </c>
      <c r="AU185">
        <v>2024</v>
      </c>
      <c r="AV185">
        <v>14</v>
      </c>
      <c r="AW185">
        <v>10</v>
      </c>
      <c r="AX185" t="s">
        <v>74</v>
      </c>
      <c r="AY185" t="s">
        <v>74</v>
      </c>
      <c r="AZ185" t="s">
        <v>74</v>
      </c>
      <c r="BA185" t="s">
        <v>74</v>
      </c>
      <c r="BB185" t="s">
        <v>74</v>
      </c>
      <c r="BC185" t="s">
        <v>74</v>
      </c>
      <c r="BD185">
        <v>2263</v>
      </c>
      <c r="BE185" t="s">
        <v>3968</v>
      </c>
      <c r="BF185" t="str">
        <f>HYPERLINK("http://dx.doi.org/10.3390/agronomy14102263","http://dx.doi.org/10.3390/agronomy14102263")</f>
        <v>http://dx.doi.org/10.3390/agronomy14102263</v>
      </c>
      <c r="BG185" t="s">
        <v>74</v>
      </c>
      <c r="BH185" t="s">
        <v>74</v>
      </c>
      <c r="BI185">
        <v>15</v>
      </c>
      <c r="BJ185" t="s">
        <v>461</v>
      </c>
      <c r="BK185" t="s">
        <v>102</v>
      </c>
      <c r="BL185" t="s">
        <v>462</v>
      </c>
      <c r="BM185" t="s">
        <v>3969</v>
      </c>
      <c r="BN185" t="s">
        <v>74</v>
      </c>
      <c r="BO185" t="s">
        <v>231</v>
      </c>
      <c r="BP185" t="s">
        <v>74</v>
      </c>
      <c r="BQ185" t="s">
        <v>74</v>
      </c>
      <c r="BR185" t="s">
        <v>106</v>
      </c>
      <c r="BS185" t="s">
        <v>3970</v>
      </c>
      <c r="BT185" t="str">
        <f>HYPERLINK("https%3A%2F%2Fwww.webofscience.com%2Fwos%2Fwoscc%2Ffull-record%2FWOS:001343253700001","View Full Record in Web of Science")</f>
        <v>View Full Record in Web of Science</v>
      </c>
    </row>
    <row r="186" spans="1:72" x14ac:dyDescent="0.2">
      <c r="A186" t="s">
        <v>72</v>
      </c>
      <c r="B186" t="s">
        <v>3971</v>
      </c>
      <c r="C186" t="s">
        <v>74</v>
      </c>
      <c r="D186" t="s">
        <v>74</v>
      </c>
      <c r="E186" t="s">
        <v>74</v>
      </c>
      <c r="F186" t="s">
        <v>3972</v>
      </c>
      <c r="G186" t="s">
        <v>74</v>
      </c>
      <c r="H186" t="s">
        <v>74</v>
      </c>
      <c r="I186" t="s">
        <v>3973</v>
      </c>
      <c r="J186" t="s">
        <v>995</v>
      </c>
      <c r="K186" t="s">
        <v>74</v>
      </c>
      <c r="L186" t="s">
        <v>74</v>
      </c>
      <c r="M186" t="s">
        <v>78</v>
      </c>
      <c r="N186" t="s">
        <v>79</v>
      </c>
      <c r="O186" t="s">
        <v>74</v>
      </c>
      <c r="P186" t="s">
        <v>74</v>
      </c>
      <c r="Q186" t="s">
        <v>74</v>
      </c>
      <c r="R186" t="s">
        <v>74</v>
      </c>
      <c r="S186" t="s">
        <v>74</v>
      </c>
      <c r="T186" t="s">
        <v>74</v>
      </c>
      <c r="U186" t="s">
        <v>3974</v>
      </c>
      <c r="V186" t="s">
        <v>3975</v>
      </c>
      <c r="W186" t="s">
        <v>3976</v>
      </c>
      <c r="X186" t="s">
        <v>3977</v>
      </c>
      <c r="Y186" t="s">
        <v>3978</v>
      </c>
      <c r="Z186" t="s">
        <v>3979</v>
      </c>
      <c r="AA186" t="s">
        <v>3980</v>
      </c>
      <c r="AB186" t="s">
        <v>3981</v>
      </c>
      <c r="AC186" t="s">
        <v>3982</v>
      </c>
      <c r="AD186" t="s">
        <v>3983</v>
      </c>
      <c r="AE186" t="s">
        <v>3984</v>
      </c>
      <c r="AF186" t="s">
        <v>74</v>
      </c>
      <c r="AG186">
        <v>113</v>
      </c>
      <c r="AH186">
        <v>36</v>
      </c>
      <c r="AI186">
        <v>41</v>
      </c>
      <c r="AJ186">
        <v>11</v>
      </c>
      <c r="AK186">
        <v>103</v>
      </c>
      <c r="AL186" t="s">
        <v>123</v>
      </c>
      <c r="AM186" t="s">
        <v>124</v>
      </c>
      <c r="AN186" t="s">
        <v>125</v>
      </c>
      <c r="AO186" t="s">
        <v>1008</v>
      </c>
      <c r="AP186" t="s">
        <v>1009</v>
      </c>
      <c r="AQ186" t="s">
        <v>74</v>
      </c>
      <c r="AR186" t="s">
        <v>1010</v>
      </c>
      <c r="AS186" t="s">
        <v>1011</v>
      </c>
      <c r="AT186" t="s">
        <v>3985</v>
      </c>
      <c r="AU186">
        <v>2022</v>
      </c>
      <c r="AV186">
        <v>836</v>
      </c>
      <c r="AW186" t="s">
        <v>74</v>
      </c>
      <c r="AX186" t="s">
        <v>74</v>
      </c>
      <c r="AY186" t="s">
        <v>74</v>
      </c>
      <c r="AZ186" t="s">
        <v>74</v>
      </c>
      <c r="BA186" t="s">
        <v>74</v>
      </c>
      <c r="BB186" t="s">
        <v>74</v>
      </c>
      <c r="BC186" t="s">
        <v>74</v>
      </c>
      <c r="BD186">
        <v>154932</v>
      </c>
      <c r="BE186" t="s">
        <v>3986</v>
      </c>
      <c r="BF186" t="str">
        <f>HYPERLINK("http://dx.doi.org/10.1016/j.scitotenv.2022.154932","http://dx.doi.org/10.1016/j.scitotenv.2022.154932")</f>
        <v>http://dx.doi.org/10.1016/j.scitotenv.2022.154932</v>
      </c>
      <c r="BG186" t="s">
        <v>74</v>
      </c>
      <c r="BH186" t="s">
        <v>3987</v>
      </c>
      <c r="BI186">
        <v>16</v>
      </c>
      <c r="BJ186" t="s">
        <v>567</v>
      </c>
      <c r="BK186" t="s">
        <v>102</v>
      </c>
      <c r="BL186" t="s">
        <v>568</v>
      </c>
      <c r="BM186" t="s">
        <v>3988</v>
      </c>
      <c r="BN186">
        <v>35447172</v>
      </c>
      <c r="BO186" t="s">
        <v>916</v>
      </c>
      <c r="BP186" t="s">
        <v>74</v>
      </c>
      <c r="BQ186" t="s">
        <v>74</v>
      </c>
      <c r="BR186" t="s">
        <v>106</v>
      </c>
      <c r="BS186" t="s">
        <v>3989</v>
      </c>
      <c r="BT186" t="str">
        <f>HYPERLINK("https%3A%2F%2Fwww.webofscience.com%2Fwos%2Fwoscc%2Ffull-record%2FWOS:000808094200007","View Full Record in Web of Science")</f>
        <v>View Full Record in Web of Science</v>
      </c>
    </row>
    <row r="187" spans="1:72" x14ac:dyDescent="0.2">
      <c r="A187" t="s">
        <v>72</v>
      </c>
      <c r="B187" t="s">
        <v>3990</v>
      </c>
      <c r="C187" t="s">
        <v>74</v>
      </c>
      <c r="D187" t="s">
        <v>74</v>
      </c>
      <c r="E187" t="s">
        <v>74</v>
      </c>
      <c r="F187" t="s">
        <v>3991</v>
      </c>
      <c r="G187" t="s">
        <v>74</v>
      </c>
      <c r="H187" t="s">
        <v>74</v>
      </c>
      <c r="I187" t="s">
        <v>3992</v>
      </c>
      <c r="J187" t="s">
        <v>995</v>
      </c>
      <c r="K187" t="s">
        <v>74</v>
      </c>
      <c r="L187" t="s">
        <v>74</v>
      </c>
      <c r="M187" t="s">
        <v>78</v>
      </c>
      <c r="N187" t="s">
        <v>79</v>
      </c>
      <c r="O187" t="s">
        <v>74</v>
      </c>
      <c r="P187" t="s">
        <v>74</v>
      </c>
      <c r="Q187" t="s">
        <v>74</v>
      </c>
      <c r="R187" t="s">
        <v>74</v>
      </c>
      <c r="S187" t="s">
        <v>74</v>
      </c>
      <c r="T187" t="s">
        <v>3993</v>
      </c>
      <c r="U187" t="s">
        <v>3994</v>
      </c>
      <c r="V187" t="s">
        <v>3995</v>
      </c>
      <c r="W187" t="s">
        <v>3996</v>
      </c>
      <c r="X187" t="s">
        <v>3997</v>
      </c>
      <c r="Y187" t="s">
        <v>3998</v>
      </c>
      <c r="Z187" t="s">
        <v>3999</v>
      </c>
      <c r="AA187" t="s">
        <v>4000</v>
      </c>
      <c r="AB187" t="s">
        <v>4001</v>
      </c>
      <c r="AC187" t="s">
        <v>4002</v>
      </c>
      <c r="AD187" t="s">
        <v>4003</v>
      </c>
      <c r="AE187" t="s">
        <v>4004</v>
      </c>
      <c r="AF187" t="s">
        <v>74</v>
      </c>
      <c r="AG187">
        <v>57</v>
      </c>
      <c r="AH187">
        <v>43</v>
      </c>
      <c r="AI187">
        <v>47</v>
      </c>
      <c r="AJ187">
        <v>21</v>
      </c>
      <c r="AK187">
        <v>221</v>
      </c>
      <c r="AL187" t="s">
        <v>123</v>
      </c>
      <c r="AM187" t="s">
        <v>124</v>
      </c>
      <c r="AN187" t="s">
        <v>125</v>
      </c>
      <c r="AO187" t="s">
        <v>1008</v>
      </c>
      <c r="AP187" t="s">
        <v>1009</v>
      </c>
      <c r="AQ187" t="s">
        <v>74</v>
      </c>
      <c r="AR187" t="s">
        <v>1010</v>
      </c>
      <c r="AS187" t="s">
        <v>1011</v>
      </c>
      <c r="AT187" t="s">
        <v>4005</v>
      </c>
      <c r="AU187">
        <v>2021</v>
      </c>
      <c r="AV187">
        <v>798</v>
      </c>
      <c r="AW187" t="s">
        <v>74</v>
      </c>
      <c r="AX187" t="s">
        <v>74</v>
      </c>
      <c r="AY187" t="s">
        <v>74</v>
      </c>
      <c r="AZ187" t="s">
        <v>74</v>
      </c>
      <c r="BA187" t="s">
        <v>74</v>
      </c>
      <c r="BB187" t="s">
        <v>74</v>
      </c>
      <c r="BC187" t="s">
        <v>74</v>
      </c>
      <c r="BD187">
        <v>149220</v>
      </c>
      <c r="BE187" t="s">
        <v>4006</v>
      </c>
      <c r="BF187" t="str">
        <f>HYPERLINK("http://dx.doi.org/10.1016/j.scitotenv.2021.149220","http://dx.doi.org/10.1016/j.scitotenv.2021.149220")</f>
        <v>http://dx.doi.org/10.1016/j.scitotenv.2021.149220</v>
      </c>
      <c r="BG187" t="s">
        <v>74</v>
      </c>
      <c r="BH187" t="s">
        <v>1225</v>
      </c>
      <c r="BI187">
        <v>9</v>
      </c>
      <c r="BJ187" t="s">
        <v>567</v>
      </c>
      <c r="BK187" t="s">
        <v>102</v>
      </c>
      <c r="BL187" t="s">
        <v>568</v>
      </c>
      <c r="BM187" t="s">
        <v>4007</v>
      </c>
      <c r="BN187">
        <v>34315054</v>
      </c>
      <c r="BO187" t="s">
        <v>74</v>
      </c>
      <c r="BP187" t="s">
        <v>74</v>
      </c>
      <c r="BQ187" t="s">
        <v>74</v>
      </c>
      <c r="BR187" t="s">
        <v>106</v>
      </c>
      <c r="BS187" t="s">
        <v>4008</v>
      </c>
      <c r="BT187" t="str">
        <f>HYPERLINK("https%3A%2F%2Fwww.webofscience.com%2Fwos%2Fwoscc%2Ffull-record%2FWOS:000701748100007","View Full Record in Web of Science")</f>
        <v>View Full Record in Web of Science</v>
      </c>
    </row>
    <row r="188" spans="1:72" x14ac:dyDescent="0.2">
      <c r="A188" t="s">
        <v>72</v>
      </c>
      <c r="B188" t="s">
        <v>4009</v>
      </c>
      <c r="C188" t="s">
        <v>74</v>
      </c>
      <c r="D188" t="s">
        <v>74</v>
      </c>
      <c r="E188" t="s">
        <v>74</v>
      </c>
      <c r="F188" t="s">
        <v>4010</v>
      </c>
      <c r="G188" t="s">
        <v>74</v>
      </c>
      <c r="H188" t="s">
        <v>74</v>
      </c>
      <c r="I188" t="s">
        <v>4011</v>
      </c>
      <c r="J188" t="s">
        <v>4012</v>
      </c>
      <c r="K188" t="s">
        <v>74</v>
      </c>
      <c r="L188" t="s">
        <v>74</v>
      </c>
      <c r="M188" t="s">
        <v>78</v>
      </c>
      <c r="N188" t="s">
        <v>79</v>
      </c>
      <c r="O188" t="s">
        <v>74</v>
      </c>
      <c r="P188" t="s">
        <v>74</v>
      </c>
      <c r="Q188" t="s">
        <v>74</v>
      </c>
      <c r="R188" t="s">
        <v>74</v>
      </c>
      <c r="S188" t="s">
        <v>74</v>
      </c>
      <c r="T188" t="s">
        <v>4013</v>
      </c>
      <c r="U188" t="s">
        <v>4014</v>
      </c>
      <c r="V188" t="s">
        <v>4015</v>
      </c>
      <c r="W188" t="s">
        <v>4016</v>
      </c>
      <c r="X188" t="s">
        <v>4017</v>
      </c>
      <c r="Y188" t="s">
        <v>4018</v>
      </c>
      <c r="Z188" t="s">
        <v>4019</v>
      </c>
      <c r="AA188" t="s">
        <v>4020</v>
      </c>
      <c r="AB188" t="s">
        <v>4021</v>
      </c>
      <c r="AC188" t="s">
        <v>4022</v>
      </c>
      <c r="AD188" t="s">
        <v>4023</v>
      </c>
      <c r="AE188" t="s">
        <v>4024</v>
      </c>
      <c r="AF188" t="s">
        <v>74</v>
      </c>
      <c r="AG188">
        <v>41</v>
      </c>
      <c r="AH188">
        <v>46</v>
      </c>
      <c r="AI188">
        <v>52</v>
      </c>
      <c r="AJ188">
        <v>4</v>
      </c>
      <c r="AK188">
        <v>87</v>
      </c>
      <c r="AL188" t="s">
        <v>585</v>
      </c>
      <c r="AM188" t="s">
        <v>306</v>
      </c>
      <c r="AN188" t="s">
        <v>586</v>
      </c>
      <c r="AO188" t="s">
        <v>4025</v>
      </c>
      <c r="AP188" t="s">
        <v>4026</v>
      </c>
      <c r="AQ188" t="s">
        <v>74</v>
      </c>
      <c r="AR188" t="s">
        <v>4027</v>
      </c>
      <c r="AS188" t="s">
        <v>4028</v>
      </c>
      <c r="AT188" t="s">
        <v>74</v>
      </c>
      <c r="AU188">
        <v>2017</v>
      </c>
      <c r="AV188">
        <v>63</v>
      </c>
      <c r="AW188">
        <v>12</v>
      </c>
      <c r="AX188" t="s">
        <v>74</v>
      </c>
      <c r="AY188" t="s">
        <v>74</v>
      </c>
      <c r="AZ188" t="s">
        <v>74</v>
      </c>
      <c r="BA188" t="s">
        <v>74</v>
      </c>
      <c r="BB188">
        <v>1644</v>
      </c>
      <c r="BC188">
        <v>1660</v>
      </c>
      <c r="BD188" t="s">
        <v>74</v>
      </c>
      <c r="BE188" t="s">
        <v>4029</v>
      </c>
      <c r="BF188" t="str">
        <f>HYPERLINK("http://dx.doi.org/10.1080/03650340.2017.1300657","http://dx.doi.org/10.1080/03650340.2017.1300657")</f>
        <v>http://dx.doi.org/10.1080/03650340.2017.1300657</v>
      </c>
      <c r="BG188" t="s">
        <v>74</v>
      </c>
      <c r="BH188" t="s">
        <v>74</v>
      </c>
      <c r="BI188">
        <v>17</v>
      </c>
      <c r="BJ188" t="s">
        <v>4030</v>
      </c>
      <c r="BK188" t="s">
        <v>102</v>
      </c>
      <c r="BL188" t="s">
        <v>103</v>
      </c>
      <c r="BM188" t="s">
        <v>4031</v>
      </c>
      <c r="BN188" t="s">
        <v>74</v>
      </c>
      <c r="BO188" t="s">
        <v>74</v>
      </c>
      <c r="BP188" t="s">
        <v>74</v>
      </c>
      <c r="BQ188" t="s">
        <v>74</v>
      </c>
      <c r="BR188" t="s">
        <v>106</v>
      </c>
      <c r="BS188" t="s">
        <v>4032</v>
      </c>
      <c r="BT188" t="str">
        <f>HYPERLINK("https%3A%2F%2Fwww.webofscience.com%2Fwos%2Fwoscc%2Ffull-record%2FWOS:000413964400002","View Full Record in Web of Science")</f>
        <v>View Full Record in Web of Science</v>
      </c>
    </row>
    <row r="189" spans="1:72" x14ac:dyDescent="0.2">
      <c r="A189" t="s">
        <v>72</v>
      </c>
      <c r="B189" t="s">
        <v>4033</v>
      </c>
      <c r="C189" t="s">
        <v>74</v>
      </c>
      <c r="D189" t="s">
        <v>74</v>
      </c>
      <c r="E189" t="s">
        <v>74</v>
      </c>
      <c r="F189" t="s">
        <v>4034</v>
      </c>
      <c r="G189" t="s">
        <v>74</v>
      </c>
      <c r="H189" t="s">
        <v>74</v>
      </c>
      <c r="I189" t="s">
        <v>4035</v>
      </c>
      <c r="J189" t="s">
        <v>4036</v>
      </c>
      <c r="K189" t="s">
        <v>74</v>
      </c>
      <c r="L189" t="s">
        <v>74</v>
      </c>
      <c r="M189" t="s">
        <v>78</v>
      </c>
      <c r="N189" t="s">
        <v>79</v>
      </c>
      <c r="O189" t="s">
        <v>74</v>
      </c>
      <c r="P189" t="s">
        <v>74</v>
      </c>
      <c r="Q189" t="s">
        <v>74</v>
      </c>
      <c r="R189" t="s">
        <v>74</v>
      </c>
      <c r="S189" t="s">
        <v>74</v>
      </c>
      <c r="T189" t="s">
        <v>4037</v>
      </c>
      <c r="U189" t="s">
        <v>4038</v>
      </c>
      <c r="V189" t="s">
        <v>4039</v>
      </c>
      <c r="W189" t="s">
        <v>4040</v>
      </c>
      <c r="X189" t="s">
        <v>4041</v>
      </c>
      <c r="Y189" t="s">
        <v>4042</v>
      </c>
      <c r="Z189" t="s">
        <v>4043</v>
      </c>
      <c r="AA189" t="s">
        <v>4044</v>
      </c>
      <c r="AB189" t="s">
        <v>74</v>
      </c>
      <c r="AC189" t="s">
        <v>74</v>
      </c>
      <c r="AD189" t="s">
        <v>74</v>
      </c>
      <c r="AE189" t="s">
        <v>74</v>
      </c>
      <c r="AF189" t="s">
        <v>74</v>
      </c>
      <c r="AG189">
        <v>51</v>
      </c>
      <c r="AH189">
        <v>16</v>
      </c>
      <c r="AI189">
        <v>18</v>
      </c>
      <c r="AJ189">
        <v>0</v>
      </c>
      <c r="AK189">
        <v>64</v>
      </c>
      <c r="AL189" t="s">
        <v>4045</v>
      </c>
      <c r="AM189" t="s">
        <v>4046</v>
      </c>
      <c r="AN189" t="s">
        <v>4047</v>
      </c>
      <c r="AO189" t="s">
        <v>4048</v>
      </c>
      <c r="AP189" t="s">
        <v>4049</v>
      </c>
      <c r="AQ189" t="s">
        <v>74</v>
      </c>
      <c r="AR189" t="s">
        <v>4050</v>
      </c>
      <c r="AS189" t="s">
        <v>4051</v>
      </c>
      <c r="AT189" t="s">
        <v>183</v>
      </c>
      <c r="AU189">
        <v>2015</v>
      </c>
      <c r="AV189">
        <v>36</v>
      </c>
      <c r="AW189">
        <v>3</v>
      </c>
      <c r="AX189" t="s">
        <v>74</v>
      </c>
      <c r="AY189" t="s">
        <v>74</v>
      </c>
      <c r="AZ189" t="s">
        <v>74</v>
      </c>
      <c r="BA189" t="s">
        <v>74</v>
      </c>
      <c r="BB189">
        <v>35</v>
      </c>
      <c r="BC189">
        <v>74</v>
      </c>
      <c r="BD189" t="s">
        <v>74</v>
      </c>
      <c r="BE189" t="s">
        <v>4052</v>
      </c>
      <c r="BF189" t="str">
        <f>HYPERLINK("http://dx.doi.org/10.5547/01956574.36.3.shol","http://dx.doi.org/10.5547/01956574.36.3.shol")</f>
        <v>http://dx.doi.org/10.5547/01956574.36.3.shol</v>
      </c>
      <c r="BG189" t="s">
        <v>74</v>
      </c>
      <c r="BH189" t="s">
        <v>74</v>
      </c>
      <c r="BI189">
        <v>40</v>
      </c>
      <c r="BJ189" t="s">
        <v>4053</v>
      </c>
      <c r="BK189" t="s">
        <v>186</v>
      </c>
      <c r="BL189" t="s">
        <v>2882</v>
      </c>
      <c r="BM189" t="s">
        <v>4054</v>
      </c>
      <c r="BN189" t="s">
        <v>74</v>
      </c>
      <c r="BO189" t="s">
        <v>74</v>
      </c>
      <c r="BP189" t="s">
        <v>74</v>
      </c>
      <c r="BQ189" t="s">
        <v>74</v>
      </c>
      <c r="BR189" t="s">
        <v>106</v>
      </c>
      <c r="BS189" t="s">
        <v>4055</v>
      </c>
      <c r="BT189" t="str">
        <f>HYPERLINK("https%3A%2F%2Fwww.webofscience.com%2Fwos%2Fwoscc%2Ffull-record%2FWOS:000356466100002","View Full Record in Web of Science")</f>
        <v>View Full Record in Web of Science</v>
      </c>
    </row>
    <row r="190" spans="1:72" x14ac:dyDescent="0.2">
      <c r="A190" t="s">
        <v>72</v>
      </c>
      <c r="B190" t="s">
        <v>4056</v>
      </c>
      <c r="C190" t="s">
        <v>74</v>
      </c>
      <c r="D190" t="s">
        <v>74</v>
      </c>
      <c r="E190" t="s">
        <v>74</v>
      </c>
      <c r="F190" t="s">
        <v>4057</v>
      </c>
      <c r="G190" t="s">
        <v>74</v>
      </c>
      <c r="H190" t="s">
        <v>74</v>
      </c>
      <c r="I190" t="s">
        <v>4058</v>
      </c>
      <c r="J190" t="s">
        <v>4059</v>
      </c>
      <c r="K190" t="s">
        <v>74</v>
      </c>
      <c r="L190" t="s">
        <v>74</v>
      </c>
      <c r="M190" t="s">
        <v>78</v>
      </c>
      <c r="N190" t="s">
        <v>79</v>
      </c>
      <c r="O190" t="s">
        <v>74</v>
      </c>
      <c r="P190" t="s">
        <v>74</v>
      </c>
      <c r="Q190" t="s">
        <v>74</v>
      </c>
      <c r="R190" t="s">
        <v>74</v>
      </c>
      <c r="S190" t="s">
        <v>74</v>
      </c>
      <c r="T190" t="s">
        <v>4060</v>
      </c>
      <c r="U190" t="s">
        <v>4061</v>
      </c>
      <c r="V190" t="s">
        <v>4062</v>
      </c>
      <c r="W190" t="s">
        <v>4063</v>
      </c>
      <c r="X190" t="s">
        <v>4064</v>
      </c>
      <c r="Y190" t="s">
        <v>4065</v>
      </c>
      <c r="Z190" t="s">
        <v>4066</v>
      </c>
      <c r="AA190" t="s">
        <v>4067</v>
      </c>
      <c r="AB190" t="s">
        <v>4068</v>
      </c>
      <c r="AC190" t="s">
        <v>74</v>
      </c>
      <c r="AD190" t="s">
        <v>74</v>
      </c>
      <c r="AE190" t="s">
        <v>74</v>
      </c>
      <c r="AF190" t="s">
        <v>74</v>
      </c>
      <c r="AG190">
        <v>56</v>
      </c>
      <c r="AH190">
        <v>21</v>
      </c>
      <c r="AI190">
        <v>23</v>
      </c>
      <c r="AJ190">
        <v>0</v>
      </c>
      <c r="AK190">
        <v>18</v>
      </c>
      <c r="AL190" t="s">
        <v>123</v>
      </c>
      <c r="AM190" t="s">
        <v>124</v>
      </c>
      <c r="AN190" t="s">
        <v>125</v>
      </c>
      <c r="AO190" t="s">
        <v>4069</v>
      </c>
      <c r="AP190" t="s">
        <v>74</v>
      </c>
      <c r="AQ190" t="s">
        <v>74</v>
      </c>
      <c r="AR190" t="s">
        <v>4070</v>
      </c>
      <c r="AS190" t="s">
        <v>4071</v>
      </c>
      <c r="AT190" t="s">
        <v>636</v>
      </c>
      <c r="AU190">
        <v>2019</v>
      </c>
      <c r="AV190">
        <v>18</v>
      </c>
      <c r="AW190" t="s">
        <v>74</v>
      </c>
      <c r="AX190" t="s">
        <v>74</v>
      </c>
      <c r="AY190" t="s">
        <v>74</v>
      </c>
      <c r="AZ190" t="s">
        <v>74</v>
      </c>
      <c r="BA190" t="s">
        <v>74</v>
      </c>
      <c r="BB190">
        <v>250</v>
      </c>
      <c r="BC190">
        <v>267</v>
      </c>
      <c r="BD190" t="s">
        <v>74</v>
      </c>
      <c r="BE190" t="s">
        <v>4072</v>
      </c>
      <c r="BF190" t="str">
        <f>HYPERLINK("http://dx.doi.org/10.1016/j.spc.2019.02.011","http://dx.doi.org/10.1016/j.spc.2019.02.011")</f>
        <v>http://dx.doi.org/10.1016/j.spc.2019.02.011</v>
      </c>
      <c r="BG190" t="s">
        <v>74</v>
      </c>
      <c r="BH190" t="s">
        <v>74</v>
      </c>
      <c r="BI190">
        <v>18</v>
      </c>
      <c r="BJ190" t="s">
        <v>4073</v>
      </c>
      <c r="BK190" t="s">
        <v>186</v>
      </c>
      <c r="BL190" t="s">
        <v>485</v>
      </c>
      <c r="BM190" t="s">
        <v>4074</v>
      </c>
      <c r="BN190" t="s">
        <v>74</v>
      </c>
      <c r="BO190" t="s">
        <v>74</v>
      </c>
      <c r="BP190" t="s">
        <v>74</v>
      </c>
      <c r="BQ190" t="s">
        <v>74</v>
      </c>
      <c r="BR190" t="s">
        <v>106</v>
      </c>
      <c r="BS190" t="s">
        <v>4075</v>
      </c>
      <c r="BT190" t="str">
        <f>HYPERLINK("https%3A%2F%2Fwww.webofscience.com%2Fwos%2Fwoscc%2Ffull-record%2FWOS:000464015100021","View Full Record in Web of Science")</f>
        <v>View Full Record in Web of Science</v>
      </c>
    </row>
    <row r="191" spans="1:72" x14ac:dyDescent="0.2">
      <c r="A191" t="s">
        <v>72</v>
      </c>
      <c r="B191" t="s">
        <v>4076</v>
      </c>
      <c r="C191" t="s">
        <v>74</v>
      </c>
      <c r="D191" t="s">
        <v>74</v>
      </c>
      <c r="E191" t="s">
        <v>74</v>
      </c>
      <c r="F191" t="s">
        <v>4077</v>
      </c>
      <c r="G191" t="s">
        <v>74</v>
      </c>
      <c r="H191" t="s">
        <v>74</v>
      </c>
      <c r="I191" t="s">
        <v>4078</v>
      </c>
      <c r="J191" t="s">
        <v>4079</v>
      </c>
      <c r="K191" t="s">
        <v>74</v>
      </c>
      <c r="L191" t="s">
        <v>74</v>
      </c>
      <c r="M191" t="s">
        <v>78</v>
      </c>
      <c r="N191" t="s">
        <v>79</v>
      </c>
      <c r="O191" t="s">
        <v>74</v>
      </c>
      <c r="P191" t="s">
        <v>74</v>
      </c>
      <c r="Q191" t="s">
        <v>74</v>
      </c>
      <c r="R191" t="s">
        <v>74</v>
      </c>
      <c r="S191" t="s">
        <v>74</v>
      </c>
      <c r="T191" t="s">
        <v>4080</v>
      </c>
      <c r="U191" t="s">
        <v>4081</v>
      </c>
      <c r="V191" t="s">
        <v>4082</v>
      </c>
      <c r="W191" t="s">
        <v>4083</v>
      </c>
      <c r="X191" t="s">
        <v>4084</v>
      </c>
      <c r="Y191" t="s">
        <v>4085</v>
      </c>
      <c r="Z191" t="s">
        <v>4086</v>
      </c>
      <c r="AA191" t="s">
        <v>4087</v>
      </c>
      <c r="AB191" t="s">
        <v>4088</v>
      </c>
      <c r="AC191" t="s">
        <v>4089</v>
      </c>
      <c r="AD191" t="s">
        <v>4090</v>
      </c>
      <c r="AE191" t="s">
        <v>4091</v>
      </c>
      <c r="AF191" t="s">
        <v>74</v>
      </c>
      <c r="AG191">
        <v>59</v>
      </c>
      <c r="AH191">
        <v>76</v>
      </c>
      <c r="AI191">
        <v>82</v>
      </c>
      <c r="AJ191">
        <v>2</v>
      </c>
      <c r="AK191">
        <v>75</v>
      </c>
      <c r="AL191" t="s">
        <v>585</v>
      </c>
      <c r="AM191" t="s">
        <v>306</v>
      </c>
      <c r="AN191" t="s">
        <v>586</v>
      </c>
      <c r="AO191" t="s">
        <v>4092</v>
      </c>
      <c r="AP191" t="s">
        <v>74</v>
      </c>
      <c r="AQ191" t="s">
        <v>74</v>
      </c>
      <c r="AR191" t="s">
        <v>4093</v>
      </c>
      <c r="AS191" t="s">
        <v>4094</v>
      </c>
      <c r="AT191" t="s">
        <v>74</v>
      </c>
      <c r="AU191">
        <v>2014</v>
      </c>
      <c r="AV191">
        <v>66</v>
      </c>
      <c r="AW191" t="s">
        <v>74</v>
      </c>
      <c r="AX191" t="s">
        <v>74</v>
      </c>
      <c r="AY191" t="s">
        <v>74</v>
      </c>
      <c r="AZ191" t="s">
        <v>74</v>
      </c>
      <c r="BA191" t="s">
        <v>74</v>
      </c>
      <c r="BB191" t="s">
        <v>74</v>
      </c>
      <c r="BC191" t="s">
        <v>74</v>
      </c>
      <c r="BD191">
        <v>23188</v>
      </c>
      <c r="BE191" t="s">
        <v>4095</v>
      </c>
      <c r="BF191" t="str">
        <f>HYPERLINK("http://dx.doi.org/10.3402/tellusb.v66.23188","http://dx.doi.org/10.3402/tellusb.v66.23188")</f>
        <v>http://dx.doi.org/10.3402/tellusb.v66.23188</v>
      </c>
      <c r="BG191" t="s">
        <v>74</v>
      </c>
      <c r="BH191" t="s">
        <v>74</v>
      </c>
      <c r="BI191">
        <v>15</v>
      </c>
      <c r="BJ191" t="s">
        <v>4096</v>
      </c>
      <c r="BK191" t="s">
        <v>102</v>
      </c>
      <c r="BL191" t="s">
        <v>4096</v>
      </c>
      <c r="BM191" t="s">
        <v>4097</v>
      </c>
      <c r="BN191" t="s">
        <v>74</v>
      </c>
      <c r="BO191" t="s">
        <v>161</v>
      </c>
      <c r="BP191" t="s">
        <v>74</v>
      </c>
      <c r="BQ191" t="s">
        <v>74</v>
      </c>
      <c r="BR191" t="s">
        <v>106</v>
      </c>
      <c r="BS191" t="s">
        <v>4098</v>
      </c>
      <c r="BT191" t="str">
        <f>HYPERLINK("https%3A%2F%2Fwww.webofscience.com%2Fwos%2Fwoscc%2Ffull-record%2FWOS:000338432900001","View Full Record in Web of Science")</f>
        <v>View Full Record in Web of Science</v>
      </c>
    </row>
    <row r="192" spans="1:72" x14ac:dyDescent="0.2">
      <c r="A192" t="s">
        <v>72</v>
      </c>
      <c r="B192" t="s">
        <v>4099</v>
      </c>
      <c r="C192" t="s">
        <v>74</v>
      </c>
      <c r="D192" t="s">
        <v>74</v>
      </c>
      <c r="E192" t="s">
        <v>74</v>
      </c>
      <c r="F192" t="s">
        <v>4100</v>
      </c>
      <c r="G192" t="s">
        <v>74</v>
      </c>
      <c r="H192" t="s">
        <v>74</v>
      </c>
      <c r="I192" t="s">
        <v>4101</v>
      </c>
      <c r="J192" t="s">
        <v>995</v>
      </c>
      <c r="K192" t="s">
        <v>74</v>
      </c>
      <c r="L192" t="s">
        <v>74</v>
      </c>
      <c r="M192" t="s">
        <v>78</v>
      </c>
      <c r="N192" t="s">
        <v>79</v>
      </c>
      <c r="O192" t="s">
        <v>74</v>
      </c>
      <c r="P192" t="s">
        <v>74</v>
      </c>
      <c r="Q192" t="s">
        <v>74</v>
      </c>
      <c r="R192" t="s">
        <v>74</v>
      </c>
      <c r="S192" t="s">
        <v>74</v>
      </c>
      <c r="T192" t="s">
        <v>4102</v>
      </c>
      <c r="U192" t="s">
        <v>4103</v>
      </c>
      <c r="V192" t="s">
        <v>4104</v>
      </c>
      <c r="W192" t="s">
        <v>4105</v>
      </c>
      <c r="X192" t="s">
        <v>4106</v>
      </c>
      <c r="Y192" t="s">
        <v>4107</v>
      </c>
      <c r="Z192" t="s">
        <v>4108</v>
      </c>
      <c r="AA192" t="s">
        <v>4109</v>
      </c>
      <c r="AB192" t="s">
        <v>4110</v>
      </c>
      <c r="AC192" t="s">
        <v>4111</v>
      </c>
      <c r="AD192" t="s">
        <v>4112</v>
      </c>
      <c r="AE192" t="s">
        <v>4113</v>
      </c>
      <c r="AF192" t="s">
        <v>74</v>
      </c>
      <c r="AG192">
        <v>54</v>
      </c>
      <c r="AH192">
        <v>17</v>
      </c>
      <c r="AI192">
        <v>18</v>
      </c>
      <c r="AJ192">
        <v>21</v>
      </c>
      <c r="AK192">
        <v>104</v>
      </c>
      <c r="AL192" t="s">
        <v>123</v>
      </c>
      <c r="AM192" t="s">
        <v>124</v>
      </c>
      <c r="AN192" t="s">
        <v>125</v>
      </c>
      <c r="AO192" t="s">
        <v>1008</v>
      </c>
      <c r="AP192" t="s">
        <v>1009</v>
      </c>
      <c r="AQ192" t="s">
        <v>74</v>
      </c>
      <c r="AR192" t="s">
        <v>1010</v>
      </c>
      <c r="AS192" t="s">
        <v>1011</v>
      </c>
      <c r="AT192" t="s">
        <v>4114</v>
      </c>
      <c r="AU192">
        <v>2024</v>
      </c>
      <c r="AV192">
        <v>926</v>
      </c>
      <c r="AW192" t="s">
        <v>74</v>
      </c>
      <c r="AX192" t="s">
        <v>74</v>
      </c>
      <c r="AY192" t="s">
        <v>74</v>
      </c>
      <c r="AZ192" t="s">
        <v>74</v>
      </c>
      <c r="BA192" t="s">
        <v>74</v>
      </c>
      <c r="BB192" t="s">
        <v>74</v>
      </c>
      <c r="BC192" t="s">
        <v>74</v>
      </c>
      <c r="BD192">
        <v>172082</v>
      </c>
      <c r="BE192" t="s">
        <v>4115</v>
      </c>
      <c r="BF192" t="str">
        <f>HYPERLINK("http://dx.doi.org/10.1016/j.scitotenv.2024.172082","http://dx.doi.org/10.1016/j.scitotenv.2024.172082")</f>
        <v>http://dx.doi.org/10.1016/j.scitotenv.2024.172082</v>
      </c>
      <c r="BG192" t="s">
        <v>74</v>
      </c>
      <c r="BH192" t="s">
        <v>2038</v>
      </c>
      <c r="BI192">
        <v>8</v>
      </c>
      <c r="BJ192" t="s">
        <v>567</v>
      </c>
      <c r="BK192" t="s">
        <v>102</v>
      </c>
      <c r="BL192" t="s">
        <v>568</v>
      </c>
      <c r="BM192" t="s">
        <v>4116</v>
      </c>
      <c r="BN192">
        <v>38554958</v>
      </c>
      <c r="BO192" t="s">
        <v>231</v>
      </c>
      <c r="BP192" t="s">
        <v>74</v>
      </c>
      <c r="BQ192" t="s">
        <v>74</v>
      </c>
      <c r="BR192" t="s">
        <v>106</v>
      </c>
      <c r="BS192" t="s">
        <v>4117</v>
      </c>
      <c r="BT192" t="str">
        <f>HYPERLINK("https%3A%2F%2Fwww.webofscience.com%2Fwos%2Fwoscc%2Ffull-record%2FWOS:001224245600001","View Full Record in Web of Science")</f>
        <v>View Full Record in Web of Science</v>
      </c>
    </row>
    <row r="193" spans="1:72" x14ac:dyDescent="0.2">
      <c r="A193" t="s">
        <v>72</v>
      </c>
      <c r="B193" t="s">
        <v>4118</v>
      </c>
      <c r="C193" t="s">
        <v>74</v>
      </c>
      <c r="D193" t="s">
        <v>74</v>
      </c>
      <c r="E193" t="s">
        <v>74</v>
      </c>
      <c r="F193" t="s">
        <v>4119</v>
      </c>
      <c r="G193" t="s">
        <v>74</v>
      </c>
      <c r="H193" t="s">
        <v>74</v>
      </c>
      <c r="I193" t="s">
        <v>4120</v>
      </c>
      <c r="J193" t="s">
        <v>1231</v>
      </c>
      <c r="K193" t="s">
        <v>74</v>
      </c>
      <c r="L193" t="s">
        <v>74</v>
      </c>
      <c r="M193" t="s">
        <v>78</v>
      </c>
      <c r="N193" t="s">
        <v>79</v>
      </c>
      <c r="O193" t="s">
        <v>74</v>
      </c>
      <c r="P193" t="s">
        <v>74</v>
      </c>
      <c r="Q193" t="s">
        <v>74</v>
      </c>
      <c r="R193" t="s">
        <v>74</v>
      </c>
      <c r="S193" t="s">
        <v>74</v>
      </c>
      <c r="T193" t="s">
        <v>4121</v>
      </c>
      <c r="U193" t="s">
        <v>4122</v>
      </c>
      <c r="V193" t="s">
        <v>4123</v>
      </c>
      <c r="W193" t="s">
        <v>4124</v>
      </c>
      <c r="X193" t="s">
        <v>4125</v>
      </c>
      <c r="Y193" t="s">
        <v>4126</v>
      </c>
      <c r="Z193" t="s">
        <v>4127</v>
      </c>
      <c r="AA193" t="s">
        <v>4128</v>
      </c>
      <c r="AB193" t="s">
        <v>4129</v>
      </c>
      <c r="AC193" t="s">
        <v>74</v>
      </c>
      <c r="AD193" t="s">
        <v>74</v>
      </c>
      <c r="AE193" t="s">
        <v>74</v>
      </c>
      <c r="AF193" t="s">
        <v>74</v>
      </c>
      <c r="AG193">
        <v>68</v>
      </c>
      <c r="AH193">
        <v>52</v>
      </c>
      <c r="AI193">
        <v>60</v>
      </c>
      <c r="AJ193">
        <v>4</v>
      </c>
      <c r="AK193">
        <v>42</v>
      </c>
      <c r="AL193" t="s">
        <v>1242</v>
      </c>
      <c r="AM193" t="s">
        <v>1243</v>
      </c>
      <c r="AN193" t="s">
        <v>1244</v>
      </c>
      <c r="AO193" t="s">
        <v>1245</v>
      </c>
      <c r="AP193" t="s">
        <v>1246</v>
      </c>
      <c r="AQ193" t="s">
        <v>74</v>
      </c>
      <c r="AR193" t="s">
        <v>1247</v>
      </c>
      <c r="AS193" t="s">
        <v>1248</v>
      </c>
      <c r="AT193" t="s">
        <v>281</v>
      </c>
      <c r="AU193">
        <v>2021</v>
      </c>
      <c r="AV193">
        <v>28</v>
      </c>
      <c r="AW193">
        <v>24</v>
      </c>
      <c r="AX193" t="s">
        <v>74</v>
      </c>
      <c r="AY193" t="s">
        <v>74</v>
      </c>
      <c r="AZ193" t="s">
        <v>74</v>
      </c>
      <c r="BA193" t="s">
        <v>74</v>
      </c>
      <c r="BB193">
        <v>30702</v>
      </c>
      <c r="BC193">
        <v>30713</v>
      </c>
      <c r="BD193" t="s">
        <v>74</v>
      </c>
      <c r="BE193" t="s">
        <v>4130</v>
      </c>
      <c r="BF193" t="str">
        <f>HYPERLINK("http://dx.doi.org/10.1007/s11356-021-12948-0","http://dx.doi.org/10.1007/s11356-021-12948-0")</f>
        <v>http://dx.doi.org/10.1007/s11356-021-12948-0</v>
      </c>
      <c r="BG193" t="s">
        <v>74</v>
      </c>
      <c r="BH193" t="s">
        <v>4131</v>
      </c>
      <c r="BI193">
        <v>12</v>
      </c>
      <c r="BJ193" t="s">
        <v>567</v>
      </c>
      <c r="BK193" t="s">
        <v>186</v>
      </c>
      <c r="BL193" t="s">
        <v>568</v>
      </c>
      <c r="BM193" t="s">
        <v>4132</v>
      </c>
      <c r="BN193">
        <v>33594567</v>
      </c>
      <c r="BO193" t="s">
        <v>74</v>
      </c>
      <c r="BP193" t="s">
        <v>74</v>
      </c>
      <c r="BQ193" t="s">
        <v>74</v>
      </c>
      <c r="BR193" t="s">
        <v>106</v>
      </c>
      <c r="BS193" t="s">
        <v>4133</v>
      </c>
      <c r="BT193" t="str">
        <f>HYPERLINK("https%3A%2F%2Fwww.webofscience.com%2Fwos%2Fwoscc%2Ffull-record%2FWOS:000618606600009","View Full Record in Web of Science")</f>
        <v>View Full Record in Web of Science</v>
      </c>
    </row>
    <row r="194" spans="1:72" x14ac:dyDescent="0.2">
      <c r="A194" t="s">
        <v>72</v>
      </c>
      <c r="B194" t="s">
        <v>4134</v>
      </c>
      <c r="C194" t="s">
        <v>74</v>
      </c>
      <c r="D194" t="s">
        <v>74</v>
      </c>
      <c r="E194" t="s">
        <v>74</v>
      </c>
      <c r="F194" t="s">
        <v>4135</v>
      </c>
      <c r="G194" t="s">
        <v>74</v>
      </c>
      <c r="H194" t="s">
        <v>74</v>
      </c>
      <c r="I194" t="s">
        <v>4136</v>
      </c>
      <c r="J194" t="s">
        <v>3929</v>
      </c>
      <c r="K194" t="s">
        <v>74</v>
      </c>
      <c r="L194" t="s">
        <v>74</v>
      </c>
      <c r="M194" t="s">
        <v>78</v>
      </c>
      <c r="N194" t="s">
        <v>79</v>
      </c>
      <c r="O194" t="s">
        <v>74</v>
      </c>
      <c r="P194" t="s">
        <v>74</v>
      </c>
      <c r="Q194" t="s">
        <v>74</v>
      </c>
      <c r="R194" t="s">
        <v>74</v>
      </c>
      <c r="S194" t="s">
        <v>74</v>
      </c>
      <c r="T194" t="s">
        <v>4137</v>
      </c>
      <c r="U194" t="s">
        <v>522</v>
      </c>
      <c r="V194" t="s">
        <v>4138</v>
      </c>
      <c r="W194" t="s">
        <v>4139</v>
      </c>
      <c r="X194" t="s">
        <v>4140</v>
      </c>
      <c r="Y194" t="s">
        <v>4141</v>
      </c>
      <c r="Z194" t="s">
        <v>4142</v>
      </c>
      <c r="AA194" t="s">
        <v>4143</v>
      </c>
      <c r="AB194" t="s">
        <v>4144</v>
      </c>
      <c r="AC194" t="s">
        <v>4145</v>
      </c>
      <c r="AD194" t="s">
        <v>4146</v>
      </c>
      <c r="AE194" t="s">
        <v>4147</v>
      </c>
      <c r="AF194" t="s">
        <v>74</v>
      </c>
      <c r="AG194">
        <v>33</v>
      </c>
      <c r="AH194">
        <v>0</v>
      </c>
      <c r="AI194">
        <v>0</v>
      </c>
      <c r="AJ194">
        <v>12</v>
      </c>
      <c r="AK194">
        <v>12</v>
      </c>
      <c r="AL194" t="s">
        <v>3942</v>
      </c>
      <c r="AM194" t="s">
        <v>3943</v>
      </c>
      <c r="AN194" t="s">
        <v>3944</v>
      </c>
      <c r="AO194" t="s">
        <v>3945</v>
      </c>
      <c r="AP194" t="s">
        <v>3946</v>
      </c>
      <c r="AQ194" t="s">
        <v>74</v>
      </c>
      <c r="AR194" t="s">
        <v>3947</v>
      </c>
      <c r="AS194" t="s">
        <v>3948</v>
      </c>
      <c r="AT194" t="s">
        <v>912</v>
      </c>
      <c r="AU194">
        <v>2025</v>
      </c>
      <c r="AV194">
        <v>71</v>
      </c>
      <c r="AW194">
        <v>2</v>
      </c>
      <c r="AX194" t="s">
        <v>74</v>
      </c>
      <c r="AY194" t="s">
        <v>74</v>
      </c>
      <c r="AZ194" t="s">
        <v>74</v>
      </c>
      <c r="BA194" t="s">
        <v>74</v>
      </c>
      <c r="BB194">
        <v>6933</v>
      </c>
      <c r="BC194">
        <v>6941</v>
      </c>
      <c r="BD194" t="s">
        <v>74</v>
      </c>
      <c r="BE194" t="s">
        <v>4148</v>
      </c>
      <c r="BF194" t="str">
        <f>HYPERLINK("http://dx.doi.org/10.1109/TCE.2025.3572552","http://dx.doi.org/10.1109/TCE.2025.3572552")</f>
        <v>http://dx.doi.org/10.1109/TCE.2025.3572552</v>
      </c>
      <c r="BG194" t="s">
        <v>74</v>
      </c>
      <c r="BH194" t="s">
        <v>74</v>
      </c>
      <c r="BI194">
        <v>9</v>
      </c>
      <c r="BJ194" t="s">
        <v>3950</v>
      </c>
      <c r="BK194" t="s">
        <v>102</v>
      </c>
      <c r="BL194" t="s">
        <v>3951</v>
      </c>
      <c r="BM194" t="s">
        <v>4149</v>
      </c>
      <c r="BN194" t="s">
        <v>74</v>
      </c>
      <c r="BO194" t="s">
        <v>74</v>
      </c>
      <c r="BP194" t="s">
        <v>74</v>
      </c>
      <c r="BQ194" t="s">
        <v>74</v>
      </c>
      <c r="BR194" t="s">
        <v>106</v>
      </c>
      <c r="BS194" t="s">
        <v>4150</v>
      </c>
      <c r="BT194" t="str">
        <f>HYPERLINK("https%3A%2F%2Fwww.webofscience.com%2Fwos%2Fwoscc%2Ffull-record%2FWOS:001554485100004","View Full Record in Web of Science")</f>
        <v>View Full Record in Web of Science</v>
      </c>
    </row>
    <row r="195" spans="1:72" x14ac:dyDescent="0.2">
      <c r="A195" t="s">
        <v>72</v>
      </c>
      <c r="B195" t="s">
        <v>4151</v>
      </c>
      <c r="C195" t="s">
        <v>74</v>
      </c>
      <c r="D195" t="s">
        <v>74</v>
      </c>
      <c r="E195" t="s">
        <v>74</v>
      </c>
      <c r="F195" t="s">
        <v>4152</v>
      </c>
      <c r="G195" t="s">
        <v>74</v>
      </c>
      <c r="H195" t="s">
        <v>74</v>
      </c>
      <c r="I195" t="s">
        <v>4153</v>
      </c>
      <c r="J195" t="s">
        <v>4154</v>
      </c>
      <c r="K195" t="s">
        <v>74</v>
      </c>
      <c r="L195" t="s">
        <v>74</v>
      </c>
      <c r="M195" t="s">
        <v>78</v>
      </c>
      <c r="N195" t="s">
        <v>79</v>
      </c>
      <c r="O195" t="s">
        <v>74</v>
      </c>
      <c r="P195" t="s">
        <v>74</v>
      </c>
      <c r="Q195" t="s">
        <v>74</v>
      </c>
      <c r="R195" t="s">
        <v>74</v>
      </c>
      <c r="S195" t="s">
        <v>74</v>
      </c>
      <c r="T195" t="s">
        <v>4155</v>
      </c>
      <c r="U195" t="s">
        <v>4156</v>
      </c>
      <c r="V195" t="s">
        <v>4157</v>
      </c>
      <c r="W195" t="s">
        <v>4158</v>
      </c>
      <c r="X195" t="s">
        <v>4159</v>
      </c>
      <c r="Y195" t="s">
        <v>4160</v>
      </c>
      <c r="Z195" t="s">
        <v>4161</v>
      </c>
      <c r="AA195" t="s">
        <v>4162</v>
      </c>
      <c r="AB195" t="s">
        <v>4163</v>
      </c>
      <c r="AC195" t="s">
        <v>4164</v>
      </c>
      <c r="AD195" t="s">
        <v>1591</v>
      </c>
      <c r="AE195" t="s">
        <v>4165</v>
      </c>
      <c r="AF195" t="s">
        <v>74</v>
      </c>
      <c r="AG195">
        <v>94</v>
      </c>
      <c r="AH195">
        <v>29</v>
      </c>
      <c r="AI195">
        <v>31</v>
      </c>
      <c r="AJ195">
        <v>137</v>
      </c>
      <c r="AK195">
        <v>513</v>
      </c>
      <c r="AL195" t="s">
        <v>4166</v>
      </c>
      <c r="AM195" t="s">
        <v>531</v>
      </c>
      <c r="AN195" t="s">
        <v>4167</v>
      </c>
      <c r="AO195" t="s">
        <v>4168</v>
      </c>
      <c r="AP195" t="s">
        <v>4169</v>
      </c>
      <c r="AQ195" t="s">
        <v>74</v>
      </c>
      <c r="AR195" t="s">
        <v>4170</v>
      </c>
      <c r="AS195" t="s">
        <v>4171</v>
      </c>
      <c r="AT195" t="s">
        <v>4172</v>
      </c>
      <c r="AU195">
        <v>2024</v>
      </c>
      <c r="AV195">
        <v>58</v>
      </c>
      <c r="AW195">
        <v>28</v>
      </c>
      <c r="AX195" t="s">
        <v>74</v>
      </c>
      <c r="AY195" t="s">
        <v>74</v>
      </c>
      <c r="AZ195" t="s">
        <v>74</v>
      </c>
      <c r="BA195" t="s">
        <v>74</v>
      </c>
      <c r="BB195">
        <v>12430</v>
      </c>
      <c r="BC195">
        <v>12440</v>
      </c>
      <c r="BD195" t="s">
        <v>74</v>
      </c>
      <c r="BE195" t="s">
        <v>4173</v>
      </c>
      <c r="BF195" t="str">
        <f>HYPERLINK("http://dx.doi.org/10.1021/acs.est.3c09003","http://dx.doi.org/10.1021/acs.est.3c09003")</f>
        <v>http://dx.doi.org/10.1021/acs.est.3c09003</v>
      </c>
      <c r="BG195" t="s">
        <v>74</v>
      </c>
      <c r="BH195" t="s">
        <v>4174</v>
      </c>
      <c r="BI195">
        <v>11</v>
      </c>
      <c r="BJ195" t="s">
        <v>340</v>
      </c>
      <c r="BK195" t="s">
        <v>102</v>
      </c>
      <c r="BL195" t="s">
        <v>341</v>
      </c>
      <c r="BM195" t="s">
        <v>4175</v>
      </c>
      <c r="BN195">
        <v>38968084</v>
      </c>
      <c r="BO195" t="s">
        <v>541</v>
      </c>
      <c r="BP195" t="s">
        <v>74</v>
      </c>
      <c r="BQ195" t="s">
        <v>74</v>
      </c>
      <c r="BR195" t="s">
        <v>106</v>
      </c>
      <c r="BS195" t="s">
        <v>4176</v>
      </c>
      <c r="BT195" t="str">
        <f>HYPERLINK("https%3A%2F%2Fwww.webofscience.com%2Fwos%2Fwoscc%2Ffull-record%2FWOS:001265056900001","View Full Record in Web of Science")</f>
        <v>View Full Record in Web of Science</v>
      </c>
    </row>
    <row r="196" spans="1:72" x14ac:dyDescent="0.2">
      <c r="A196" t="s">
        <v>72</v>
      </c>
      <c r="B196" t="s">
        <v>4177</v>
      </c>
      <c r="C196" t="s">
        <v>74</v>
      </c>
      <c r="D196" t="s">
        <v>74</v>
      </c>
      <c r="E196" t="s">
        <v>74</v>
      </c>
      <c r="F196" t="s">
        <v>4178</v>
      </c>
      <c r="G196" t="s">
        <v>74</v>
      </c>
      <c r="H196" t="s">
        <v>74</v>
      </c>
      <c r="I196" t="s">
        <v>4179</v>
      </c>
      <c r="J196" t="s">
        <v>347</v>
      </c>
      <c r="K196" t="s">
        <v>74</v>
      </c>
      <c r="L196" t="s">
        <v>74</v>
      </c>
      <c r="M196" t="s">
        <v>78</v>
      </c>
      <c r="N196" t="s">
        <v>79</v>
      </c>
      <c r="O196" t="s">
        <v>74</v>
      </c>
      <c r="P196" t="s">
        <v>74</v>
      </c>
      <c r="Q196" t="s">
        <v>74</v>
      </c>
      <c r="R196" t="s">
        <v>74</v>
      </c>
      <c r="S196" t="s">
        <v>74</v>
      </c>
      <c r="T196" t="s">
        <v>74</v>
      </c>
      <c r="U196" t="s">
        <v>4180</v>
      </c>
      <c r="V196" t="s">
        <v>4181</v>
      </c>
      <c r="W196" t="s">
        <v>4182</v>
      </c>
      <c r="X196" t="s">
        <v>4183</v>
      </c>
      <c r="Y196" t="s">
        <v>4184</v>
      </c>
      <c r="Z196" t="s">
        <v>4185</v>
      </c>
      <c r="AA196" t="s">
        <v>4186</v>
      </c>
      <c r="AB196" t="s">
        <v>4187</v>
      </c>
      <c r="AC196" t="s">
        <v>4188</v>
      </c>
      <c r="AD196" t="s">
        <v>4189</v>
      </c>
      <c r="AE196" t="s">
        <v>4190</v>
      </c>
      <c r="AF196" t="s">
        <v>74</v>
      </c>
      <c r="AG196">
        <v>64</v>
      </c>
      <c r="AH196">
        <v>6</v>
      </c>
      <c r="AI196">
        <v>7</v>
      </c>
      <c r="AJ196">
        <v>1</v>
      </c>
      <c r="AK196">
        <v>19</v>
      </c>
      <c r="AL196" t="s">
        <v>274</v>
      </c>
      <c r="AM196" t="s">
        <v>275</v>
      </c>
      <c r="AN196" t="s">
        <v>276</v>
      </c>
      <c r="AO196" t="s">
        <v>357</v>
      </c>
      <c r="AP196" t="s">
        <v>74</v>
      </c>
      <c r="AQ196" t="s">
        <v>74</v>
      </c>
      <c r="AR196" t="s">
        <v>358</v>
      </c>
      <c r="AS196" t="s">
        <v>359</v>
      </c>
      <c r="AT196" t="s">
        <v>4191</v>
      </c>
      <c r="AU196">
        <v>2023</v>
      </c>
      <c r="AV196">
        <v>13</v>
      </c>
      <c r="AW196">
        <v>1</v>
      </c>
      <c r="AX196" t="s">
        <v>74</v>
      </c>
      <c r="AY196" t="s">
        <v>74</v>
      </c>
      <c r="AZ196" t="s">
        <v>74</v>
      </c>
      <c r="BA196" t="s">
        <v>74</v>
      </c>
      <c r="BB196" t="s">
        <v>74</v>
      </c>
      <c r="BC196" t="s">
        <v>74</v>
      </c>
      <c r="BD196">
        <v>13067</v>
      </c>
      <c r="BE196" t="s">
        <v>4192</v>
      </c>
      <c r="BF196" t="str">
        <f>HYPERLINK("http://dx.doi.org/10.1038/s41598-023-40333-z","http://dx.doi.org/10.1038/s41598-023-40333-z")</f>
        <v>http://dx.doi.org/10.1038/s41598-023-40333-z</v>
      </c>
      <c r="BG196" t="s">
        <v>74</v>
      </c>
      <c r="BH196" t="s">
        <v>74</v>
      </c>
      <c r="BI196">
        <v>12</v>
      </c>
      <c r="BJ196" t="s">
        <v>158</v>
      </c>
      <c r="BK196" t="s">
        <v>102</v>
      </c>
      <c r="BL196" t="s">
        <v>159</v>
      </c>
      <c r="BM196" t="s">
        <v>4193</v>
      </c>
      <c r="BN196">
        <v>37567930</v>
      </c>
      <c r="BO196" t="s">
        <v>161</v>
      </c>
      <c r="BP196" t="s">
        <v>74</v>
      </c>
      <c r="BQ196" t="s">
        <v>74</v>
      </c>
      <c r="BR196" t="s">
        <v>106</v>
      </c>
      <c r="BS196" t="s">
        <v>4194</v>
      </c>
      <c r="BT196" t="str">
        <f>HYPERLINK("https%3A%2F%2Fwww.webofscience.com%2Fwos%2Fwoscc%2Ffull-record%2FWOS:001068298400047","View Full Record in Web of Science")</f>
        <v>View Full Record in Web of Science</v>
      </c>
    </row>
    <row r="197" spans="1:72" x14ac:dyDescent="0.2">
      <c r="A197" t="s">
        <v>72</v>
      </c>
      <c r="B197" t="s">
        <v>4195</v>
      </c>
      <c r="C197" t="s">
        <v>74</v>
      </c>
      <c r="D197" t="s">
        <v>74</v>
      </c>
      <c r="E197" t="s">
        <v>74</v>
      </c>
      <c r="F197" t="s">
        <v>4196</v>
      </c>
      <c r="G197" t="s">
        <v>74</v>
      </c>
      <c r="H197" t="s">
        <v>74</v>
      </c>
      <c r="I197" t="s">
        <v>4197</v>
      </c>
      <c r="J197" t="s">
        <v>4198</v>
      </c>
      <c r="K197" t="s">
        <v>74</v>
      </c>
      <c r="L197" t="s">
        <v>74</v>
      </c>
      <c r="M197" t="s">
        <v>78</v>
      </c>
      <c r="N197" t="s">
        <v>79</v>
      </c>
      <c r="O197" t="s">
        <v>74</v>
      </c>
      <c r="P197" t="s">
        <v>74</v>
      </c>
      <c r="Q197" t="s">
        <v>74</v>
      </c>
      <c r="R197" t="s">
        <v>74</v>
      </c>
      <c r="S197" t="s">
        <v>74</v>
      </c>
      <c r="T197" t="s">
        <v>4199</v>
      </c>
      <c r="U197" t="s">
        <v>4200</v>
      </c>
      <c r="V197" t="s">
        <v>4201</v>
      </c>
      <c r="W197" t="s">
        <v>4202</v>
      </c>
      <c r="X197" t="s">
        <v>4203</v>
      </c>
      <c r="Y197" t="s">
        <v>4204</v>
      </c>
      <c r="Z197" t="s">
        <v>4205</v>
      </c>
      <c r="AA197" t="s">
        <v>74</v>
      </c>
      <c r="AB197" t="s">
        <v>74</v>
      </c>
      <c r="AC197" t="s">
        <v>4206</v>
      </c>
      <c r="AD197" t="s">
        <v>4207</v>
      </c>
      <c r="AE197" t="s">
        <v>4208</v>
      </c>
      <c r="AF197" t="s">
        <v>74</v>
      </c>
      <c r="AG197">
        <v>53</v>
      </c>
      <c r="AH197">
        <v>35</v>
      </c>
      <c r="AI197">
        <v>39</v>
      </c>
      <c r="AJ197">
        <v>3</v>
      </c>
      <c r="AK197">
        <v>166</v>
      </c>
      <c r="AL197" t="s">
        <v>1242</v>
      </c>
      <c r="AM197" t="s">
        <v>1243</v>
      </c>
      <c r="AN197" t="s">
        <v>1244</v>
      </c>
      <c r="AO197" t="s">
        <v>4209</v>
      </c>
      <c r="AP197" t="s">
        <v>4210</v>
      </c>
      <c r="AQ197" t="s">
        <v>74</v>
      </c>
      <c r="AR197" t="s">
        <v>4211</v>
      </c>
      <c r="AS197" t="s">
        <v>4212</v>
      </c>
      <c r="AT197" t="s">
        <v>636</v>
      </c>
      <c r="AU197">
        <v>2017</v>
      </c>
      <c r="AV197">
        <v>9</v>
      </c>
      <c r="AW197">
        <v>2</v>
      </c>
      <c r="AX197" t="s">
        <v>74</v>
      </c>
      <c r="AY197" t="s">
        <v>74</v>
      </c>
      <c r="AZ197" t="s">
        <v>74</v>
      </c>
      <c r="BA197" t="s">
        <v>74</v>
      </c>
      <c r="BB197">
        <v>222</v>
      </c>
      <c r="BC197">
        <v>233</v>
      </c>
      <c r="BD197" t="s">
        <v>74</v>
      </c>
      <c r="BE197" t="s">
        <v>4213</v>
      </c>
      <c r="BF197" t="str">
        <f>HYPERLINK("http://dx.doi.org/10.1007/s40333-017-0011-9","http://dx.doi.org/10.1007/s40333-017-0011-9")</f>
        <v>http://dx.doi.org/10.1007/s40333-017-0011-9</v>
      </c>
      <c r="BG197" t="s">
        <v>74</v>
      </c>
      <c r="BH197" t="s">
        <v>74</v>
      </c>
      <c r="BI197">
        <v>12</v>
      </c>
      <c r="BJ197" t="s">
        <v>567</v>
      </c>
      <c r="BK197" t="s">
        <v>102</v>
      </c>
      <c r="BL197" t="s">
        <v>568</v>
      </c>
      <c r="BM197" t="s">
        <v>4214</v>
      </c>
      <c r="BN197" t="s">
        <v>74</v>
      </c>
      <c r="BO197" t="s">
        <v>74</v>
      </c>
      <c r="BP197" t="s">
        <v>74</v>
      </c>
      <c r="BQ197" t="s">
        <v>74</v>
      </c>
      <c r="BR197" t="s">
        <v>106</v>
      </c>
      <c r="BS197" t="s">
        <v>4215</v>
      </c>
      <c r="BT197" t="str">
        <f>HYPERLINK("https%3A%2F%2Fwww.webofscience.com%2Fwos%2Fwoscc%2Ffull-record%2FWOS:000396210500006","View Full Record in Web of Science")</f>
        <v>View Full Record in Web of Science</v>
      </c>
    </row>
    <row r="198" spans="1:72" x14ac:dyDescent="0.2">
      <c r="A198" t="s">
        <v>72</v>
      </c>
      <c r="B198" t="s">
        <v>4216</v>
      </c>
      <c r="C198" t="s">
        <v>74</v>
      </c>
      <c r="D198" t="s">
        <v>74</v>
      </c>
      <c r="E198" t="s">
        <v>74</v>
      </c>
      <c r="F198" t="s">
        <v>4217</v>
      </c>
      <c r="G198" t="s">
        <v>74</v>
      </c>
      <c r="H198" t="s">
        <v>74</v>
      </c>
      <c r="I198" t="s">
        <v>4218</v>
      </c>
      <c r="J198" t="s">
        <v>4219</v>
      </c>
      <c r="K198" t="s">
        <v>74</v>
      </c>
      <c r="L198" t="s">
        <v>74</v>
      </c>
      <c r="M198" t="s">
        <v>78</v>
      </c>
      <c r="N198" t="s">
        <v>79</v>
      </c>
      <c r="O198" t="s">
        <v>74</v>
      </c>
      <c r="P198" t="s">
        <v>74</v>
      </c>
      <c r="Q198" t="s">
        <v>74</v>
      </c>
      <c r="R198" t="s">
        <v>74</v>
      </c>
      <c r="S198" t="s">
        <v>74</v>
      </c>
      <c r="T198" t="s">
        <v>74</v>
      </c>
      <c r="U198" t="s">
        <v>4220</v>
      </c>
      <c r="V198" t="s">
        <v>4221</v>
      </c>
      <c r="W198" t="s">
        <v>4222</v>
      </c>
      <c r="X198" t="s">
        <v>4223</v>
      </c>
      <c r="Y198" t="s">
        <v>4224</v>
      </c>
      <c r="Z198" t="s">
        <v>4225</v>
      </c>
      <c r="AA198" t="s">
        <v>4226</v>
      </c>
      <c r="AB198" t="s">
        <v>4227</v>
      </c>
      <c r="AC198" t="s">
        <v>4228</v>
      </c>
      <c r="AD198" t="s">
        <v>4229</v>
      </c>
      <c r="AE198" t="s">
        <v>4230</v>
      </c>
      <c r="AF198" t="s">
        <v>74</v>
      </c>
      <c r="AG198">
        <v>58</v>
      </c>
      <c r="AH198">
        <v>35</v>
      </c>
      <c r="AI198">
        <v>38</v>
      </c>
      <c r="AJ198">
        <v>18</v>
      </c>
      <c r="AK198">
        <v>67</v>
      </c>
      <c r="AL198" t="s">
        <v>274</v>
      </c>
      <c r="AM198" t="s">
        <v>275</v>
      </c>
      <c r="AN198" t="s">
        <v>276</v>
      </c>
      <c r="AO198" t="s">
        <v>4231</v>
      </c>
      <c r="AP198" t="s">
        <v>4232</v>
      </c>
      <c r="AQ198" t="s">
        <v>74</v>
      </c>
      <c r="AR198" t="s">
        <v>4233</v>
      </c>
      <c r="AS198" t="s">
        <v>4234</v>
      </c>
      <c r="AT198" t="s">
        <v>183</v>
      </c>
      <c r="AU198">
        <v>2024</v>
      </c>
      <c r="AV198">
        <v>14</v>
      </c>
      <c r="AW198">
        <v>7</v>
      </c>
      <c r="AX198" t="s">
        <v>74</v>
      </c>
      <c r="AY198" t="s">
        <v>74</v>
      </c>
      <c r="AZ198" t="s">
        <v>74</v>
      </c>
      <c r="BA198" t="s">
        <v>74</v>
      </c>
      <c r="BB198" t="s">
        <v>74</v>
      </c>
      <c r="BC198" t="s">
        <v>74</v>
      </c>
      <c r="BD198" t="s">
        <v>74</v>
      </c>
      <c r="BE198" t="s">
        <v>4235</v>
      </c>
      <c r="BF198" t="str">
        <f>HYPERLINK("http://dx.doi.org/10.1038/s41558-024-02025-y","http://dx.doi.org/10.1038/s41558-024-02025-y")</f>
        <v>http://dx.doi.org/10.1038/s41558-024-02025-y</v>
      </c>
      <c r="BG198" t="s">
        <v>74</v>
      </c>
      <c r="BH198" t="s">
        <v>4236</v>
      </c>
      <c r="BI198">
        <v>20</v>
      </c>
      <c r="BJ198" t="s">
        <v>4237</v>
      </c>
      <c r="BK198" t="s">
        <v>186</v>
      </c>
      <c r="BL198" t="s">
        <v>783</v>
      </c>
      <c r="BM198" t="s">
        <v>4238</v>
      </c>
      <c r="BN198" t="s">
        <v>74</v>
      </c>
      <c r="BO198" t="s">
        <v>2296</v>
      </c>
      <c r="BP198" t="s">
        <v>74</v>
      </c>
      <c r="BQ198" t="s">
        <v>74</v>
      </c>
      <c r="BR198" t="s">
        <v>106</v>
      </c>
      <c r="BS198" t="s">
        <v>4239</v>
      </c>
      <c r="BT198" t="str">
        <f>HYPERLINK("https%3A%2F%2Fwww.webofscience.com%2Fwos%2Fwoscc%2Ffull-record%2FWOS:001242154800004","View Full Record in Web of Science")</f>
        <v>View Full Record in Web of Science</v>
      </c>
    </row>
    <row r="199" spans="1:72" x14ac:dyDescent="0.2">
      <c r="A199" t="s">
        <v>72</v>
      </c>
      <c r="B199" t="s">
        <v>4240</v>
      </c>
      <c r="C199" t="s">
        <v>74</v>
      </c>
      <c r="D199" t="s">
        <v>74</v>
      </c>
      <c r="E199" t="s">
        <v>74</v>
      </c>
      <c r="F199" t="s">
        <v>4241</v>
      </c>
      <c r="G199" t="s">
        <v>74</v>
      </c>
      <c r="H199" t="s">
        <v>74</v>
      </c>
      <c r="I199" t="s">
        <v>4242</v>
      </c>
      <c r="J199" t="s">
        <v>2149</v>
      </c>
      <c r="K199" t="s">
        <v>74</v>
      </c>
      <c r="L199" t="s">
        <v>74</v>
      </c>
      <c r="M199" t="s">
        <v>78</v>
      </c>
      <c r="N199" t="s">
        <v>79</v>
      </c>
      <c r="O199" t="s">
        <v>74</v>
      </c>
      <c r="P199" t="s">
        <v>74</v>
      </c>
      <c r="Q199" t="s">
        <v>74</v>
      </c>
      <c r="R199" t="s">
        <v>74</v>
      </c>
      <c r="S199" t="s">
        <v>74</v>
      </c>
      <c r="T199" t="s">
        <v>4243</v>
      </c>
      <c r="U199" t="s">
        <v>4244</v>
      </c>
      <c r="V199" t="s">
        <v>4245</v>
      </c>
      <c r="W199" t="s">
        <v>4246</v>
      </c>
      <c r="X199" t="s">
        <v>4247</v>
      </c>
      <c r="Y199" t="s">
        <v>4248</v>
      </c>
      <c r="Z199" t="s">
        <v>4249</v>
      </c>
      <c r="AA199" t="s">
        <v>4250</v>
      </c>
      <c r="AB199" t="s">
        <v>4251</v>
      </c>
      <c r="AC199" t="s">
        <v>4252</v>
      </c>
      <c r="AD199" t="s">
        <v>4253</v>
      </c>
      <c r="AE199" t="s">
        <v>4254</v>
      </c>
      <c r="AF199" t="s">
        <v>74</v>
      </c>
      <c r="AG199">
        <v>53</v>
      </c>
      <c r="AH199">
        <v>51</v>
      </c>
      <c r="AI199">
        <v>54</v>
      </c>
      <c r="AJ199">
        <v>5</v>
      </c>
      <c r="AK199">
        <v>153</v>
      </c>
      <c r="AL199" t="s">
        <v>123</v>
      </c>
      <c r="AM199" t="s">
        <v>124</v>
      </c>
      <c r="AN199" t="s">
        <v>125</v>
      </c>
      <c r="AO199" t="s">
        <v>2164</v>
      </c>
      <c r="AP199" t="s">
        <v>2165</v>
      </c>
      <c r="AQ199" t="s">
        <v>74</v>
      </c>
      <c r="AR199" t="s">
        <v>2166</v>
      </c>
      <c r="AS199" t="s">
        <v>2167</v>
      </c>
      <c r="AT199" t="s">
        <v>459</v>
      </c>
      <c r="AU199">
        <v>2020</v>
      </c>
      <c r="AV199">
        <v>196</v>
      </c>
      <c r="AW199" t="s">
        <v>74</v>
      </c>
      <c r="AX199" t="s">
        <v>74</v>
      </c>
      <c r="AY199" t="s">
        <v>74</v>
      </c>
      <c r="AZ199" t="s">
        <v>74</v>
      </c>
      <c r="BA199" t="s">
        <v>74</v>
      </c>
      <c r="BB199" t="s">
        <v>74</v>
      </c>
      <c r="BC199" t="s">
        <v>74</v>
      </c>
      <c r="BD199">
        <v>104488</v>
      </c>
      <c r="BE199" t="s">
        <v>4255</v>
      </c>
      <c r="BF199" t="str">
        <f>HYPERLINK("http://dx.doi.org/10.1016/j.still.2019.104488","http://dx.doi.org/10.1016/j.still.2019.104488")</f>
        <v>http://dx.doi.org/10.1016/j.still.2019.104488</v>
      </c>
      <c r="BG199" t="s">
        <v>74</v>
      </c>
      <c r="BH199" t="s">
        <v>74</v>
      </c>
      <c r="BI199">
        <v>12</v>
      </c>
      <c r="BJ199" t="s">
        <v>256</v>
      </c>
      <c r="BK199" t="s">
        <v>102</v>
      </c>
      <c r="BL199" t="s">
        <v>103</v>
      </c>
      <c r="BM199" t="s">
        <v>4256</v>
      </c>
      <c r="BN199" t="s">
        <v>74</v>
      </c>
      <c r="BO199" t="s">
        <v>541</v>
      </c>
      <c r="BP199" t="s">
        <v>74</v>
      </c>
      <c r="BQ199" t="s">
        <v>74</v>
      </c>
      <c r="BR199" t="s">
        <v>106</v>
      </c>
      <c r="BS199" t="s">
        <v>4257</v>
      </c>
      <c r="BT199" t="str">
        <f>HYPERLINK("https%3A%2F%2Fwww.webofscience.com%2Fwos%2Fwoscc%2Ffull-record%2FWOS:000501416400043","View Full Record in Web of Science")</f>
        <v>View Full Record in Web of Science</v>
      </c>
    </row>
    <row r="200" spans="1:72" x14ac:dyDescent="0.2">
      <c r="A200" t="s">
        <v>72</v>
      </c>
      <c r="B200" t="s">
        <v>4258</v>
      </c>
      <c r="C200" t="s">
        <v>74</v>
      </c>
      <c r="D200" t="s">
        <v>74</v>
      </c>
      <c r="E200" t="s">
        <v>74</v>
      </c>
      <c r="F200" t="s">
        <v>4259</v>
      </c>
      <c r="G200" t="s">
        <v>74</v>
      </c>
      <c r="H200" t="s">
        <v>74</v>
      </c>
      <c r="I200" t="s">
        <v>4260</v>
      </c>
      <c r="J200" t="s">
        <v>4261</v>
      </c>
      <c r="K200" t="s">
        <v>74</v>
      </c>
      <c r="L200" t="s">
        <v>74</v>
      </c>
      <c r="M200" t="s">
        <v>78</v>
      </c>
      <c r="N200" t="s">
        <v>79</v>
      </c>
      <c r="O200" t="s">
        <v>74</v>
      </c>
      <c r="P200" t="s">
        <v>74</v>
      </c>
      <c r="Q200" t="s">
        <v>74</v>
      </c>
      <c r="R200" t="s">
        <v>74</v>
      </c>
      <c r="S200" t="s">
        <v>74</v>
      </c>
      <c r="T200" t="s">
        <v>4262</v>
      </c>
      <c r="U200" t="s">
        <v>4263</v>
      </c>
      <c r="V200" t="s">
        <v>4264</v>
      </c>
      <c r="W200" t="s">
        <v>4265</v>
      </c>
      <c r="X200" t="s">
        <v>4266</v>
      </c>
      <c r="Y200" t="s">
        <v>4267</v>
      </c>
      <c r="Z200" t="s">
        <v>4268</v>
      </c>
      <c r="AA200" t="s">
        <v>4269</v>
      </c>
      <c r="AB200" t="s">
        <v>4270</v>
      </c>
      <c r="AC200" t="s">
        <v>74</v>
      </c>
      <c r="AD200" t="s">
        <v>74</v>
      </c>
      <c r="AE200" t="s">
        <v>74</v>
      </c>
      <c r="AF200" t="s">
        <v>74</v>
      </c>
      <c r="AG200">
        <v>96</v>
      </c>
      <c r="AH200">
        <v>15</v>
      </c>
      <c r="AI200">
        <v>15</v>
      </c>
      <c r="AJ200">
        <v>9</v>
      </c>
      <c r="AK200">
        <v>59</v>
      </c>
      <c r="AL200" t="s">
        <v>1242</v>
      </c>
      <c r="AM200" t="s">
        <v>1243</v>
      </c>
      <c r="AN200" t="s">
        <v>1244</v>
      </c>
      <c r="AO200" t="s">
        <v>4271</v>
      </c>
      <c r="AP200" t="s">
        <v>4272</v>
      </c>
      <c r="AQ200" t="s">
        <v>74</v>
      </c>
      <c r="AR200" t="s">
        <v>4273</v>
      </c>
      <c r="AS200" t="s">
        <v>4274</v>
      </c>
      <c r="AT200" t="s">
        <v>99</v>
      </c>
      <c r="AU200">
        <v>2023</v>
      </c>
      <c r="AV200">
        <v>23</v>
      </c>
      <c r="AW200">
        <v>1</v>
      </c>
      <c r="AX200" t="s">
        <v>74</v>
      </c>
      <c r="AY200" t="s">
        <v>74</v>
      </c>
      <c r="AZ200" t="s">
        <v>74</v>
      </c>
      <c r="BA200" t="s">
        <v>74</v>
      </c>
      <c r="BB200" t="s">
        <v>74</v>
      </c>
      <c r="BC200" t="s">
        <v>74</v>
      </c>
      <c r="BD200">
        <v>42</v>
      </c>
      <c r="BE200" t="s">
        <v>4275</v>
      </c>
      <c r="BF200" t="str">
        <f>HYPERLINK("http://dx.doi.org/10.1007/s10113-022-02013-y","http://dx.doi.org/10.1007/s10113-022-02013-y")</f>
        <v>http://dx.doi.org/10.1007/s10113-022-02013-y</v>
      </c>
      <c r="BG200" t="s">
        <v>74</v>
      </c>
      <c r="BH200" t="s">
        <v>74</v>
      </c>
      <c r="BI200">
        <v>16</v>
      </c>
      <c r="BJ200" t="s">
        <v>593</v>
      </c>
      <c r="BK200" t="s">
        <v>186</v>
      </c>
      <c r="BL200" t="s">
        <v>568</v>
      </c>
      <c r="BM200" t="s">
        <v>4276</v>
      </c>
      <c r="BN200" t="s">
        <v>74</v>
      </c>
      <c r="BO200" t="s">
        <v>916</v>
      </c>
      <c r="BP200" t="s">
        <v>74</v>
      </c>
      <c r="BQ200" t="s">
        <v>74</v>
      </c>
      <c r="BR200" t="s">
        <v>106</v>
      </c>
      <c r="BS200" t="s">
        <v>4277</v>
      </c>
      <c r="BT200" t="str">
        <f>HYPERLINK("https%3A%2F%2Fwww.webofscience.com%2Fwos%2Fwoscc%2Ffull-record%2FWOS:000935927600002","View Full Record in Web of Science")</f>
        <v>View Full Record in Web of Science</v>
      </c>
    </row>
    <row r="201" spans="1:72" x14ac:dyDescent="0.2">
      <c r="A201" t="s">
        <v>72</v>
      </c>
      <c r="B201" t="s">
        <v>4278</v>
      </c>
      <c r="C201" t="s">
        <v>74</v>
      </c>
      <c r="D201" t="s">
        <v>74</v>
      </c>
      <c r="E201" t="s">
        <v>74</v>
      </c>
      <c r="F201" t="s">
        <v>4279</v>
      </c>
      <c r="G201" t="s">
        <v>74</v>
      </c>
      <c r="H201" t="s">
        <v>74</v>
      </c>
      <c r="I201" t="s">
        <v>4280</v>
      </c>
      <c r="J201" t="s">
        <v>4281</v>
      </c>
      <c r="K201" t="s">
        <v>74</v>
      </c>
      <c r="L201" t="s">
        <v>74</v>
      </c>
      <c r="M201" t="s">
        <v>78</v>
      </c>
      <c r="N201" t="s">
        <v>79</v>
      </c>
      <c r="O201" t="s">
        <v>74</v>
      </c>
      <c r="P201" t="s">
        <v>74</v>
      </c>
      <c r="Q201" t="s">
        <v>74</v>
      </c>
      <c r="R201" t="s">
        <v>74</v>
      </c>
      <c r="S201" t="s">
        <v>74</v>
      </c>
      <c r="T201" t="s">
        <v>74</v>
      </c>
      <c r="U201" t="s">
        <v>4282</v>
      </c>
      <c r="V201" t="s">
        <v>4283</v>
      </c>
      <c r="W201" t="s">
        <v>4284</v>
      </c>
      <c r="X201" t="s">
        <v>4285</v>
      </c>
      <c r="Y201" t="s">
        <v>4286</v>
      </c>
      <c r="Z201" t="s">
        <v>4287</v>
      </c>
      <c r="AA201" t="s">
        <v>4288</v>
      </c>
      <c r="AB201" t="s">
        <v>4289</v>
      </c>
      <c r="AC201" t="s">
        <v>4290</v>
      </c>
      <c r="AD201" t="s">
        <v>4291</v>
      </c>
      <c r="AE201" t="s">
        <v>4292</v>
      </c>
      <c r="AF201" t="s">
        <v>74</v>
      </c>
      <c r="AG201">
        <v>206</v>
      </c>
      <c r="AH201">
        <v>5</v>
      </c>
      <c r="AI201">
        <v>5</v>
      </c>
      <c r="AJ201">
        <v>40</v>
      </c>
      <c r="AK201">
        <v>48</v>
      </c>
      <c r="AL201" t="s">
        <v>274</v>
      </c>
      <c r="AM201" t="s">
        <v>275</v>
      </c>
      <c r="AN201" t="s">
        <v>276</v>
      </c>
      <c r="AO201" t="s">
        <v>74</v>
      </c>
      <c r="AP201" t="s">
        <v>4293</v>
      </c>
      <c r="AQ201" t="s">
        <v>74</v>
      </c>
      <c r="AR201" t="s">
        <v>4294</v>
      </c>
      <c r="AS201" t="s">
        <v>4295</v>
      </c>
      <c r="AT201" t="s">
        <v>4296</v>
      </c>
      <c r="AU201">
        <v>2025</v>
      </c>
      <c r="AV201">
        <v>16</v>
      </c>
      <c r="AW201">
        <v>1</v>
      </c>
      <c r="AX201" t="s">
        <v>74</v>
      </c>
      <c r="AY201" t="s">
        <v>74</v>
      </c>
      <c r="AZ201" t="s">
        <v>74</v>
      </c>
      <c r="BA201" t="s">
        <v>74</v>
      </c>
      <c r="BB201" t="s">
        <v>74</v>
      </c>
      <c r="BC201" t="s">
        <v>74</v>
      </c>
      <c r="BD201">
        <v>4370</v>
      </c>
      <c r="BE201" t="s">
        <v>4297</v>
      </c>
      <c r="BF201" t="str">
        <f>HYPERLINK("http://dx.doi.org/10.1038/s41467-025-59752-9","http://dx.doi.org/10.1038/s41467-025-59752-9")</f>
        <v>http://dx.doi.org/10.1038/s41467-025-59752-9</v>
      </c>
      <c r="BG201" t="s">
        <v>74</v>
      </c>
      <c r="BH201" t="s">
        <v>74</v>
      </c>
      <c r="BI201">
        <v>15</v>
      </c>
      <c r="BJ201" t="s">
        <v>158</v>
      </c>
      <c r="BK201" t="s">
        <v>102</v>
      </c>
      <c r="BL201" t="s">
        <v>159</v>
      </c>
      <c r="BM201" t="s">
        <v>4298</v>
      </c>
      <c r="BN201">
        <v>40350444</v>
      </c>
      <c r="BO201" t="s">
        <v>161</v>
      </c>
      <c r="BP201" t="s">
        <v>74</v>
      </c>
      <c r="BQ201" t="s">
        <v>74</v>
      </c>
      <c r="BR201" t="s">
        <v>106</v>
      </c>
      <c r="BS201" t="s">
        <v>4299</v>
      </c>
      <c r="BT201" t="str">
        <f>HYPERLINK("https%3A%2F%2Fwww.webofscience.com%2Fwos%2Fwoscc%2Ffull-record%2FWOS:001488303200005","View Full Record in Web of Science")</f>
        <v>View Full Record in Web of Science</v>
      </c>
    </row>
    <row r="202" spans="1:72" x14ac:dyDescent="0.2">
      <c r="A202" t="s">
        <v>72</v>
      </c>
      <c r="B202" t="s">
        <v>4300</v>
      </c>
      <c r="C202" t="s">
        <v>74</v>
      </c>
      <c r="D202" t="s">
        <v>74</v>
      </c>
      <c r="E202" t="s">
        <v>74</v>
      </c>
      <c r="F202" t="s">
        <v>4301</v>
      </c>
      <c r="G202" t="s">
        <v>74</v>
      </c>
      <c r="H202" t="s">
        <v>74</v>
      </c>
      <c r="I202" t="s">
        <v>4302</v>
      </c>
      <c r="J202" t="s">
        <v>4303</v>
      </c>
      <c r="K202" t="s">
        <v>74</v>
      </c>
      <c r="L202" t="s">
        <v>74</v>
      </c>
      <c r="M202" t="s">
        <v>78</v>
      </c>
      <c r="N202" t="s">
        <v>79</v>
      </c>
      <c r="O202" t="s">
        <v>74</v>
      </c>
      <c r="P202" t="s">
        <v>74</v>
      </c>
      <c r="Q202" t="s">
        <v>74</v>
      </c>
      <c r="R202" t="s">
        <v>74</v>
      </c>
      <c r="S202" t="s">
        <v>74</v>
      </c>
      <c r="T202" t="s">
        <v>4304</v>
      </c>
      <c r="U202" t="s">
        <v>4305</v>
      </c>
      <c r="V202" t="s">
        <v>4306</v>
      </c>
      <c r="W202" t="s">
        <v>4307</v>
      </c>
      <c r="X202" t="s">
        <v>4308</v>
      </c>
      <c r="Y202" t="s">
        <v>4309</v>
      </c>
      <c r="Z202" t="s">
        <v>4310</v>
      </c>
      <c r="AA202" t="s">
        <v>4311</v>
      </c>
      <c r="AB202" t="s">
        <v>4312</v>
      </c>
      <c r="AC202" t="s">
        <v>74</v>
      </c>
      <c r="AD202" t="s">
        <v>74</v>
      </c>
      <c r="AE202" t="s">
        <v>74</v>
      </c>
      <c r="AF202" t="s">
        <v>74</v>
      </c>
      <c r="AG202">
        <v>70</v>
      </c>
      <c r="AH202">
        <v>42</v>
      </c>
      <c r="AI202">
        <v>52</v>
      </c>
      <c r="AJ202">
        <v>6</v>
      </c>
      <c r="AK202">
        <v>118</v>
      </c>
      <c r="AL202" t="s">
        <v>629</v>
      </c>
      <c r="AM202" t="s">
        <v>630</v>
      </c>
      <c r="AN202" t="s">
        <v>631</v>
      </c>
      <c r="AO202" t="s">
        <v>4313</v>
      </c>
      <c r="AP202" t="s">
        <v>4314</v>
      </c>
      <c r="AQ202" t="s">
        <v>74</v>
      </c>
      <c r="AR202" t="s">
        <v>4303</v>
      </c>
      <c r="AS202" t="s">
        <v>4315</v>
      </c>
      <c r="AT202" t="s">
        <v>459</v>
      </c>
      <c r="AU202">
        <v>2017</v>
      </c>
      <c r="AV202">
        <v>27</v>
      </c>
      <c r="AW202">
        <v>1</v>
      </c>
      <c r="AX202" t="s">
        <v>74</v>
      </c>
      <c r="AY202" t="s">
        <v>74</v>
      </c>
      <c r="AZ202" t="s">
        <v>74</v>
      </c>
      <c r="BA202" t="s">
        <v>74</v>
      </c>
      <c r="BB202">
        <v>65</v>
      </c>
      <c r="BC202">
        <v>75</v>
      </c>
      <c r="BD202" t="s">
        <v>74</v>
      </c>
      <c r="BE202" t="s">
        <v>4316</v>
      </c>
      <c r="BF202" t="str">
        <f>HYPERLINK("http://dx.doi.org/10.1016/S1002-0160(17)60296-0","http://dx.doi.org/10.1016/S1002-0160(17)60296-0")</f>
        <v>http://dx.doi.org/10.1016/S1002-0160(17)60296-0</v>
      </c>
      <c r="BG202" t="s">
        <v>74</v>
      </c>
      <c r="BH202" t="s">
        <v>74</v>
      </c>
      <c r="BI202">
        <v>11</v>
      </c>
      <c r="BJ202" t="s">
        <v>256</v>
      </c>
      <c r="BK202" t="s">
        <v>102</v>
      </c>
      <c r="BL202" t="s">
        <v>103</v>
      </c>
      <c r="BM202" t="s">
        <v>4317</v>
      </c>
      <c r="BN202" t="s">
        <v>74</v>
      </c>
      <c r="BO202" t="s">
        <v>74</v>
      </c>
      <c r="BP202" t="s">
        <v>74</v>
      </c>
      <c r="BQ202" t="s">
        <v>74</v>
      </c>
      <c r="BR202" t="s">
        <v>106</v>
      </c>
      <c r="BS202" t="s">
        <v>4318</v>
      </c>
      <c r="BT202" t="str">
        <f>HYPERLINK("https%3A%2F%2Fwww.webofscience.com%2Fwos%2Fwoscc%2Ffull-record%2FWOS:000394725200006","View Full Record in Web of Science")</f>
        <v>View Full Record in Web of Science</v>
      </c>
    </row>
    <row r="203" spans="1:72" x14ac:dyDescent="0.2">
      <c r="A203" t="s">
        <v>72</v>
      </c>
      <c r="B203" t="s">
        <v>4319</v>
      </c>
      <c r="C203" t="s">
        <v>74</v>
      </c>
      <c r="D203" t="s">
        <v>74</v>
      </c>
      <c r="E203" t="s">
        <v>74</v>
      </c>
      <c r="F203" t="s">
        <v>4320</v>
      </c>
      <c r="G203" t="s">
        <v>74</v>
      </c>
      <c r="H203" t="s">
        <v>74</v>
      </c>
      <c r="I203" t="s">
        <v>4321</v>
      </c>
      <c r="J203" t="s">
        <v>1477</v>
      </c>
      <c r="K203" t="s">
        <v>74</v>
      </c>
      <c r="L203" t="s">
        <v>74</v>
      </c>
      <c r="M203" t="s">
        <v>78</v>
      </c>
      <c r="N203" t="s">
        <v>79</v>
      </c>
      <c r="O203" t="s">
        <v>74</v>
      </c>
      <c r="P203" t="s">
        <v>74</v>
      </c>
      <c r="Q203" t="s">
        <v>74</v>
      </c>
      <c r="R203" t="s">
        <v>74</v>
      </c>
      <c r="S203" t="s">
        <v>74</v>
      </c>
      <c r="T203" t="s">
        <v>4322</v>
      </c>
      <c r="U203" t="s">
        <v>4323</v>
      </c>
      <c r="V203" t="s">
        <v>4324</v>
      </c>
      <c r="W203" t="s">
        <v>4325</v>
      </c>
      <c r="X203" t="s">
        <v>4326</v>
      </c>
      <c r="Y203" t="s">
        <v>4327</v>
      </c>
      <c r="Z203" t="s">
        <v>4328</v>
      </c>
      <c r="AA203" t="s">
        <v>4329</v>
      </c>
      <c r="AB203" t="s">
        <v>4330</v>
      </c>
      <c r="AC203" t="s">
        <v>4331</v>
      </c>
      <c r="AD203" t="s">
        <v>4332</v>
      </c>
      <c r="AE203" t="s">
        <v>4333</v>
      </c>
      <c r="AF203" t="s">
        <v>74</v>
      </c>
      <c r="AG203">
        <v>65</v>
      </c>
      <c r="AH203">
        <v>8</v>
      </c>
      <c r="AI203">
        <v>8</v>
      </c>
      <c r="AJ203">
        <v>6</v>
      </c>
      <c r="AK203">
        <v>22</v>
      </c>
      <c r="AL203" t="s">
        <v>934</v>
      </c>
      <c r="AM203" t="s">
        <v>177</v>
      </c>
      <c r="AN203" t="s">
        <v>935</v>
      </c>
      <c r="AO203" t="s">
        <v>1490</v>
      </c>
      <c r="AP203" t="s">
        <v>1491</v>
      </c>
      <c r="AQ203" t="s">
        <v>74</v>
      </c>
      <c r="AR203" t="s">
        <v>1492</v>
      </c>
      <c r="AS203" t="s">
        <v>1493</v>
      </c>
      <c r="AT203" t="s">
        <v>227</v>
      </c>
      <c r="AU203">
        <v>2025</v>
      </c>
      <c r="AV203">
        <v>207</v>
      </c>
      <c r="AW203" t="s">
        <v>74</v>
      </c>
      <c r="AX203" t="s">
        <v>74</v>
      </c>
      <c r="AY203" t="s">
        <v>74</v>
      </c>
      <c r="AZ203" t="s">
        <v>74</v>
      </c>
      <c r="BA203" t="s">
        <v>74</v>
      </c>
      <c r="BB203" t="s">
        <v>74</v>
      </c>
      <c r="BC203" t="s">
        <v>74</v>
      </c>
      <c r="BD203">
        <v>114993</v>
      </c>
      <c r="BE203" t="s">
        <v>4334</v>
      </c>
      <c r="BF203" t="str">
        <f>HYPERLINK("http://dx.doi.org/10.1016/j.rser.2024.114993","http://dx.doi.org/10.1016/j.rser.2024.114993")</f>
        <v>http://dx.doi.org/10.1016/j.rser.2024.114993</v>
      </c>
      <c r="BG203" t="s">
        <v>74</v>
      </c>
      <c r="BH203" t="s">
        <v>3407</v>
      </c>
      <c r="BI203">
        <v>12</v>
      </c>
      <c r="BJ203" t="s">
        <v>1496</v>
      </c>
      <c r="BK203" t="s">
        <v>102</v>
      </c>
      <c r="BL203" t="s">
        <v>1497</v>
      </c>
      <c r="BM203" t="s">
        <v>4335</v>
      </c>
      <c r="BN203" t="s">
        <v>74</v>
      </c>
      <c r="BO203" t="s">
        <v>74</v>
      </c>
      <c r="BP203" t="s">
        <v>74</v>
      </c>
      <c r="BQ203" t="s">
        <v>74</v>
      </c>
      <c r="BR203" t="s">
        <v>106</v>
      </c>
      <c r="BS203" t="s">
        <v>4336</v>
      </c>
      <c r="BT203" t="str">
        <f>HYPERLINK("https%3A%2F%2Fwww.webofscience.com%2Fwos%2Fwoscc%2Ffull-record%2FWOS:001336175500001","View Full Record in Web of Science")</f>
        <v>View Full Record in Web of Science</v>
      </c>
    </row>
    <row r="204" spans="1:72" x14ac:dyDescent="0.2">
      <c r="A204" t="s">
        <v>72</v>
      </c>
      <c r="B204" t="s">
        <v>4337</v>
      </c>
      <c r="C204" t="s">
        <v>74</v>
      </c>
      <c r="D204" t="s">
        <v>74</v>
      </c>
      <c r="E204" t="s">
        <v>74</v>
      </c>
      <c r="F204" t="s">
        <v>4338</v>
      </c>
      <c r="G204" t="s">
        <v>74</v>
      </c>
      <c r="H204" t="s">
        <v>74</v>
      </c>
      <c r="I204" t="s">
        <v>4339</v>
      </c>
      <c r="J204" t="s">
        <v>468</v>
      </c>
      <c r="K204" t="s">
        <v>74</v>
      </c>
      <c r="L204" t="s">
        <v>74</v>
      </c>
      <c r="M204" t="s">
        <v>78</v>
      </c>
      <c r="N204" t="s">
        <v>79</v>
      </c>
      <c r="O204" t="s">
        <v>74</v>
      </c>
      <c r="P204" t="s">
        <v>74</v>
      </c>
      <c r="Q204" t="s">
        <v>74</v>
      </c>
      <c r="R204" t="s">
        <v>74</v>
      </c>
      <c r="S204" t="s">
        <v>74</v>
      </c>
      <c r="T204" t="s">
        <v>4340</v>
      </c>
      <c r="U204" t="s">
        <v>4341</v>
      </c>
      <c r="V204" t="s">
        <v>4342</v>
      </c>
      <c r="W204" t="s">
        <v>4343</v>
      </c>
      <c r="X204" t="s">
        <v>4344</v>
      </c>
      <c r="Y204" t="s">
        <v>4345</v>
      </c>
      <c r="Z204" t="s">
        <v>4346</v>
      </c>
      <c r="AA204" t="s">
        <v>4347</v>
      </c>
      <c r="AB204" t="s">
        <v>4348</v>
      </c>
      <c r="AC204" t="s">
        <v>4349</v>
      </c>
      <c r="AD204" t="s">
        <v>4350</v>
      </c>
      <c r="AE204" t="s">
        <v>4351</v>
      </c>
      <c r="AF204" t="s">
        <v>74</v>
      </c>
      <c r="AG204">
        <v>61</v>
      </c>
      <c r="AH204">
        <v>0</v>
      </c>
      <c r="AI204">
        <v>0</v>
      </c>
      <c r="AJ204">
        <v>5</v>
      </c>
      <c r="AK204">
        <v>13</v>
      </c>
      <c r="AL204" t="s">
        <v>222</v>
      </c>
      <c r="AM204" t="s">
        <v>223</v>
      </c>
      <c r="AN204" t="s">
        <v>478</v>
      </c>
      <c r="AO204" t="s">
        <v>74</v>
      </c>
      <c r="AP204" t="s">
        <v>479</v>
      </c>
      <c r="AQ204" t="s">
        <v>74</v>
      </c>
      <c r="AR204" t="s">
        <v>480</v>
      </c>
      <c r="AS204" t="s">
        <v>481</v>
      </c>
      <c r="AT204" t="s">
        <v>459</v>
      </c>
      <c r="AU204">
        <v>2025</v>
      </c>
      <c r="AV204">
        <v>17</v>
      </c>
      <c r="AW204">
        <v>3</v>
      </c>
      <c r="AX204" t="s">
        <v>74</v>
      </c>
      <c r="AY204" t="s">
        <v>74</v>
      </c>
      <c r="AZ204" t="s">
        <v>74</v>
      </c>
      <c r="BA204" t="s">
        <v>74</v>
      </c>
      <c r="BB204" t="s">
        <v>74</v>
      </c>
      <c r="BC204" t="s">
        <v>74</v>
      </c>
      <c r="BD204">
        <v>1223</v>
      </c>
      <c r="BE204" t="s">
        <v>4352</v>
      </c>
      <c r="BF204" t="str">
        <f>HYPERLINK("http://dx.doi.org/10.3390/su17031223","http://dx.doi.org/10.3390/su17031223")</f>
        <v>http://dx.doi.org/10.3390/su17031223</v>
      </c>
      <c r="BG204" t="s">
        <v>74</v>
      </c>
      <c r="BH204" t="s">
        <v>74</v>
      </c>
      <c r="BI204">
        <v>24</v>
      </c>
      <c r="BJ204" t="s">
        <v>484</v>
      </c>
      <c r="BK204" t="s">
        <v>186</v>
      </c>
      <c r="BL204" t="s">
        <v>485</v>
      </c>
      <c r="BM204" t="s">
        <v>4353</v>
      </c>
      <c r="BN204" t="s">
        <v>74</v>
      </c>
      <c r="BO204" t="s">
        <v>231</v>
      </c>
      <c r="BP204" t="s">
        <v>74</v>
      </c>
      <c r="BQ204" t="s">
        <v>74</v>
      </c>
      <c r="BR204" t="s">
        <v>106</v>
      </c>
      <c r="BS204" t="s">
        <v>4354</v>
      </c>
      <c r="BT204" t="str">
        <f>HYPERLINK("https%3A%2F%2Fwww.webofscience.com%2Fwos%2Fwoscc%2Ffull-record%2FWOS:001419418100001","View Full Record in Web of Science")</f>
        <v>View Full Record in Web of Science</v>
      </c>
    </row>
    <row r="205" spans="1:72" x14ac:dyDescent="0.2">
      <c r="A205" t="s">
        <v>72</v>
      </c>
      <c r="B205" t="s">
        <v>4355</v>
      </c>
      <c r="C205" t="s">
        <v>74</v>
      </c>
      <c r="D205" t="s">
        <v>74</v>
      </c>
      <c r="E205" t="s">
        <v>74</v>
      </c>
      <c r="F205" t="s">
        <v>4356</v>
      </c>
      <c r="G205" t="s">
        <v>74</v>
      </c>
      <c r="H205" t="s">
        <v>74</v>
      </c>
      <c r="I205" t="s">
        <v>4357</v>
      </c>
      <c r="J205" t="s">
        <v>1451</v>
      </c>
      <c r="K205" t="s">
        <v>74</v>
      </c>
      <c r="L205" t="s">
        <v>74</v>
      </c>
      <c r="M205" t="s">
        <v>78</v>
      </c>
      <c r="N205" t="s">
        <v>79</v>
      </c>
      <c r="O205" t="s">
        <v>74</v>
      </c>
      <c r="P205" t="s">
        <v>74</v>
      </c>
      <c r="Q205" t="s">
        <v>74</v>
      </c>
      <c r="R205" t="s">
        <v>74</v>
      </c>
      <c r="S205" t="s">
        <v>74</v>
      </c>
      <c r="T205" t="s">
        <v>4358</v>
      </c>
      <c r="U205" t="s">
        <v>4359</v>
      </c>
      <c r="V205" t="s">
        <v>4360</v>
      </c>
      <c r="W205" t="s">
        <v>4361</v>
      </c>
      <c r="X205" t="s">
        <v>4362</v>
      </c>
      <c r="Y205" t="s">
        <v>4363</v>
      </c>
      <c r="Z205" t="s">
        <v>4364</v>
      </c>
      <c r="AA205" t="s">
        <v>4365</v>
      </c>
      <c r="AB205" t="s">
        <v>4366</v>
      </c>
      <c r="AC205" t="s">
        <v>4367</v>
      </c>
      <c r="AD205" t="s">
        <v>4368</v>
      </c>
      <c r="AE205" t="s">
        <v>4369</v>
      </c>
      <c r="AF205" t="s">
        <v>74</v>
      </c>
      <c r="AG205">
        <v>81</v>
      </c>
      <c r="AH205">
        <v>21</v>
      </c>
      <c r="AI205">
        <v>23</v>
      </c>
      <c r="AJ205">
        <v>13</v>
      </c>
      <c r="AK205">
        <v>94</v>
      </c>
      <c r="AL205" t="s">
        <v>123</v>
      </c>
      <c r="AM205" t="s">
        <v>124</v>
      </c>
      <c r="AN205" t="s">
        <v>125</v>
      </c>
      <c r="AO205" t="s">
        <v>1464</v>
      </c>
      <c r="AP205" t="s">
        <v>1465</v>
      </c>
      <c r="AQ205" t="s">
        <v>74</v>
      </c>
      <c r="AR205" t="s">
        <v>1466</v>
      </c>
      <c r="AS205" t="s">
        <v>1467</v>
      </c>
      <c r="AT205" t="s">
        <v>1468</v>
      </c>
      <c r="AU205">
        <v>2023</v>
      </c>
      <c r="AV205">
        <v>348</v>
      </c>
      <c r="AW205" t="s">
        <v>74</v>
      </c>
      <c r="AX205" t="s">
        <v>74</v>
      </c>
      <c r="AY205" t="s">
        <v>74</v>
      </c>
      <c r="AZ205" t="s">
        <v>74</v>
      </c>
      <c r="BA205" t="s">
        <v>74</v>
      </c>
      <c r="BB205" t="s">
        <v>74</v>
      </c>
      <c r="BC205" t="s">
        <v>74</v>
      </c>
      <c r="BD205">
        <v>108412</v>
      </c>
      <c r="BE205" t="s">
        <v>4370</v>
      </c>
      <c r="BF205" t="str">
        <f>HYPERLINK("http://dx.doi.org/10.1016/j.agee.2023.108412","http://dx.doi.org/10.1016/j.agee.2023.108412")</f>
        <v>http://dx.doi.org/10.1016/j.agee.2023.108412</v>
      </c>
      <c r="BG205" t="s">
        <v>74</v>
      </c>
      <c r="BH205" t="s">
        <v>1250</v>
      </c>
      <c r="BI205">
        <v>10</v>
      </c>
      <c r="BJ205" t="s">
        <v>1470</v>
      </c>
      <c r="BK205" t="s">
        <v>102</v>
      </c>
      <c r="BL205" t="s">
        <v>1471</v>
      </c>
      <c r="BM205" t="s">
        <v>4371</v>
      </c>
      <c r="BN205" t="s">
        <v>74</v>
      </c>
      <c r="BO205" t="s">
        <v>916</v>
      </c>
      <c r="BP205" t="s">
        <v>74</v>
      </c>
      <c r="BQ205" t="s">
        <v>74</v>
      </c>
      <c r="BR205" t="s">
        <v>106</v>
      </c>
      <c r="BS205" t="s">
        <v>4372</v>
      </c>
      <c r="BT205" t="str">
        <f>HYPERLINK("https%3A%2F%2Fwww.webofscience.com%2Fwos%2Fwoscc%2Ffull-record%2FWOS:001001297700001","View Full Record in Web of Science")</f>
        <v>View Full Record in Web of Science</v>
      </c>
    </row>
    <row r="206" spans="1:72" x14ac:dyDescent="0.2">
      <c r="A206" t="s">
        <v>72</v>
      </c>
      <c r="B206" t="s">
        <v>4373</v>
      </c>
      <c r="C206" t="s">
        <v>74</v>
      </c>
      <c r="D206" t="s">
        <v>74</v>
      </c>
      <c r="E206" t="s">
        <v>74</v>
      </c>
      <c r="F206" t="s">
        <v>4374</v>
      </c>
      <c r="G206" t="s">
        <v>74</v>
      </c>
      <c r="H206" t="s">
        <v>74</v>
      </c>
      <c r="I206" t="s">
        <v>4375</v>
      </c>
      <c r="J206" t="s">
        <v>4376</v>
      </c>
      <c r="K206" t="s">
        <v>74</v>
      </c>
      <c r="L206" t="s">
        <v>74</v>
      </c>
      <c r="M206" t="s">
        <v>78</v>
      </c>
      <c r="N206" t="s">
        <v>79</v>
      </c>
      <c r="O206" t="s">
        <v>74</v>
      </c>
      <c r="P206" t="s">
        <v>74</v>
      </c>
      <c r="Q206" t="s">
        <v>74</v>
      </c>
      <c r="R206" t="s">
        <v>74</v>
      </c>
      <c r="S206" t="s">
        <v>74</v>
      </c>
      <c r="T206" t="s">
        <v>74</v>
      </c>
      <c r="U206" t="s">
        <v>4377</v>
      </c>
      <c r="V206" t="s">
        <v>4378</v>
      </c>
      <c r="W206" t="s">
        <v>4379</v>
      </c>
      <c r="X206" t="s">
        <v>4380</v>
      </c>
      <c r="Y206" t="s">
        <v>4381</v>
      </c>
      <c r="Z206" t="s">
        <v>4382</v>
      </c>
      <c r="AA206" t="s">
        <v>4383</v>
      </c>
      <c r="AB206" t="s">
        <v>4384</v>
      </c>
      <c r="AC206" t="s">
        <v>4385</v>
      </c>
      <c r="AD206" t="s">
        <v>4386</v>
      </c>
      <c r="AE206" t="s">
        <v>4387</v>
      </c>
      <c r="AF206" t="s">
        <v>74</v>
      </c>
      <c r="AG206">
        <v>40</v>
      </c>
      <c r="AH206">
        <v>132</v>
      </c>
      <c r="AI206">
        <v>165</v>
      </c>
      <c r="AJ206">
        <v>8</v>
      </c>
      <c r="AK206">
        <v>315</v>
      </c>
      <c r="AL206" t="s">
        <v>3724</v>
      </c>
      <c r="AM206" t="s">
        <v>676</v>
      </c>
      <c r="AN206" t="s">
        <v>4388</v>
      </c>
      <c r="AO206" t="s">
        <v>4389</v>
      </c>
      <c r="AP206" t="s">
        <v>4390</v>
      </c>
      <c r="AQ206" t="s">
        <v>74</v>
      </c>
      <c r="AR206" t="s">
        <v>4391</v>
      </c>
      <c r="AS206" t="s">
        <v>4392</v>
      </c>
      <c r="AT206" t="s">
        <v>636</v>
      </c>
      <c r="AU206">
        <v>2015</v>
      </c>
      <c r="AV206">
        <v>153</v>
      </c>
      <c r="AW206">
        <v>3</v>
      </c>
      <c r="AX206" t="s">
        <v>74</v>
      </c>
      <c r="AY206" t="s">
        <v>74</v>
      </c>
      <c r="AZ206" t="s">
        <v>74</v>
      </c>
      <c r="BA206" t="s">
        <v>74</v>
      </c>
      <c r="BB206">
        <v>422</v>
      </c>
      <c r="BC206">
        <v>431</v>
      </c>
      <c r="BD206" t="s">
        <v>74</v>
      </c>
      <c r="BE206" t="s">
        <v>4393</v>
      </c>
      <c r="BF206" t="str">
        <f>HYPERLINK("http://dx.doi.org/10.1017/S0021859614000665","http://dx.doi.org/10.1017/S0021859614000665")</f>
        <v>http://dx.doi.org/10.1017/S0021859614000665</v>
      </c>
      <c r="BG206" t="s">
        <v>74</v>
      </c>
      <c r="BH206" t="s">
        <v>74</v>
      </c>
      <c r="BI206">
        <v>10</v>
      </c>
      <c r="BJ206" t="s">
        <v>101</v>
      </c>
      <c r="BK206" t="s">
        <v>102</v>
      </c>
      <c r="BL206" t="s">
        <v>103</v>
      </c>
      <c r="BM206" t="s">
        <v>4394</v>
      </c>
      <c r="BN206" t="s">
        <v>74</v>
      </c>
      <c r="BO206" t="s">
        <v>3889</v>
      </c>
      <c r="BP206" t="s">
        <v>74</v>
      </c>
      <c r="BQ206" t="s">
        <v>74</v>
      </c>
      <c r="BR206" t="s">
        <v>106</v>
      </c>
      <c r="BS206" t="s">
        <v>4395</v>
      </c>
      <c r="BT206" t="str">
        <f>HYPERLINK("https%3A%2F%2Fwww.webofscience.com%2Fwos%2Fwoscc%2Ffull-record%2FWOS:000351414900004","View Full Record in Web of Science")</f>
        <v>View Full Record in Web of Science</v>
      </c>
    </row>
    <row r="207" spans="1:72" x14ac:dyDescent="0.2">
      <c r="A207" t="s">
        <v>72</v>
      </c>
      <c r="B207" t="s">
        <v>4396</v>
      </c>
      <c r="C207" t="s">
        <v>74</v>
      </c>
      <c r="D207" t="s">
        <v>74</v>
      </c>
      <c r="E207" t="s">
        <v>74</v>
      </c>
      <c r="F207" t="s">
        <v>4397</v>
      </c>
      <c r="G207" t="s">
        <v>74</v>
      </c>
      <c r="H207" t="s">
        <v>74</v>
      </c>
      <c r="I207" t="s">
        <v>4398</v>
      </c>
      <c r="J207" t="s">
        <v>1853</v>
      </c>
      <c r="K207" t="s">
        <v>74</v>
      </c>
      <c r="L207" t="s">
        <v>74</v>
      </c>
      <c r="M207" t="s">
        <v>78</v>
      </c>
      <c r="N207" t="s">
        <v>492</v>
      </c>
      <c r="O207" t="s">
        <v>74</v>
      </c>
      <c r="P207" t="s">
        <v>74</v>
      </c>
      <c r="Q207" t="s">
        <v>74</v>
      </c>
      <c r="R207" t="s">
        <v>74</v>
      </c>
      <c r="S207" t="s">
        <v>74</v>
      </c>
      <c r="T207" t="s">
        <v>4399</v>
      </c>
      <c r="U207" t="s">
        <v>4400</v>
      </c>
      <c r="V207" t="s">
        <v>4401</v>
      </c>
      <c r="W207" t="s">
        <v>4402</v>
      </c>
      <c r="X207" t="s">
        <v>4403</v>
      </c>
      <c r="Y207" t="s">
        <v>4404</v>
      </c>
      <c r="Z207" t="s">
        <v>4405</v>
      </c>
      <c r="AA207" t="s">
        <v>4406</v>
      </c>
      <c r="AB207" t="s">
        <v>74</v>
      </c>
      <c r="AC207" t="s">
        <v>4407</v>
      </c>
      <c r="AD207" t="s">
        <v>4408</v>
      </c>
      <c r="AE207" t="s">
        <v>4409</v>
      </c>
      <c r="AF207" t="s">
        <v>74</v>
      </c>
      <c r="AG207">
        <v>27</v>
      </c>
      <c r="AH207">
        <v>0</v>
      </c>
      <c r="AI207">
        <v>0</v>
      </c>
      <c r="AJ207">
        <v>2</v>
      </c>
      <c r="AK207">
        <v>2</v>
      </c>
      <c r="AL207" t="s">
        <v>1861</v>
      </c>
      <c r="AM207" t="s">
        <v>1862</v>
      </c>
      <c r="AN207" t="s">
        <v>1863</v>
      </c>
      <c r="AO207" t="s">
        <v>1864</v>
      </c>
      <c r="AP207" t="s">
        <v>1865</v>
      </c>
      <c r="AQ207" t="s">
        <v>74</v>
      </c>
      <c r="AR207" t="s">
        <v>1866</v>
      </c>
      <c r="AS207" t="s">
        <v>1867</v>
      </c>
      <c r="AT207" t="s">
        <v>4410</v>
      </c>
      <c r="AU207">
        <v>2025</v>
      </c>
      <c r="AV207" t="s">
        <v>74</v>
      </c>
      <c r="AW207" t="s">
        <v>74</v>
      </c>
      <c r="AX207" t="s">
        <v>74</v>
      </c>
      <c r="AY207" t="s">
        <v>74</v>
      </c>
      <c r="AZ207" t="s">
        <v>74</v>
      </c>
      <c r="BA207" t="s">
        <v>74</v>
      </c>
      <c r="BB207" t="s">
        <v>74</v>
      </c>
      <c r="BC207" t="s">
        <v>74</v>
      </c>
      <c r="BD207" t="s">
        <v>74</v>
      </c>
      <c r="BE207" t="s">
        <v>4411</v>
      </c>
      <c r="BF207" t="str">
        <f>HYPERLINK("http://dx.doi.org/10.15244/pjoes/204567","http://dx.doi.org/10.15244/pjoes/204567")</f>
        <v>http://dx.doi.org/10.15244/pjoes/204567</v>
      </c>
      <c r="BG207" t="s">
        <v>74</v>
      </c>
      <c r="BH207" t="s">
        <v>1965</v>
      </c>
      <c r="BI207">
        <v>11</v>
      </c>
      <c r="BJ207" t="s">
        <v>567</v>
      </c>
      <c r="BK207" t="s">
        <v>102</v>
      </c>
      <c r="BL207" t="s">
        <v>568</v>
      </c>
      <c r="BM207" t="s">
        <v>4412</v>
      </c>
      <c r="BN207" t="s">
        <v>74</v>
      </c>
      <c r="BO207" t="s">
        <v>231</v>
      </c>
      <c r="BP207" t="s">
        <v>74</v>
      </c>
      <c r="BQ207" t="s">
        <v>74</v>
      </c>
      <c r="BR207" t="s">
        <v>106</v>
      </c>
      <c r="BS207" t="s">
        <v>4413</v>
      </c>
      <c r="BT207" t="str">
        <f>HYPERLINK("https%3A%2F%2Fwww.webofscience.com%2Fwos%2Fwoscc%2Ffull-record%2FWOS:001587893500001","View Full Record in Web of Science")</f>
        <v>View Full Record in Web of Science</v>
      </c>
    </row>
    <row r="208" spans="1:72" x14ac:dyDescent="0.2">
      <c r="A208" t="s">
        <v>72</v>
      </c>
      <c r="B208" t="s">
        <v>4414</v>
      </c>
      <c r="C208" t="s">
        <v>74</v>
      </c>
      <c r="D208" t="s">
        <v>74</v>
      </c>
      <c r="E208" t="s">
        <v>74</v>
      </c>
      <c r="F208" t="s">
        <v>4415</v>
      </c>
      <c r="G208" t="s">
        <v>74</v>
      </c>
      <c r="H208" t="s">
        <v>74</v>
      </c>
      <c r="I208" t="s">
        <v>4416</v>
      </c>
      <c r="J208" t="s">
        <v>995</v>
      </c>
      <c r="K208" t="s">
        <v>74</v>
      </c>
      <c r="L208" t="s">
        <v>74</v>
      </c>
      <c r="M208" t="s">
        <v>78</v>
      </c>
      <c r="N208" t="s">
        <v>79</v>
      </c>
      <c r="O208" t="s">
        <v>74</v>
      </c>
      <c r="P208" t="s">
        <v>74</v>
      </c>
      <c r="Q208" t="s">
        <v>74</v>
      </c>
      <c r="R208" t="s">
        <v>74</v>
      </c>
      <c r="S208" t="s">
        <v>74</v>
      </c>
      <c r="T208" t="s">
        <v>4417</v>
      </c>
      <c r="U208" t="s">
        <v>4418</v>
      </c>
      <c r="V208" t="s">
        <v>4419</v>
      </c>
      <c r="W208" t="s">
        <v>4420</v>
      </c>
      <c r="X208" t="s">
        <v>4421</v>
      </c>
      <c r="Y208" t="s">
        <v>4422</v>
      </c>
      <c r="Z208" t="s">
        <v>4423</v>
      </c>
      <c r="AA208" t="s">
        <v>4424</v>
      </c>
      <c r="AB208" t="s">
        <v>4425</v>
      </c>
      <c r="AC208" t="s">
        <v>4426</v>
      </c>
      <c r="AD208" t="s">
        <v>4427</v>
      </c>
      <c r="AE208" t="s">
        <v>4428</v>
      </c>
      <c r="AF208" t="s">
        <v>74</v>
      </c>
      <c r="AG208">
        <v>76</v>
      </c>
      <c r="AH208">
        <v>21</v>
      </c>
      <c r="AI208">
        <v>25</v>
      </c>
      <c r="AJ208">
        <v>2</v>
      </c>
      <c r="AK208">
        <v>42</v>
      </c>
      <c r="AL208" t="s">
        <v>123</v>
      </c>
      <c r="AM208" t="s">
        <v>124</v>
      </c>
      <c r="AN208" t="s">
        <v>125</v>
      </c>
      <c r="AO208" t="s">
        <v>1008</v>
      </c>
      <c r="AP208" t="s">
        <v>1009</v>
      </c>
      <c r="AQ208" t="s">
        <v>74</v>
      </c>
      <c r="AR208" t="s">
        <v>1010</v>
      </c>
      <c r="AS208" t="s">
        <v>1011</v>
      </c>
      <c r="AT208" t="s">
        <v>155</v>
      </c>
      <c r="AU208">
        <v>2021</v>
      </c>
      <c r="AV208">
        <v>775</v>
      </c>
      <c r="AW208" t="s">
        <v>74</v>
      </c>
      <c r="AX208" t="s">
        <v>74</v>
      </c>
      <c r="AY208" t="s">
        <v>74</v>
      </c>
      <c r="AZ208" t="s">
        <v>74</v>
      </c>
      <c r="BA208" t="s">
        <v>74</v>
      </c>
      <c r="BB208" t="s">
        <v>74</v>
      </c>
      <c r="BC208" t="s">
        <v>74</v>
      </c>
      <c r="BD208">
        <v>145848</v>
      </c>
      <c r="BE208" t="s">
        <v>4429</v>
      </c>
      <c r="BF208" t="str">
        <f>HYPERLINK("http://dx.doi.org/10.1016/j.scitotenv.2021.145848","http://dx.doi.org/10.1016/j.scitotenv.2021.145848")</f>
        <v>http://dx.doi.org/10.1016/j.scitotenv.2021.145848</v>
      </c>
      <c r="BG208" t="s">
        <v>74</v>
      </c>
      <c r="BH208" t="s">
        <v>4131</v>
      </c>
      <c r="BI208">
        <v>15</v>
      </c>
      <c r="BJ208" t="s">
        <v>567</v>
      </c>
      <c r="BK208" t="s">
        <v>102</v>
      </c>
      <c r="BL208" t="s">
        <v>568</v>
      </c>
      <c r="BM208" t="s">
        <v>4430</v>
      </c>
      <c r="BN208" t="s">
        <v>74</v>
      </c>
      <c r="BO208" t="s">
        <v>2296</v>
      </c>
      <c r="BP208" t="s">
        <v>74</v>
      </c>
      <c r="BQ208" t="s">
        <v>74</v>
      </c>
      <c r="BR208" t="s">
        <v>106</v>
      </c>
      <c r="BS208" t="s">
        <v>4431</v>
      </c>
      <c r="BT208" t="str">
        <f>HYPERLINK("https%3A%2F%2Fwww.webofscience.com%2Fwos%2Fwoscc%2Ffull-record%2FWOS:000641612900017","View Full Record in Web of Science")</f>
        <v>View Full Record in Web of Science</v>
      </c>
    </row>
    <row r="209" spans="1:72" x14ac:dyDescent="0.2">
      <c r="A209" t="s">
        <v>72</v>
      </c>
      <c r="B209" t="s">
        <v>4432</v>
      </c>
      <c r="C209" t="s">
        <v>74</v>
      </c>
      <c r="D209" t="s">
        <v>74</v>
      </c>
      <c r="E209" t="s">
        <v>74</v>
      </c>
      <c r="F209" t="s">
        <v>4433</v>
      </c>
      <c r="G209" t="s">
        <v>74</v>
      </c>
      <c r="H209" t="s">
        <v>74</v>
      </c>
      <c r="I209" t="s">
        <v>4434</v>
      </c>
      <c r="J209" t="s">
        <v>4435</v>
      </c>
      <c r="K209" t="s">
        <v>74</v>
      </c>
      <c r="L209" t="s">
        <v>74</v>
      </c>
      <c r="M209" t="s">
        <v>78</v>
      </c>
      <c r="N209" t="s">
        <v>79</v>
      </c>
      <c r="O209" t="s">
        <v>74</v>
      </c>
      <c r="P209" t="s">
        <v>74</v>
      </c>
      <c r="Q209" t="s">
        <v>74</v>
      </c>
      <c r="R209" t="s">
        <v>74</v>
      </c>
      <c r="S209" t="s">
        <v>74</v>
      </c>
      <c r="T209" t="s">
        <v>4436</v>
      </c>
      <c r="U209" t="s">
        <v>74</v>
      </c>
      <c r="V209" t="s">
        <v>4437</v>
      </c>
      <c r="W209" t="s">
        <v>4438</v>
      </c>
      <c r="X209" t="s">
        <v>4439</v>
      </c>
      <c r="Y209" t="s">
        <v>4440</v>
      </c>
      <c r="Z209" t="s">
        <v>4441</v>
      </c>
      <c r="AA209" t="s">
        <v>4442</v>
      </c>
      <c r="AB209" t="s">
        <v>74</v>
      </c>
      <c r="AC209" t="s">
        <v>4443</v>
      </c>
      <c r="AD209" t="s">
        <v>4444</v>
      </c>
      <c r="AE209" t="s">
        <v>4445</v>
      </c>
      <c r="AF209" t="s">
        <v>74</v>
      </c>
      <c r="AG209">
        <v>29</v>
      </c>
      <c r="AH209">
        <v>3</v>
      </c>
      <c r="AI209">
        <v>3</v>
      </c>
      <c r="AJ209">
        <v>11</v>
      </c>
      <c r="AK209">
        <v>30</v>
      </c>
      <c r="AL209" t="s">
        <v>4446</v>
      </c>
      <c r="AM209" t="s">
        <v>4447</v>
      </c>
      <c r="AN209" t="s">
        <v>4448</v>
      </c>
      <c r="AO209" t="s">
        <v>4449</v>
      </c>
      <c r="AP209" t="s">
        <v>4450</v>
      </c>
      <c r="AQ209" t="s">
        <v>74</v>
      </c>
      <c r="AR209" t="s">
        <v>4451</v>
      </c>
      <c r="AS209" t="s">
        <v>4452</v>
      </c>
      <c r="AT209" t="s">
        <v>74</v>
      </c>
      <c r="AU209">
        <v>2024</v>
      </c>
      <c r="AV209">
        <v>70</v>
      </c>
      <c r="AW209">
        <v>4</v>
      </c>
      <c r="AX209" t="s">
        <v>74</v>
      </c>
      <c r="AY209" t="s">
        <v>74</v>
      </c>
      <c r="AZ209" t="s">
        <v>74</v>
      </c>
      <c r="BA209" t="s">
        <v>74</v>
      </c>
      <c r="BB209">
        <v>187</v>
      </c>
      <c r="BC209">
        <v>197</v>
      </c>
      <c r="BD209" t="s">
        <v>74</v>
      </c>
      <c r="BE209" t="s">
        <v>4453</v>
      </c>
      <c r="BF209" t="str">
        <f>HYPERLINK("http://dx.doi.org/10.17221/385/2023-AGRICECON","http://dx.doi.org/10.17221/385/2023-AGRICECON")</f>
        <v>http://dx.doi.org/10.17221/385/2023-AGRICECON</v>
      </c>
      <c r="BG209" t="s">
        <v>74</v>
      </c>
      <c r="BH209" t="s">
        <v>74</v>
      </c>
      <c r="BI209">
        <v>11</v>
      </c>
      <c r="BJ209" t="s">
        <v>1073</v>
      </c>
      <c r="BK209" t="s">
        <v>186</v>
      </c>
      <c r="BL209" t="s">
        <v>1074</v>
      </c>
      <c r="BM209" t="s">
        <v>4454</v>
      </c>
      <c r="BN209" t="s">
        <v>74</v>
      </c>
      <c r="BO209" t="s">
        <v>231</v>
      </c>
      <c r="BP209" t="s">
        <v>74</v>
      </c>
      <c r="BQ209" t="s">
        <v>74</v>
      </c>
      <c r="BR209" t="s">
        <v>106</v>
      </c>
      <c r="BS209" t="s">
        <v>4455</v>
      </c>
      <c r="BT209" t="str">
        <f>HYPERLINK("https%3A%2F%2Fwww.webofscience.com%2Fwos%2Fwoscc%2Ffull-record%2FWOS:001216488200004","View Full Record in Web of Science")</f>
        <v>View Full Record in Web of Science</v>
      </c>
    </row>
    <row r="210" spans="1:72" x14ac:dyDescent="0.2">
      <c r="A210" t="s">
        <v>72</v>
      </c>
      <c r="B210" t="s">
        <v>4456</v>
      </c>
      <c r="C210" t="s">
        <v>74</v>
      </c>
      <c r="D210" t="s">
        <v>74</v>
      </c>
      <c r="E210" t="s">
        <v>74</v>
      </c>
      <c r="F210" t="s">
        <v>4457</v>
      </c>
      <c r="G210" t="s">
        <v>74</v>
      </c>
      <c r="H210" t="s">
        <v>74</v>
      </c>
      <c r="I210" t="s">
        <v>4458</v>
      </c>
      <c r="J210" t="s">
        <v>4459</v>
      </c>
      <c r="K210" t="s">
        <v>74</v>
      </c>
      <c r="L210" t="s">
        <v>74</v>
      </c>
      <c r="M210" t="s">
        <v>78</v>
      </c>
      <c r="N210" t="s">
        <v>79</v>
      </c>
      <c r="O210" t="s">
        <v>74</v>
      </c>
      <c r="P210" t="s">
        <v>74</v>
      </c>
      <c r="Q210" t="s">
        <v>74</v>
      </c>
      <c r="R210" t="s">
        <v>74</v>
      </c>
      <c r="S210" t="s">
        <v>74</v>
      </c>
      <c r="T210" t="s">
        <v>4460</v>
      </c>
      <c r="U210" t="s">
        <v>4461</v>
      </c>
      <c r="V210" t="s">
        <v>4462</v>
      </c>
      <c r="W210" t="s">
        <v>4463</v>
      </c>
      <c r="X210" t="s">
        <v>4464</v>
      </c>
      <c r="Y210" t="s">
        <v>4465</v>
      </c>
      <c r="Z210" t="s">
        <v>4466</v>
      </c>
      <c r="AA210" t="s">
        <v>4467</v>
      </c>
      <c r="AB210" t="s">
        <v>4468</v>
      </c>
      <c r="AC210" t="s">
        <v>4469</v>
      </c>
      <c r="AD210" t="s">
        <v>4469</v>
      </c>
      <c r="AE210" t="s">
        <v>4470</v>
      </c>
      <c r="AF210" t="s">
        <v>74</v>
      </c>
      <c r="AG210">
        <v>58</v>
      </c>
      <c r="AH210">
        <v>13</v>
      </c>
      <c r="AI210">
        <v>15</v>
      </c>
      <c r="AJ210">
        <v>2</v>
      </c>
      <c r="AK210">
        <v>47</v>
      </c>
      <c r="AL210" t="s">
        <v>4471</v>
      </c>
      <c r="AM210" t="s">
        <v>4472</v>
      </c>
      <c r="AN210" t="s">
        <v>4473</v>
      </c>
      <c r="AO210" t="s">
        <v>4474</v>
      </c>
      <c r="AP210" t="s">
        <v>4475</v>
      </c>
      <c r="AQ210" t="s">
        <v>74</v>
      </c>
      <c r="AR210" t="s">
        <v>4476</v>
      </c>
      <c r="AS210" t="s">
        <v>4477</v>
      </c>
      <c r="AT210" t="s">
        <v>4478</v>
      </c>
      <c r="AU210">
        <v>2019</v>
      </c>
      <c r="AV210">
        <v>43</v>
      </c>
      <c r="AW210">
        <v>1</v>
      </c>
      <c r="AX210" t="s">
        <v>74</v>
      </c>
      <c r="AY210" t="s">
        <v>74</v>
      </c>
      <c r="AZ210" t="s">
        <v>74</v>
      </c>
      <c r="BA210" t="s">
        <v>74</v>
      </c>
      <c r="BB210">
        <v>67</v>
      </c>
      <c r="BC210">
        <v>91</v>
      </c>
      <c r="BD210" t="s">
        <v>74</v>
      </c>
      <c r="BE210" t="s">
        <v>4479</v>
      </c>
      <c r="BF210" t="str">
        <f>HYPERLINK("http://dx.doi.org/10.1080/21683565.2018.1537986","http://dx.doi.org/10.1080/21683565.2018.1537986")</f>
        <v>http://dx.doi.org/10.1080/21683565.2018.1537986</v>
      </c>
      <c r="BG210" t="s">
        <v>74</v>
      </c>
      <c r="BH210" t="s">
        <v>74</v>
      </c>
      <c r="BI210">
        <v>25</v>
      </c>
      <c r="BJ210" t="s">
        <v>1846</v>
      </c>
      <c r="BK210" t="s">
        <v>102</v>
      </c>
      <c r="BL210" t="s">
        <v>1847</v>
      </c>
      <c r="BM210" t="s">
        <v>4480</v>
      </c>
      <c r="BN210" t="s">
        <v>74</v>
      </c>
      <c r="BO210" t="s">
        <v>74</v>
      </c>
      <c r="BP210" t="s">
        <v>74</v>
      </c>
      <c r="BQ210" t="s">
        <v>74</v>
      </c>
      <c r="BR210" t="s">
        <v>106</v>
      </c>
      <c r="BS210" t="s">
        <v>4481</v>
      </c>
      <c r="BT210" t="str">
        <f>HYPERLINK("https%3A%2F%2Fwww.webofscience.com%2Fwos%2Fwoscc%2Ffull-record%2FWOS:000458378000005","View Full Record in Web of Science")</f>
        <v>View Full Record in Web of Science</v>
      </c>
    </row>
    <row r="211" spans="1:72" x14ac:dyDescent="0.2">
      <c r="A211" t="s">
        <v>72</v>
      </c>
      <c r="B211" t="s">
        <v>4482</v>
      </c>
      <c r="C211" t="s">
        <v>74</v>
      </c>
      <c r="D211" t="s">
        <v>74</v>
      </c>
      <c r="E211" t="s">
        <v>74</v>
      </c>
      <c r="F211" t="s">
        <v>4483</v>
      </c>
      <c r="G211" t="s">
        <v>74</v>
      </c>
      <c r="H211" t="s">
        <v>74</v>
      </c>
      <c r="I211" t="s">
        <v>4484</v>
      </c>
      <c r="J211" t="s">
        <v>1526</v>
      </c>
      <c r="K211" t="s">
        <v>74</v>
      </c>
      <c r="L211" t="s">
        <v>74</v>
      </c>
      <c r="M211" t="s">
        <v>78</v>
      </c>
      <c r="N211" t="s">
        <v>79</v>
      </c>
      <c r="O211" t="s">
        <v>74</v>
      </c>
      <c r="P211" t="s">
        <v>74</v>
      </c>
      <c r="Q211" t="s">
        <v>74</v>
      </c>
      <c r="R211" t="s">
        <v>74</v>
      </c>
      <c r="S211" t="s">
        <v>74</v>
      </c>
      <c r="T211" t="s">
        <v>4485</v>
      </c>
      <c r="U211" t="s">
        <v>4486</v>
      </c>
      <c r="V211" t="s">
        <v>4487</v>
      </c>
      <c r="W211" t="s">
        <v>4488</v>
      </c>
      <c r="X211" t="s">
        <v>4489</v>
      </c>
      <c r="Y211" t="s">
        <v>4490</v>
      </c>
      <c r="Z211" t="s">
        <v>4491</v>
      </c>
      <c r="AA211" t="s">
        <v>74</v>
      </c>
      <c r="AB211" t="s">
        <v>74</v>
      </c>
      <c r="AC211" t="s">
        <v>4492</v>
      </c>
      <c r="AD211" t="s">
        <v>4493</v>
      </c>
      <c r="AE211" t="s">
        <v>4494</v>
      </c>
      <c r="AF211" t="s">
        <v>74</v>
      </c>
      <c r="AG211">
        <v>58</v>
      </c>
      <c r="AH211">
        <v>59</v>
      </c>
      <c r="AI211">
        <v>68</v>
      </c>
      <c r="AJ211">
        <v>6</v>
      </c>
      <c r="AK211">
        <v>141</v>
      </c>
      <c r="AL211" t="s">
        <v>176</v>
      </c>
      <c r="AM211" t="s">
        <v>177</v>
      </c>
      <c r="AN211" t="s">
        <v>178</v>
      </c>
      <c r="AO211" t="s">
        <v>1538</v>
      </c>
      <c r="AP211" t="s">
        <v>1539</v>
      </c>
      <c r="AQ211" t="s">
        <v>74</v>
      </c>
      <c r="AR211" t="s">
        <v>1540</v>
      </c>
      <c r="AS211" t="s">
        <v>1541</v>
      </c>
      <c r="AT211" t="s">
        <v>4495</v>
      </c>
      <c r="AU211">
        <v>2019</v>
      </c>
      <c r="AV211">
        <v>229</v>
      </c>
      <c r="AW211" t="s">
        <v>74</v>
      </c>
      <c r="AX211" t="s">
        <v>74</v>
      </c>
      <c r="AY211" t="s">
        <v>74</v>
      </c>
      <c r="AZ211" t="s">
        <v>74</v>
      </c>
      <c r="BA211" t="s">
        <v>74</v>
      </c>
      <c r="BB211">
        <v>795</v>
      </c>
      <c r="BC211">
        <v>805</v>
      </c>
      <c r="BD211" t="s">
        <v>74</v>
      </c>
      <c r="BE211" t="s">
        <v>4496</v>
      </c>
      <c r="BF211" t="str">
        <f>HYPERLINK("http://dx.doi.org/10.1016/j.jclepro.2019.04.253","http://dx.doi.org/10.1016/j.jclepro.2019.04.253")</f>
        <v>http://dx.doi.org/10.1016/j.jclepro.2019.04.253</v>
      </c>
      <c r="BG211" t="s">
        <v>74</v>
      </c>
      <c r="BH211" t="s">
        <v>74</v>
      </c>
      <c r="BI211">
        <v>11</v>
      </c>
      <c r="BJ211" t="s">
        <v>1543</v>
      </c>
      <c r="BK211" t="s">
        <v>102</v>
      </c>
      <c r="BL211" t="s">
        <v>1544</v>
      </c>
      <c r="BM211" t="s">
        <v>4497</v>
      </c>
      <c r="BN211" t="s">
        <v>74</v>
      </c>
      <c r="BO211" t="s">
        <v>74</v>
      </c>
      <c r="BP211" t="s">
        <v>74</v>
      </c>
      <c r="BQ211" t="s">
        <v>74</v>
      </c>
      <c r="BR211" t="s">
        <v>106</v>
      </c>
      <c r="BS211" t="s">
        <v>4498</v>
      </c>
      <c r="BT211" t="str">
        <f>HYPERLINK("https%3A%2F%2Fwww.webofscience.com%2Fwos%2Fwoscc%2Ffull-record%2FWOS:000472695200068","View Full Record in Web of Science")</f>
        <v>View Full Record in Web of Science</v>
      </c>
    </row>
    <row r="212" spans="1:72" x14ac:dyDescent="0.2">
      <c r="A212" t="s">
        <v>72</v>
      </c>
      <c r="B212" t="s">
        <v>4499</v>
      </c>
      <c r="C212" t="s">
        <v>74</v>
      </c>
      <c r="D212" t="s">
        <v>74</v>
      </c>
      <c r="E212" t="s">
        <v>74</v>
      </c>
      <c r="F212" t="s">
        <v>4500</v>
      </c>
      <c r="G212" t="s">
        <v>74</v>
      </c>
      <c r="H212" t="s">
        <v>74</v>
      </c>
      <c r="I212" t="s">
        <v>4501</v>
      </c>
      <c r="J212" t="s">
        <v>4502</v>
      </c>
      <c r="K212" t="s">
        <v>74</v>
      </c>
      <c r="L212" t="s">
        <v>74</v>
      </c>
      <c r="M212" t="s">
        <v>78</v>
      </c>
      <c r="N212" t="s">
        <v>79</v>
      </c>
      <c r="O212" t="s">
        <v>74</v>
      </c>
      <c r="P212" t="s">
        <v>74</v>
      </c>
      <c r="Q212" t="s">
        <v>74</v>
      </c>
      <c r="R212" t="s">
        <v>74</v>
      </c>
      <c r="S212" t="s">
        <v>74</v>
      </c>
      <c r="T212" t="s">
        <v>4503</v>
      </c>
      <c r="U212" t="s">
        <v>4504</v>
      </c>
      <c r="V212" t="s">
        <v>4505</v>
      </c>
      <c r="W212" t="s">
        <v>4506</v>
      </c>
      <c r="X212" t="s">
        <v>4507</v>
      </c>
      <c r="Y212" t="s">
        <v>4508</v>
      </c>
      <c r="Z212" t="s">
        <v>4509</v>
      </c>
      <c r="AA212" t="s">
        <v>4510</v>
      </c>
      <c r="AB212" t="s">
        <v>74</v>
      </c>
      <c r="AC212" t="s">
        <v>4511</v>
      </c>
      <c r="AD212" t="s">
        <v>4512</v>
      </c>
      <c r="AE212" t="s">
        <v>4513</v>
      </c>
      <c r="AF212" t="s">
        <v>74</v>
      </c>
      <c r="AG212">
        <v>72</v>
      </c>
      <c r="AH212">
        <v>12</v>
      </c>
      <c r="AI212">
        <v>14</v>
      </c>
      <c r="AJ212">
        <v>17</v>
      </c>
      <c r="AK212">
        <v>86</v>
      </c>
      <c r="AL212" t="s">
        <v>123</v>
      </c>
      <c r="AM212" t="s">
        <v>124</v>
      </c>
      <c r="AN212" t="s">
        <v>125</v>
      </c>
      <c r="AO212" t="s">
        <v>4514</v>
      </c>
      <c r="AP212" t="s">
        <v>4515</v>
      </c>
      <c r="AQ212" t="s">
        <v>74</v>
      </c>
      <c r="AR212" t="s">
        <v>4516</v>
      </c>
      <c r="AS212" t="s">
        <v>4517</v>
      </c>
      <c r="AT212" t="s">
        <v>1109</v>
      </c>
      <c r="AU212">
        <v>2023</v>
      </c>
      <c r="AV212">
        <v>192</v>
      </c>
      <c r="AW212" t="s">
        <v>74</v>
      </c>
      <c r="AX212" t="s">
        <v>74</v>
      </c>
      <c r="AY212" t="s">
        <v>74</v>
      </c>
      <c r="AZ212" t="s">
        <v>74</v>
      </c>
      <c r="BA212" t="s">
        <v>74</v>
      </c>
      <c r="BB212" t="s">
        <v>74</v>
      </c>
      <c r="BC212" t="s">
        <v>74</v>
      </c>
      <c r="BD212">
        <v>105071</v>
      </c>
      <c r="BE212" t="s">
        <v>4518</v>
      </c>
      <c r="BF212" t="str">
        <f>HYPERLINK("http://dx.doi.org/10.1016/j.apsoil.2023.105071","http://dx.doi.org/10.1016/j.apsoil.2023.105071")</f>
        <v>http://dx.doi.org/10.1016/j.apsoil.2023.105071</v>
      </c>
      <c r="BG212" t="s">
        <v>74</v>
      </c>
      <c r="BH212" t="s">
        <v>4519</v>
      </c>
      <c r="BI212">
        <v>12</v>
      </c>
      <c r="BJ212" t="s">
        <v>256</v>
      </c>
      <c r="BK212" t="s">
        <v>102</v>
      </c>
      <c r="BL212" t="s">
        <v>103</v>
      </c>
      <c r="BM212" t="s">
        <v>4520</v>
      </c>
      <c r="BN212" t="s">
        <v>74</v>
      </c>
      <c r="BO212" t="s">
        <v>74</v>
      </c>
      <c r="BP212" t="s">
        <v>74</v>
      </c>
      <c r="BQ212" t="s">
        <v>74</v>
      </c>
      <c r="BR212" t="s">
        <v>106</v>
      </c>
      <c r="BS212" t="s">
        <v>4521</v>
      </c>
      <c r="BT212" t="str">
        <f>HYPERLINK("https%3A%2F%2Fwww.webofscience.com%2Fwos%2Fwoscc%2Ffull-record%2FWOS:001053445500001","View Full Record in Web of Science")</f>
        <v>View Full Record in Web of Science</v>
      </c>
    </row>
    <row r="213" spans="1:72" x14ac:dyDescent="0.2">
      <c r="A213" t="s">
        <v>72</v>
      </c>
      <c r="B213" t="s">
        <v>4522</v>
      </c>
      <c r="C213" t="s">
        <v>74</v>
      </c>
      <c r="D213" t="s">
        <v>74</v>
      </c>
      <c r="E213" t="s">
        <v>74</v>
      </c>
      <c r="F213" t="s">
        <v>4523</v>
      </c>
      <c r="G213" t="s">
        <v>74</v>
      </c>
      <c r="H213" t="s">
        <v>74</v>
      </c>
      <c r="I213" t="s">
        <v>4524</v>
      </c>
      <c r="J213" t="s">
        <v>4525</v>
      </c>
      <c r="K213" t="s">
        <v>74</v>
      </c>
      <c r="L213" t="s">
        <v>74</v>
      </c>
      <c r="M213" t="s">
        <v>78</v>
      </c>
      <c r="N213" t="s">
        <v>79</v>
      </c>
      <c r="O213" t="s">
        <v>74</v>
      </c>
      <c r="P213" t="s">
        <v>74</v>
      </c>
      <c r="Q213" t="s">
        <v>74</v>
      </c>
      <c r="R213" t="s">
        <v>74</v>
      </c>
      <c r="S213" t="s">
        <v>74</v>
      </c>
      <c r="T213" t="s">
        <v>4526</v>
      </c>
      <c r="U213" t="s">
        <v>4527</v>
      </c>
      <c r="V213" t="s">
        <v>4528</v>
      </c>
      <c r="W213" t="s">
        <v>4529</v>
      </c>
      <c r="X213" t="s">
        <v>4530</v>
      </c>
      <c r="Y213" t="s">
        <v>4531</v>
      </c>
      <c r="Z213" t="s">
        <v>4532</v>
      </c>
      <c r="AA213" t="s">
        <v>4533</v>
      </c>
      <c r="AB213" t="s">
        <v>4534</v>
      </c>
      <c r="AC213" t="s">
        <v>4535</v>
      </c>
      <c r="AD213" t="s">
        <v>4536</v>
      </c>
      <c r="AE213" t="s">
        <v>4537</v>
      </c>
      <c r="AF213" t="s">
        <v>74</v>
      </c>
      <c r="AG213">
        <v>49</v>
      </c>
      <c r="AH213">
        <v>71</v>
      </c>
      <c r="AI213">
        <v>73</v>
      </c>
      <c r="AJ213">
        <v>4</v>
      </c>
      <c r="AK213">
        <v>193</v>
      </c>
      <c r="AL213" t="s">
        <v>404</v>
      </c>
      <c r="AM213" t="s">
        <v>405</v>
      </c>
      <c r="AN213" t="s">
        <v>406</v>
      </c>
      <c r="AO213" t="s">
        <v>4538</v>
      </c>
      <c r="AP213" t="s">
        <v>4539</v>
      </c>
      <c r="AQ213" t="s">
        <v>74</v>
      </c>
      <c r="AR213" t="s">
        <v>4540</v>
      </c>
      <c r="AS213" t="s">
        <v>4541</v>
      </c>
      <c r="AT213" t="s">
        <v>4005</v>
      </c>
      <c r="AU213">
        <v>2021</v>
      </c>
      <c r="AV213">
        <v>425</v>
      </c>
      <c r="AW213" t="s">
        <v>74</v>
      </c>
      <c r="AX213" t="s">
        <v>74</v>
      </c>
      <c r="AY213" t="s">
        <v>74</v>
      </c>
      <c r="AZ213" t="s">
        <v>74</v>
      </c>
      <c r="BA213" t="s">
        <v>74</v>
      </c>
      <c r="BB213" t="s">
        <v>74</v>
      </c>
      <c r="BC213" t="s">
        <v>74</v>
      </c>
      <c r="BD213">
        <v>131653</v>
      </c>
      <c r="BE213" t="s">
        <v>4542</v>
      </c>
      <c r="BF213" t="str">
        <f>HYPERLINK("http://dx.doi.org/10.1016/j.cej.2021.131653","http://dx.doi.org/10.1016/j.cej.2021.131653")</f>
        <v>http://dx.doi.org/10.1016/j.cej.2021.131653</v>
      </c>
      <c r="BG213" t="s">
        <v>74</v>
      </c>
      <c r="BH213" t="s">
        <v>2901</v>
      </c>
      <c r="BI213">
        <v>10</v>
      </c>
      <c r="BJ213" t="s">
        <v>3590</v>
      </c>
      <c r="BK213" t="s">
        <v>102</v>
      </c>
      <c r="BL213" t="s">
        <v>2743</v>
      </c>
      <c r="BM213" t="s">
        <v>4543</v>
      </c>
      <c r="BN213" t="s">
        <v>74</v>
      </c>
      <c r="BO213" t="s">
        <v>74</v>
      </c>
      <c r="BP213" t="s">
        <v>74</v>
      </c>
      <c r="BQ213" t="s">
        <v>74</v>
      </c>
      <c r="BR213" t="s">
        <v>106</v>
      </c>
      <c r="BS213" t="s">
        <v>4544</v>
      </c>
      <c r="BT213" t="str">
        <f>HYPERLINK("https%3A%2F%2Fwww.webofscience.com%2Fwos%2Fwoscc%2Ffull-record%2FWOS:000707126000266","View Full Record in Web of Science")</f>
        <v>View Full Record in Web of Science</v>
      </c>
    </row>
    <row r="214" spans="1:72" x14ac:dyDescent="0.2">
      <c r="A214" t="s">
        <v>72</v>
      </c>
      <c r="B214" t="s">
        <v>4545</v>
      </c>
      <c r="C214" t="s">
        <v>74</v>
      </c>
      <c r="D214" t="s">
        <v>74</v>
      </c>
      <c r="E214" t="s">
        <v>74</v>
      </c>
      <c r="F214" t="s">
        <v>4546</v>
      </c>
      <c r="G214" t="s">
        <v>74</v>
      </c>
      <c r="H214" t="s">
        <v>74</v>
      </c>
      <c r="I214" t="s">
        <v>4547</v>
      </c>
      <c r="J214" t="s">
        <v>4548</v>
      </c>
      <c r="K214" t="s">
        <v>74</v>
      </c>
      <c r="L214" t="s">
        <v>74</v>
      </c>
      <c r="M214" t="s">
        <v>78</v>
      </c>
      <c r="N214" t="s">
        <v>79</v>
      </c>
      <c r="O214" t="s">
        <v>74</v>
      </c>
      <c r="P214" t="s">
        <v>74</v>
      </c>
      <c r="Q214" t="s">
        <v>74</v>
      </c>
      <c r="R214" t="s">
        <v>74</v>
      </c>
      <c r="S214" t="s">
        <v>74</v>
      </c>
      <c r="T214" t="s">
        <v>4549</v>
      </c>
      <c r="U214" t="s">
        <v>4550</v>
      </c>
      <c r="V214" t="s">
        <v>4551</v>
      </c>
      <c r="W214" t="s">
        <v>4552</v>
      </c>
      <c r="X214" t="s">
        <v>4553</v>
      </c>
      <c r="Y214" t="s">
        <v>4554</v>
      </c>
      <c r="Z214" t="s">
        <v>4555</v>
      </c>
      <c r="AA214" t="s">
        <v>4556</v>
      </c>
      <c r="AB214" t="s">
        <v>4557</v>
      </c>
      <c r="AC214" t="s">
        <v>74</v>
      </c>
      <c r="AD214" t="s">
        <v>74</v>
      </c>
      <c r="AE214" t="s">
        <v>74</v>
      </c>
      <c r="AF214" t="s">
        <v>74</v>
      </c>
      <c r="AG214">
        <v>45</v>
      </c>
      <c r="AH214">
        <v>4</v>
      </c>
      <c r="AI214">
        <v>4</v>
      </c>
      <c r="AJ214">
        <v>1</v>
      </c>
      <c r="AK214">
        <v>15</v>
      </c>
      <c r="AL214" t="s">
        <v>4558</v>
      </c>
      <c r="AM214" t="s">
        <v>4559</v>
      </c>
      <c r="AN214" t="s">
        <v>4560</v>
      </c>
      <c r="AO214" t="s">
        <v>4561</v>
      </c>
      <c r="AP214" t="s">
        <v>4562</v>
      </c>
      <c r="AQ214" t="s">
        <v>74</v>
      </c>
      <c r="AR214" t="s">
        <v>4563</v>
      </c>
      <c r="AS214" t="s">
        <v>4564</v>
      </c>
      <c r="AT214" t="s">
        <v>1109</v>
      </c>
      <c r="AU214">
        <v>2023</v>
      </c>
      <c r="AV214">
        <v>60</v>
      </c>
      <c r="AW214">
        <v>4</v>
      </c>
      <c r="AX214" t="s">
        <v>74</v>
      </c>
      <c r="AY214" t="s">
        <v>74</v>
      </c>
      <c r="AZ214" t="s">
        <v>74</v>
      </c>
      <c r="BA214" t="s">
        <v>74</v>
      </c>
      <c r="BB214">
        <v>527</v>
      </c>
      <c r="BC214">
        <v>536</v>
      </c>
      <c r="BD214" t="s">
        <v>74</v>
      </c>
      <c r="BE214" t="s">
        <v>4565</v>
      </c>
      <c r="BF214" t="str">
        <f>HYPERLINK("http://dx.doi.org/10.21162/PAKJAS/23.77","http://dx.doi.org/10.21162/PAKJAS/23.77")</f>
        <v>http://dx.doi.org/10.21162/PAKJAS/23.77</v>
      </c>
      <c r="BG214" t="s">
        <v>74</v>
      </c>
      <c r="BH214" t="s">
        <v>74</v>
      </c>
      <c r="BI214">
        <v>10</v>
      </c>
      <c r="BJ214" t="s">
        <v>101</v>
      </c>
      <c r="BK214" t="s">
        <v>102</v>
      </c>
      <c r="BL214" t="s">
        <v>103</v>
      </c>
      <c r="BM214" t="s">
        <v>4566</v>
      </c>
      <c r="BN214" t="s">
        <v>74</v>
      </c>
      <c r="BO214" t="s">
        <v>916</v>
      </c>
      <c r="BP214" t="s">
        <v>74</v>
      </c>
      <c r="BQ214" t="s">
        <v>74</v>
      </c>
      <c r="BR214" t="s">
        <v>106</v>
      </c>
      <c r="BS214" t="s">
        <v>4567</v>
      </c>
      <c r="BT214" t="str">
        <f>HYPERLINK("https%3A%2F%2Fwww.webofscience.com%2Fwos%2Fwoscc%2Ffull-record%2FWOS:001125328000021","View Full Record in Web of Science")</f>
        <v>View Full Record in Web of Science</v>
      </c>
    </row>
    <row r="215" spans="1:72" x14ac:dyDescent="0.2">
      <c r="A215" t="s">
        <v>72</v>
      </c>
      <c r="B215" t="s">
        <v>4568</v>
      </c>
      <c r="C215" t="s">
        <v>74</v>
      </c>
      <c r="D215" t="s">
        <v>74</v>
      </c>
      <c r="E215" t="s">
        <v>74</v>
      </c>
      <c r="F215" t="s">
        <v>4569</v>
      </c>
      <c r="G215" t="s">
        <v>74</v>
      </c>
      <c r="H215" t="s">
        <v>74</v>
      </c>
      <c r="I215" t="s">
        <v>4570</v>
      </c>
      <c r="J215" t="s">
        <v>995</v>
      </c>
      <c r="K215" t="s">
        <v>74</v>
      </c>
      <c r="L215" t="s">
        <v>74</v>
      </c>
      <c r="M215" t="s">
        <v>78</v>
      </c>
      <c r="N215" t="s">
        <v>79</v>
      </c>
      <c r="O215" t="s">
        <v>74</v>
      </c>
      <c r="P215" t="s">
        <v>74</v>
      </c>
      <c r="Q215" t="s">
        <v>74</v>
      </c>
      <c r="R215" t="s">
        <v>74</v>
      </c>
      <c r="S215" t="s">
        <v>74</v>
      </c>
      <c r="T215" t="s">
        <v>4571</v>
      </c>
      <c r="U215" t="s">
        <v>4572</v>
      </c>
      <c r="V215" t="s">
        <v>4573</v>
      </c>
      <c r="W215" t="s">
        <v>4574</v>
      </c>
      <c r="X215" t="s">
        <v>4575</v>
      </c>
      <c r="Y215" t="s">
        <v>4576</v>
      </c>
      <c r="Z215" t="s">
        <v>4577</v>
      </c>
      <c r="AA215" t="s">
        <v>4578</v>
      </c>
      <c r="AB215" t="s">
        <v>74</v>
      </c>
      <c r="AC215" t="s">
        <v>4579</v>
      </c>
      <c r="AD215" t="s">
        <v>4580</v>
      </c>
      <c r="AE215" t="s">
        <v>4581</v>
      </c>
      <c r="AF215" t="s">
        <v>74</v>
      </c>
      <c r="AG215">
        <v>35</v>
      </c>
      <c r="AH215">
        <v>3</v>
      </c>
      <c r="AI215">
        <v>5</v>
      </c>
      <c r="AJ215">
        <v>3</v>
      </c>
      <c r="AK215">
        <v>27</v>
      </c>
      <c r="AL215" t="s">
        <v>123</v>
      </c>
      <c r="AM215" t="s">
        <v>124</v>
      </c>
      <c r="AN215" t="s">
        <v>125</v>
      </c>
      <c r="AO215" t="s">
        <v>1008</v>
      </c>
      <c r="AP215" t="s">
        <v>1009</v>
      </c>
      <c r="AQ215" t="s">
        <v>74</v>
      </c>
      <c r="AR215" t="s">
        <v>1010</v>
      </c>
      <c r="AS215" t="s">
        <v>1011</v>
      </c>
      <c r="AT215" t="s">
        <v>4582</v>
      </c>
      <c r="AU215">
        <v>2024</v>
      </c>
      <c r="AV215">
        <v>908</v>
      </c>
      <c r="AW215" t="s">
        <v>74</v>
      </c>
      <c r="AX215" t="s">
        <v>74</v>
      </c>
      <c r="AY215" t="s">
        <v>74</v>
      </c>
      <c r="AZ215" t="s">
        <v>74</v>
      </c>
      <c r="BA215" t="s">
        <v>74</v>
      </c>
      <c r="BB215" t="s">
        <v>74</v>
      </c>
      <c r="BC215" t="s">
        <v>74</v>
      </c>
      <c r="BD215">
        <v>168157</v>
      </c>
      <c r="BE215" t="s">
        <v>4583</v>
      </c>
      <c r="BF215" t="str">
        <f>HYPERLINK("http://dx.doi.org/10.1016/j.scitotenv.2023.168157","http://dx.doi.org/10.1016/j.scitotenv.2023.168157")</f>
        <v>http://dx.doi.org/10.1016/j.scitotenv.2023.168157</v>
      </c>
      <c r="BG215" t="s">
        <v>74</v>
      </c>
      <c r="BH215" t="s">
        <v>4584</v>
      </c>
      <c r="BI215">
        <v>8</v>
      </c>
      <c r="BJ215" t="s">
        <v>567</v>
      </c>
      <c r="BK215" t="s">
        <v>102</v>
      </c>
      <c r="BL215" t="s">
        <v>568</v>
      </c>
      <c r="BM215" t="s">
        <v>4585</v>
      </c>
      <c r="BN215">
        <v>37923266</v>
      </c>
      <c r="BO215" t="s">
        <v>74</v>
      </c>
      <c r="BP215" t="s">
        <v>74</v>
      </c>
      <c r="BQ215" t="s">
        <v>74</v>
      </c>
      <c r="BR215" t="s">
        <v>106</v>
      </c>
      <c r="BS215" t="s">
        <v>4586</v>
      </c>
      <c r="BT215" t="str">
        <f>HYPERLINK("https%3A%2F%2Fwww.webofscience.com%2Fwos%2Fwoscc%2Ffull-record%2FWOS:001111313800001","View Full Record in Web of Science")</f>
        <v>View Full Record in Web of Science</v>
      </c>
    </row>
    <row r="216" spans="1:72" x14ac:dyDescent="0.2">
      <c r="A216" t="s">
        <v>72</v>
      </c>
      <c r="B216" t="s">
        <v>4587</v>
      </c>
      <c r="C216" t="s">
        <v>74</v>
      </c>
      <c r="D216" t="s">
        <v>74</v>
      </c>
      <c r="E216" t="s">
        <v>74</v>
      </c>
      <c r="F216" t="s">
        <v>4588</v>
      </c>
      <c r="G216" t="s">
        <v>74</v>
      </c>
      <c r="H216" t="s">
        <v>74</v>
      </c>
      <c r="I216" t="s">
        <v>4589</v>
      </c>
      <c r="J216" t="s">
        <v>1526</v>
      </c>
      <c r="K216" t="s">
        <v>74</v>
      </c>
      <c r="L216" t="s">
        <v>74</v>
      </c>
      <c r="M216" t="s">
        <v>78</v>
      </c>
      <c r="N216" t="s">
        <v>79</v>
      </c>
      <c r="O216" t="s">
        <v>74</v>
      </c>
      <c r="P216" t="s">
        <v>74</v>
      </c>
      <c r="Q216" t="s">
        <v>74</v>
      </c>
      <c r="R216" t="s">
        <v>74</v>
      </c>
      <c r="S216" t="s">
        <v>74</v>
      </c>
      <c r="T216" t="s">
        <v>4590</v>
      </c>
      <c r="U216" t="s">
        <v>74</v>
      </c>
      <c r="V216" t="s">
        <v>4591</v>
      </c>
      <c r="W216" t="s">
        <v>4592</v>
      </c>
      <c r="X216" t="s">
        <v>74</v>
      </c>
      <c r="Y216" t="s">
        <v>4593</v>
      </c>
      <c r="Z216" t="s">
        <v>4594</v>
      </c>
      <c r="AA216" t="s">
        <v>74</v>
      </c>
      <c r="AB216" t="s">
        <v>4595</v>
      </c>
      <c r="AC216" t="s">
        <v>4596</v>
      </c>
      <c r="AD216" t="s">
        <v>4597</v>
      </c>
      <c r="AE216" t="s">
        <v>4598</v>
      </c>
      <c r="AF216" t="s">
        <v>74</v>
      </c>
      <c r="AG216">
        <v>35</v>
      </c>
      <c r="AH216">
        <v>27</v>
      </c>
      <c r="AI216">
        <v>32</v>
      </c>
      <c r="AJ216">
        <v>0</v>
      </c>
      <c r="AK216">
        <v>68</v>
      </c>
      <c r="AL216" t="s">
        <v>176</v>
      </c>
      <c r="AM216" t="s">
        <v>177</v>
      </c>
      <c r="AN216" t="s">
        <v>178</v>
      </c>
      <c r="AO216" t="s">
        <v>1538</v>
      </c>
      <c r="AP216" t="s">
        <v>1539</v>
      </c>
      <c r="AQ216" t="s">
        <v>74</v>
      </c>
      <c r="AR216" t="s">
        <v>1540</v>
      </c>
      <c r="AS216" t="s">
        <v>1541</v>
      </c>
      <c r="AT216" t="s">
        <v>2229</v>
      </c>
      <c r="AU216">
        <v>2016</v>
      </c>
      <c r="AV216">
        <v>116</v>
      </c>
      <c r="AW216" t="s">
        <v>74</v>
      </c>
      <c r="AX216" t="s">
        <v>74</v>
      </c>
      <c r="AY216" t="s">
        <v>74</v>
      </c>
      <c r="AZ216" t="s">
        <v>74</v>
      </c>
      <c r="BA216" t="s">
        <v>74</v>
      </c>
      <c r="BB216">
        <v>50</v>
      </c>
      <c r="BC216">
        <v>60</v>
      </c>
      <c r="BD216" t="s">
        <v>74</v>
      </c>
      <c r="BE216" t="s">
        <v>4599</v>
      </c>
      <c r="BF216" t="str">
        <f>HYPERLINK("http://dx.doi.org/10.1016/j.jclepro.2015.12.086","http://dx.doi.org/10.1016/j.jclepro.2015.12.086")</f>
        <v>http://dx.doi.org/10.1016/j.jclepro.2015.12.086</v>
      </c>
      <c r="BG216" t="s">
        <v>74</v>
      </c>
      <c r="BH216" t="s">
        <v>74</v>
      </c>
      <c r="BI216">
        <v>11</v>
      </c>
      <c r="BJ216" t="s">
        <v>1543</v>
      </c>
      <c r="BK216" t="s">
        <v>102</v>
      </c>
      <c r="BL216" t="s">
        <v>1544</v>
      </c>
      <c r="BM216" t="s">
        <v>4600</v>
      </c>
      <c r="BN216" t="s">
        <v>74</v>
      </c>
      <c r="BO216" t="s">
        <v>74</v>
      </c>
      <c r="BP216" t="s">
        <v>74</v>
      </c>
      <c r="BQ216" t="s">
        <v>74</v>
      </c>
      <c r="BR216" t="s">
        <v>106</v>
      </c>
      <c r="BS216" t="s">
        <v>4601</v>
      </c>
      <c r="BT216" t="str">
        <f>HYPERLINK("https%3A%2F%2Fwww.webofscience.com%2Fwos%2Fwoscc%2Ffull-record%2FWOS:000370885800006","View Full Record in Web of Science")</f>
        <v>View Full Record in Web of Science</v>
      </c>
    </row>
    <row r="217" spans="1:72" x14ac:dyDescent="0.2">
      <c r="A217" t="s">
        <v>72</v>
      </c>
      <c r="B217" t="s">
        <v>4602</v>
      </c>
      <c r="C217" t="s">
        <v>74</v>
      </c>
      <c r="D217" t="s">
        <v>74</v>
      </c>
      <c r="E217" t="s">
        <v>74</v>
      </c>
      <c r="F217" t="s">
        <v>4603</v>
      </c>
      <c r="G217" t="s">
        <v>74</v>
      </c>
      <c r="H217" t="s">
        <v>74</v>
      </c>
      <c r="I217" t="s">
        <v>4604</v>
      </c>
      <c r="J217" t="s">
        <v>1451</v>
      </c>
      <c r="K217" t="s">
        <v>74</v>
      </c>
      <c r="L217" t="s">
        <v>74</v>
      </c>
      <c r="M217" t="s">
        <v>78</v>
      </c>
      <c r="N217" t="s">
        <v>79</v>
      </c>
      <c r="O217" t="s">
        <v>74</v>
      </c>
      <c r="P217" t="s">
        <v>74</v>
      </c>
      <c r="Q217" t="s">
        <v>74</v>
      </c>
      <c r="R217" t="s">
        <v>74</v>
      </c>
      <c r="S217" t="s">
        <v>74</v>
      </c>
      <c r="T217" t="s">
        <v>4605</v>
      </c>
      <c r="U217" t="s">
        <v>4606</v>
      </c>
      <c r="V217" t="s">
        <v>4607</v>
      </c>
      <c r="W217" t="s">
        <v>4608</v>
      </c>
      <c r="X217" t="s">
        <v>4609</v>
      </c>
      <c r="Y217" t="s">
        <v>4610</v>
      </c>
      <c r="Z217" t="s">
        <v>4611</v>
      </c>
      <c r="AA217" t="s">
        <v>4612</v>
      </c>
      <c r="AB217" t="s">
        <v>4613</v>
      </c>
      <c r="AC217" t="s">
        <v>4614</v>
      </c>
      <c r="AD217" t="s">
        <v>4615</v>
      </c>
      <c r="AE217" t="s">
        <v>4616</v>
      </c>
      <c r="AF217" t="s">
        <v>74</v>
      </c>
      <c r="AG217">
        <v>66</v>
      </c>
      <c r="AH217">
        <v>25</v>
      </c>
      <c r="AI217">
        <v>27</v>
      </c>
      <c r="AJ217">
        <v>1</v>
      </c>
      <c r="AK217">
        <v>68</v>
      </c>
      <c r="AL217" t="s">
        <v>123</v>
      </c>
      <c r="AM217" t="s">
        <v>124</v>
      </c>
      <c r="AN217" t="s">
        <v>125</v>
      </c>
      <c r="AO217" t="s">
        <v>1464</v>
      </c>
      <c r="AP217" t="s">
        <v>1465</v>
      </c>
      <c r="AQ217" t="s">
        <v>74</v>
      </c>
      <c r="AR217" t="s">
        <v>1466</v>
      </c>
      <c r="AS217" t="s">
        <v>1467</v>
      </c>
      <c r="AT217" t="s">
        <v>3199</v>
      </c>
      <c r="AU217">
        <v>2015</v>
      </c>
      <c r="AV217">
        <v>203</v>
      </c>
      <c r="AW217" t="s">
        <v>74</v>
      </c>
      <c r="AX217" t="s">
        <v>74</v>
      </c>
      <c r="AY217" t="s">
        <v>74</v>
      </c>
      <c r="AZ217" t="s">
        <v>74</v>
      </c>
      <c r="BA217" t="s">
        <v>74</v>
      </c>
      <c r="BB217">
        <v>110</v>
      </c>
      <c r="BC217">
        <v>118</v>
      </c>
      <c r="BD217" t="s">
        <v>74</v>
      </c>
      <c r="BE217" t="s">
        <v>4617</v>
      </c>
      <c r="BF217" t="str">
        <f>HYPERLINK("http://dx.doi.org/10.1016/j.agee.2015.02.001","http://dx.doi.org/10.1016/j.agee.2015.02.001")</f>
        <v>http://dx.doi.org/10.1016/j.agee.2015.02.001</v>
      </c>
      <c r="BG217" t="s">
        <v>74</v>
      </c>
      <c r="BH217" t="s">
        <v>74</v>
      </c>
      <c r="BI217">
        <v>9</v>
      </c>
      <c r="BJ217" t="s">
        <v>1470</v>
      </c>
      <c r="BK217" t="s">
        <v>102</v>
      </c>
      <c r="BL217" t="s">
        <v>1471</v>
      </c>
      <c r="BM217" t="s">
        <v>4618</v>
      </c>
      <c r="BN217" t="s">
        <v>74</v>
      </c>
      <c r="BO217" t="s">
        <v>541</v>
      </c>
      <c r="BP217" t="s">
        <v>74</v>
      </c>
      <c r="BQ217" t="s">
        <v>74</v>
      </c>
      <c r="BR217" t="s">
        <v>106</v>
      </c>
      <c r="BS217" t="s">
        <v>4619</v>
      </c>
      <c r="BT217" t="str">
        <f>HYPERLINK("https%3A%2F%2Fwww.webofscience.com%2Fwos%2Fwoscc%2Ffull-record%2FWOS:000352745500014","View Full Record in Web of Science")</f>
        <v>View Full Record in Web of Science</v>
      </c>
    </row>
    <row r="218" spans="1:72" x14ac:dyDescent="0.2">
      <c r="A218" t="s">
        <v>72</v>
      </c>
      <c r="B218" t="s">
        <v>4620</v>
      </c>
      <c r="C218" t="s">
        <v>74</v>
      </c>
      <c r="D218" t="s">
        <v>74</v>
      </c>
      <c r="E218" t="s">
        <v>74</v>
      </c>
      <c r="F218" t="s">
        <v>4621</v>
      </c>
      <c r="G218" t="s">
        <v>74</v>
      </c>
      <c r="H218" t="s">
        <v>74</v>
      </c>
      <c r="I218" t="s">
        <v>4622</v>
      </c>
      <c r="J218" t="s">
        <v>645</v>
      </c>
      <c r="K218" t="s">
        <v>74</v>
      </c>
      <c r="L218" t="s">
        <v>74</v>
      </c>
      <c r="M218" t="s">
        <v>78</v>
      </c>
      <c r="N218" t="s">
        <v>79</v>
      </c>
      <c r="O218" t="s">
        <v>74</v>
      </c>
      <c r="P218" t="s">
        <v>74</v>
      </c>
      <c r="Q218" t="s">
        <v>74</v>
      </c>
      <c r="R218" t="s">
        <v>74</v>
      </c>
      <c r="S218" t="s">
        <v>74</v>
      </c>
      <c r="T218" t="s">
        <v>4623</v>
      </c>
      <c r="U218" t="s">
        <v>4624</v>
      </c>
      <c r="V218" t="s">
        <v>4625</v>
      </c>
      <c r="W218" t="s">
        <v>4626</v>
      </c>
      <c r="X218" t="s">
        <v>4627</v>
      </c>
      <c r="Y218" t="s">
        <v>4628</v>
      </c>
      <c r="Z218" t="s">
        <v>4629</v>
      </c>
      <c r="AA218" t="s">
        <v>74</v>
      </c>
      <c r="AB218" t="s">
        <v>74</v>
      </c>
      <c r="AC218" t="s">
        <v>4630</v>
      </c>
      <c r="AD218" t="s">
        <v>4631</v>
      </c>
      <c r="AE218" t="s">
        <v>4632</v>
      </c>
      <c r="AF218" t="s">
        <v>74</v>
      </c>
      <c r="AG218">
        <v>31</v>
      </c>
      <c r="AH218">
        <v>5</v>
      </c>
      <c r="AI218">
        <v>7</v>
      </c>
      <c r="AJ218">
        <v>5</v>
      </c>
      <c r="AK218">
        <v>68</v>
      </c>
      <c r="AL218" t="s">
        <v>655</v>
      </c>
      <c r="AM218" t="s">
        <v>405</v>
      </c>
      <c r="AN218" t="s">
        <v>656</v>
      </c>
      <c r="AO218" t="s">
        <v>74</v>
      </c>
      <c r="AP218" t="s">
        <v>657</v>
      </c>
      <c r="AQ218" t="s">
        <v>74</v>
      </c>
      <c r="AR218" t="s">
        <v>658</v>
      </c>
      <c r="AS218" t="s">
        <v>659</v>
      </c>
      <c r="AT218" t="s">
        <v>4633</v>
      </c>
      <c r="AU218">
        <v>2022</v>
      </c>
      <c r="AV218">
        <v>10</v>
      </c>
      <c r="AW218" t="s">
        <v>74</v>
      </c>
      <c r="AX218" t="s">
        <v>74</v>
      </c>
      <c r="AY218" t="s">
        <v>74</v>
      </c>
      <c r="AZ218" t="s">
        <v>74</v>
      </c>
      <c r="BA218" t="s">
        <v>74</v>
      </c>
      <c r="BB218" t="s">
        <v>74</v>
      </c>
      <c r="BC218" t="s">
        <v>74</v>
      </c>
      <c r="BD218">
        <v>1053715</v>
      </c>
      <c r="BE218" t="s">
        <v>4634</v>
      </c>
      <c r="BF218" t="str">
        <f>HYPERLINK("http://dx.doi.org/10.3389/fenvs.2022.1053715","http://dx.doi.org/10.3389/fenvs.2022.1053715")</f>
        <v>http://dx.doi.org/10.3389/fenvs.2022.1053715</v>
      </c>
      <c r="BG218" t="s">
        <v>74</v>
      </c>
      <c r="BH218" t="s">
        <v>74</v>
      </c>
      <c r="BI218">
        <v>16</v>
      </c>
      <c r="BJ218" t="s">
        <v>567</v>
      </c>
      <c r="BK218" t="s">
        <v>102</v>
      </c>
      <c r="BL218" t="s">
        <v>568</v>
      </c>
      <c r="BM218" t="s">
        <v>4635</v>
      </c>
      <c r="BN218" t="s">
        <v>74</v>
      </c>
      <c r="BO218" t="s">
        <v>161</v>
      </c>
      <c r="BP218" t="s">
        <v>74</v>
      </c>
      <c r="BQ218" t="s">
        <v>74</v>
      </c>
      <c r="BR218" t="s">
        <v>106</v>
      </c>
      <c r="BS218" t="s">
        <v>4636</v>
      </c>
      <c r="BT218" t="str">
        <f>HYPERLINK("https%3A%2F%2Fwww.webofscience.com%2Fwos%2Fwoscc%2Ffull-record%2FWOS:000895276200001","View Full Record in Web of Science")</f>
        <v>View Full Record in Web of Science</v>
      </c>
    </row>
    <row r="219" spans="1:72" x14ac:dyDescent="0.2">
      <c r="A219" t="s">
        <v>72</v>
      </c>
      <c r="B219" t="s">
        <v>4637</v>
      </c>
      <c r="C219" t="s">
        <v>74</v>
      </c>
      <c r="D219" t="s">
        <v>74</v>
      </c>
      <c r="E219" t="s">
        <v>74</v>
      </c>
      <c r="F219" t="s">
        <v>4638</v>
      </c>
      <c r="G219" t="s">
        <v>74</v>
      </c>
      <c r="H219" t="s">
        <v>74</v>
      </c>
      <c r="I219" t="s">
        <v>4639</v>
      </c>
      <c r="J219" t="s">
        <v>2726</v>
      </c>
      <c r="K219" t="s">
        <v>74</v>
      </c>
      <c r="L219" t="s">
        <v>74</v>
      </c>
      <c r="M219" t="s">
        <v>78</v>
      </c>
      <c r="N219" t="s">
        <v>79</v>
      </c>
      <c r="O219" t="s">
        <v>74</v>
      </c>
      <c r="P219" t="s">
        <v>74</v>
      </c>
      <c r="Q219" t="s">
        <v>74</v>
      </c>
      <c r="R219" t="s">
        <v>74</v>
      </c>
      <c r="S219" t="s">
        <v>74</v>
      </c>
      <c r="T219" t="s">
        <v>4640</v>
      </c>
      <c r="U219" t="s">
        <v>74</v>
      </c>
      <c r="V219" t="s">
        <v>4641</v>
      </c>
      <c r="W219" t="s">
        <v>4642</v>
      </c>
      <c r="X219" t="s">
        <v>4643</v>
      </c>
      <c r="Y219" t="s">
        <v>4644</v>
      </c>
      <c r="Z219" t="s">
        <v>4645</v>
      </c>
      <c r="AA219" t="s">
        <v>74</v>
      </c>
      <c r="AB219" t="s">
        <v>74</v>
      </c>
      <c r="AC219" t="s">
        <v>4646</v>
      </c>
      <c r="AD219" t="s">
        <v>4647</v>
      </c>
      <c r="AE219" t="s">
        <v>4648</v>
      </c>
      <c r="AF219" t="s">
        <v>74</v>
      </c>
      <c r="AG219">
        <v>22</v>
      </c>
      <c r="AH219">
        <v>3</v>
      </c>
      <c r="AI219">
        <v>4</v>
      </c>
      <c r="AJ219">
        <v>4</v>
      </c>
      <c r="AK219">
        <v>55</v>
      </c>
      <c r="AL219" t="s">
        <v>222</v>
      </c>
      <c r="AM219" t="s">
        <v>223</v>
      </c>
      <c r="AN219" t="s">
        <v>478</v>
      </c>
      <c r="AO219" t="s">
        <v>74</v>
      </c>
      <c r="AP219" t="s">
        <v>2739</v>
      </c>
      <c r="AQ219" t="s">
        <v>74</v>
      </c>
      <c r="AR219" t="s">
        <v>2726</v>
      </c>
      <c r="AS219" t="s">
        <v>2740</v>
      </c>
      <c r="AT219" t="s">
        <v>183</v>
      </c>
      <c r="AU219">
        <v>2022</v>
      </c>
      <c r="AV219">
        <v>10</v>
      </c>
      <c r="AW219">
        <v>7</v>
      </c>
      <c r="AX219" t="s">
        <v>74</v>
      </c>
      <c r="AY219" t="s">
        <v>74</v>
      </c>
      <c r="AZ219" t="s">
        <v>74</v>
      </c>
      <c r="BA219" t="s">
        <v>74</v>
      </c>
      <c r="BB219" t="s">
        <v>74</v>
      </c>
      <c r="BC219" t="s">
        <v>74</v>
      </c>
      <c r="BD219">
        <v>1332</v>
      </c>
      <c r="BE219" t="s">
        <v>4649</v>
      </c>
      <c r="BF219" t="str">
        <f>HYPERLINK("http://dx.doi.org/10.3390/pr10071332","http://dx.doi.org/10.3390/pr10071332")</f>
        <v>http://dx.doi.org/10.3390/pr10071332</v>
      </c>
      <c r="BG219" t="s">
        <v>74</v>
      </c>
      <c r="BH219" t="s">
        <v>74</v>
      </c>
      <c r="BI219">
        <v>13</v>
      </c>
      <c r="BJ219" t="s">
        <v>2742</v>
      </c>
      <c r="BK219" t="s">
        <v>102</v>
      </c>
      <c r="BL219" t="s">
        <v>2743</v>
      </c>
      <c r="BM219" t="s">
        <v>4650</v>
      </c>
      <c r="BN219" t="s">
        <v>74</v>
      </c>
      <c r="BO219" t="s">
        <v>161</v>
      </c>
      <c r="BP219" t="s">
        <v>74</v>
      </c>
      <c r="BQ219" t="s">
        <v>74</v>
      </c>
      <c r="BR219" t="s">
        <v>106</v>
      </c>
      <c r="BS219" t="s">
        <v>4651</v>
      </c>
      <c r="BT219" t="str">
        <f>HYPERLINK("https%3A%2F%2Fwww.webofscience.com%2Fwos%2Fwoscc%2Ffull-record%2FWOS:000831510300001","View Full Record in Web of Science")</f>
        <v>View Full Record in Web of Science</v>
      </c>
    </row>
    <row r="220" spans="1:72" x14ac:dyDescent="0.2">
      <c r="A220" t="s">
        <v>72</v>
      </c>
      <c r="B220" t="s">
        <v>4652</v>
      </c>
      <c r="C220" t="s">
        <v>74</v>
      </c>
      <c r="D220" t="s">
        <v>74</v>
      </c>
      <c r="E220" t="s">
        <v>74</v>
      </c>
      <c r="F220" t="s">
        <v>4653</v>
      </c>
      <c r="G220" t="s">
        <v>74</v>
      </c>
      <c r="H220" t="s">
        <v>74</v>
      </c>
      <c r="I220" t="s">
        <v>4654</v>
      </c>
      <c r="J220" t="s">
        <v>1385</v>
      </c>
      <c r="K220" t="s">
        <v>74</v>
      </c>
      <c r="L220" t="s">
        <v>74</v>
      </c>
      <c r="M220" t="s">
        <v>78</v>
      </c>
      <c r="N220" t="s">
        <v>79</v>
      </c>
      <c r="O220" t="s">
        <v>74</v>
      </c>
      <c r="P220" t="s">
        <v>74</v>
      </c>
      <c r="Q220" t="s">
        <v>74</v>
      </c>
      <c r="R220" t="s">
        <v>74</v>
      </c>
      <c r="S220" t="s">
        <v>74</v>
      </c>
      <c r="T220" t="s">
        <v>4655</v>
      </c>
      <c r="U220" t="s">
        <v>4656</v>
      </c>
      <c r="V220" t="s">
        <v>4657</v>
      </c>
      <c r="W220" t="s">
        <v>4658</v>
      </c>
      <c r="X220" t="s">
        <v>4659</v>
      </c>
      <c r="Y220" t="s">
        <v>4660</v>
      </c>
      <c r="Z220" t="s">
        <v>4661</v>
      </c>
      <c r="AA220" t="s">
        <v>4662</v>
      </c>
      <c r="AB220" t="s">
        <v>4663</v>
      </c>
      <c r="AC220" t="s">
        <v>4664</v>
      </c>
      <c r="AD220" t="s">
        <v>4664</v>
      </c>
      <c r="AE220" t="s">
        <v>4665</v>
      </c>
      <c r="AF220" t="s">
        <v>74</v>
      </c>
      <c r="AG220">
        <v>77</v>
      </c>
      <c r="AH220">
        <v>7</v>
      </c>
      <c r="AI220">
        <v>7</v>
      </c>
      <c r="AJ220">
        <v>3</v>
      </c>
      <c r="AK220">
        <v>28</v>
      </c>
      <c r="AL220" t="s">
        <v>934</v>
      </c>
      <c r="AM220" t="s">
        <v>177</v>
      </c>
      <c r="AN220" t="s">
        <v>935</v>
      </c>
      <c r="AO220" t="s">
        <v>1397</v>
      </c>
      <c r="AP220" t="s">
        <v>1398</v>
      </c>
      <c r="AQ220" t="s">
        <v>74</v>
      </c>
      <c r="AR220" t="s">
        <v>1399</v>
      </c>
      <c r="AS220" t="s">
        <v>1400</v>
      </c>
      <c r="AT220" t="s">
        <v>805</v>
      </c>
      <c r="AU220">
        <v>2015</v>
      </c>
      <c r="AV220">
        <v>82</v>
      </c>
      <c r="AW220" t="s">
        <v>74</v>
      </c>
      <c r="AX220" t="s">
        <v>74</v>
      </c>
      <c r="AY220" t="s">
        <v>74</v>
      </c>
      <c r="AZ220" t="s">
        <v>74</v>
      </c>
      <c r="BA220" t="s">
        <v>74</v>
      </c>
      <c r="BB220">
        <v>3</v>
      </c>
      <c r="BC220">
        <v>12</v>
      </c>
      <c r="BD220" t="s">
        <v>74</v>
      </c>
      <c r="BE220" t="s">
        <v>4666</v>
      </c>
      <c r="BF220" t="str">
        <f>HYPERLINK("http://dx.doi.org/10.1016/j.biombioe.2015.04.025","http://dx.doi.org/10.1016/j.biombioe.2015.04.025")</f>
        <v>http://dx.doi.org/10.1016/j.biombioe.2015.04.025</v>
      </c>
      <c r="BG220" t="s">
        <v>74</v>
      </c>
      <c r="BH220" t="s">
        <v>74</v>
      </c>
      <c r="BI220">
        <v>10</v>
      </c>
      <c r="BJ220" t="s">
        <v>1402</v>
      </c>
      <c r="BK220" t="s">
        <v>186</v>
      </c>
      <c r="BL220" t="s">
        <v>890</v>
      </c>
      <c r="BM220" t="s">
        <v>4667</v>
      </c>
      <c r="BN220" t="s">
        <v>74</v>
      </c>
      <c r="BO220" t="s">
        <v>74</v>
      </c>
      <c r="BP220" t="s">
        <v>74</v>
      </c>
      <c r="BQ220" t="s">
        <v>74</v>
      </c>
      <c r="BR220" t="s">
        <v>106</v>
      </c>
      <c r="BS220" t="s">
        <v>4668</v>
      </c>
      <c r="BT220" t="str">
        <f>HYPERLINK("https%3A%2F%2Fwww.webofscience.com%2Fwos%2Fwoscc%2Ffull-record%2FWOS:000364433300002","View Full Record in Web of Science")</f>
        <v>View Full Record in Web of Science</v>
      </c>
    </row>
    <row r="221" spans="1:72" x14ac:dyDescent="0.2">
      <c r="A221" t="s">
        <v>72</v>
      </c>
      <c r="B221" t="s">
        <v>4669</v>
      </c>
      <c r="C221" t="s">
        <v>74</v>
      </c>
      <c r="D221" t="s">
        <v>74</v>
      </c>
      <c r="E221" t="s">
        <v>74</v>
      </c>
      <c r="F221" t="s">
        <v>4670</v>
      </c>
      <c r="G221" t="s">
        <v>74</v>
      </c>
      <c r="H221" t="s">
        <v>74</v>
      </c>
      <c r="I221" t="s">
        <v>4671</v>
      </c>
      <c r="J221" t="s">
        <v>4672</v>
      </c>
      <c r="K221" t="s">
        <v>74</v>
      </c>
      <c r="L221" t="s">
        <v>74</v>
      </c>
      <c r="M221" t="s">
        <v>78</v>
      </c>
      <c r="N221" t="s">
        <v>4673</v>
      </c>
      <c r="O221" t="s">
        <v>4674</v>
      </c>
      <c r="P221" t="s">
        <v>4675</v>
      </c>
      <c r="Q221" t="s">
        <v>4676</v>
      </c>
      <c r="R221" t="s">
        <v>4677</v>
      </c>
      <c r="S221" t="s">
        <v>74</v>
      </c>
      <c r="T221" t="s">
        <v>4678</v>
      </c>
      <c r="U221" t="s">
        <v>74</v>
      </c>
      <c r="V221" t="s">
        <v>4679</v>
      </c>
      <c r="W221" t="s">
        <v>4680</v>
      </c>
      <c r="X221" t="s">
        <v>4681</v>
      </c>
      <c r="Y221" t="s">
        <v>4682</v>
      </c>
      <c r="Z221" t="s">
        <v>4683</v>
      </c>
      <c r="AA221" t="s">
        <v>4684</v>
      </c>
      <c r="AB221" t="s">
        <v>4685</v>
      </c>
      <c r="AC221" t="s">
        <v>74</v>
      </c>
      <c r="AD221" t="s">
        <v>74</v>
      </c>
      <c r="AE221" t="s">
        <v>74</v>
      </c>
      <c r="AF221" t="s">
        <v>74</v>
      </c>
      <c r="AG221">
        <v>7</v>
      </c>
      <c r="AH221">
        <v>18</v>
      </c>
      <c r="AI221">
        <v>20</v>
      </c>
      <c r="AJ221">
        <v>0</v>
      </c>
      <c r="AK221">
        <v>42</v>
      </c>
      <c r="AL221" t="s">
        <v>2162</v>
      </c>
      <c r="AM221" t="s">
        <v>124</v>
      </c>
      <c r="AN221" t="s">
        <v>2163</v>
      </c>
      <c r="AO221" t="s">
        <v>4686</v>
      </c>
      <c r="AP221" t="s">
        <v>4687</v>
      </c>
      <c r="AQ221" t="s">
        <v>74</v>
      </c>
      <c r="AR221" t="s">
        <v>4688</v>
      </c>
      <c r="AS221" t="s">
        <v>4689</v>
      </c>
      <c r="AT221" t="s">
        <v>4690</v>
      </c>
      <c r="AU221">
        <v>2015</v>
      </c>
      <c r="AV221">
        <v>306</v>
      </c>
      <c r="AW221" t="s">
        <v>74</v>
      </c>
      <c r="AX221" t="s">
        <v>74</v>
      </c>
      <c r="AY221" t="s">
        <v>74</v>
      </c>
      <c r="AZ221" t="s">
        <v>1070</v>
      </c>
      <c r="BA221" t="s">
        <v>74</v>
      </c>
      <c r="BB221">
        <v>106</v>
      </c>
      <c r="BC221">
        <v>120</v>
      </c>
      <c r="BD221" t="s">
        <v>74</v>
      </c>
      <c r="BE221" t="s">
        <v>4691</v>
      </c>
      <c r="BF221" t="str">
        <f>HYPERLINK("http://dx.doi.org/10.1016/j.ecolmodel.2014.06.004","http://dx.doi.org/10.1016/j.ecolmodel.2014.06.004")</f>
        <v>http://dx.doi.org/10.1016/j.ecolmodel.2014.06.004</v>
      </c>
      <c r="BG221" t="s">
        <v>74</v>
      </c>
      <c r="BH221" t="s">
        <v>74</v>
      </c>
      <c r="BI221">
        <v>15</v>
      </c>
      <c r="BJ221" t="s">
        <v>4692</v>
      </c>
      <c r="BK221" t="s">
        <v>4693</v>
      </c>
      <c r="BL221" t="s">
        <v>568</v>
      </c>
      <c r="BM221" t="s">
        <v>4694</v>
      </c>
      <c r="BN221" t="s">
        <v>74</v>
      </c>
      <c r="BO221" t="s">
        <v>74</v>
      </c>
      <c r="BP221" t="s">
        <v>74</v>
      </c>
      <c r="BQ221" t="s">
        <v>74</v>
      </c>
      <c r="BR221" t="s">
        <v>106</v>
      </c>
      <c r="BS221" t="s">
        <v>4695</v>
      </c>
      <c r="BT221" t="str">
        <f>HYPERLINK("https%3A%2F%2Fwww.webofscience.com%2Fwos%2Fwoscc%2Ffull-record%2FWOS:000355708000013","View Full Record in Web of Science")</f>
        <v>View Full Record in Web of Science</v>
      </c>
    </row>
    <row r="222" spans="1:72" x14ac:dyDescent="0.2">
      <c r="A222" t="s">
        <v>72</v>
      </c>
      <c r="B222" t="s">
        <v>4696</v>
      </c>
      <c r="C222" t="s">
        <v>74</v>
      </c>
      <c r="D222" t="s">
        <v>74</v>
      </c>
      <c r="E222" t="s">
        <v>74</v>
      </c>
      <c r="F222" t="s">
        <v>4697</v>
      </c>
      <c r="G222" t="s">
        <v>74</v>
      </c>
      <c r="H222" t="s">
        <v>74</v>
      </c>
      <c r="I222" t="s">
        <v>4698</v>
      </c>
      <c r="J222" t="s">
        <v>1526</v>
      </c>
      <c r="K222" t="s">
        <v>74</v>
      </c>
      <c r="L222" t="s">
        <v>74</v>
      </c>
      <c r="M222" t="s">
        <v>78</v>
      </c>
      <c r="N222" t="s">
        <v>79</v>
      </c>
      <c r="O222" t="s">
        <v>74</v>
      </c>
      <c r="P222" t="s">
        <v>74</v>
      </c>
      <c r="Q222" t="s">
        <v>74</v>
      </c>
      <c r="R222" t="s">
        <v>74</v>
      </c>
      <c r="S222" t="s">
        <v>74</v>
      </c>
      <c r="T222" t="s">
        <v>4699</v>
      </c>
      <c r="U222" t="s">
        <v>4700</v>
      </c>
      <c r="V222" t="s">
        <v>4701</v>
      </c>
      <c r="W222" t="s">
        <v>4702</v>
      </c>
      <c r="X222" t="s">
        <v>4703</v>
      </c>
      <c r="Y222" t="s">
        <v>4704</v>
      </c>
      <c r="Z222" t="s">
        <v>4705</v>
      </c>
      <c r="AA222" t="s">
        <v>4706</v>
      </c>
      <c r="AB222" t="s">
        <v>4707</v>
      </c>
      <c r="AC222" t="s">
        <v>4708</v>
      </c>
      <c r="AD222" t="s">
        <v>4709</v>
      </c>
      <c r="AE222" t="s">
        <v>4710</v>
      </c>
      <c r="AF222" t="s">
        <v>74</v>
      </c>
      <c r="AG222">
        <v>37</v>
      </c>
      <c r="AH222">
        <v>36</v>
      </c>
      <c r="AI222">
        <v>38</v>
      </c>
      <c r="AJ222">
        <v>1</v>
      </c>
      <c r="AK222">
        <v>60</v>
      </c>
      <c r="AL222" t="s">
        <v>176</v>
      </c>
      <c r="AM222" t="s">
        <v>177</v>
      </c>
      <c r="AN222" t="s">
        <v>178</v>
      </c>
      <c r="AO222" t="s">
        <v>1538</v>
      </c>
      <c r="AP222" t="s">
        <v>1539</v>
      </c>
      <c r="AQ222" t="s">
        <v>74</v>
      </c>
      <c r="AR222" t="s">
        <v>1540</v>
      </c>
      <c r="AS222" t="s">
        <v>1541</v>
      </c>
      <c r="AT222" t="s">
        <v>4711</v>
      </c>
      <c r="AU222">
        <v>2016</v>
      </c>
      <c r="AV222">
        <v>134</v>
      </c>
      <c r="AW222" t="s">
        <v>74</v>
      </c>
      <c r="AX222" t="s">
        <v>4712</v>
      </c>
      <c r="AY222" t="s">
        <v>74</v>
      </c>
      <c r="AZ222" t="s">
        <v>74</v>
      </c>
      <c r="BA222" t="s">
        <v>74</v>
      </c>
      <c r="BB222">
        <v>539</v>
      </c>
      <c r="BC222">
        <v>546</v>
      </c>
      <c r="BD222" t="s">
        <v>74</v>
      </c>
      <c r="BE222" t="s">
        <v>4713</v>
      </c>
      <c r="BF222" t="str">
        <f>HYPERLINK("http://dx.doi.org/10.1016/j.jclepro.2015.06.138","http://dx.doi.org/10.1016/j.jclepro.2015.06.138")</f>
        <v>http://dx.doi.org/10.1016/j.jclepro.2015.06.138</v>
      </c>
      <c r="BG222" t="s">
        <v>74</v>
      </c>
      <c r="BH222" t="s">
        <v>74</v>
      </c>
      <c r="BI222">
        <v>8</v>
      </c>
      <c r="BJ222" t="s">
        <v>1543</v>
      </c>
      <c r="BK222" t="s">
        <v>102</v>
      </c>
      <c r="BL222" t="s">
        <v>1544</v>
      </c>
      <c r="BM222" t="s">
        <v>4714</v>
      </c>
      <c r="BN222" t="s">
        <v>74</v>
      </c>
      <c r="BO222" t="s">
        <v>74</v>
      </c>
      <c r="BP222" t="s">
        <v>74</v>
      </c>
      <c r="BQ222" t="s">
        <v>74</v>
      </c>
      <c r="BR222" t="s">
        <v>106</v>
      </c>
      <c r="BS222" t="s">
        <v>4715</v>
      </c>
      <c r="BT222" t="str">
        <f>HYPERLINK("https%3A%2F%2Fwww.webofscience.com%2Fwos%2Fwoscc%2Ffull-record%2FWOS:000382797200012","View Full Record in Web of Science")</f>
        <v>View Full Record in Web of Science</v>
      </c>
    </row>
    <row r="223" spans="1:72" x14ac:dyDescent="0.2">
      <c r="A223" t="s">
        <v>72</v>
      </c>
      <c r="B223" t="s">
        <v>4716</v>
      </c>
      <c r="C223" t="s">
        <v>74</v>
      </c>
      <c r="D223" t="s">
        <v>74</v>
      </c>
      <c r="E223" t="s">
        <v>74</v>
      </c>
      <c r="F223" t="s">
        <v>4717</v>
      </c>
      <c r="G223" t="s">
        <v>74</v>
      </c>
      <c r="H223" t="s">
        <v>74</v>
      </c>
      <c r="I223" t="s">
        <v>4718</v>
      </c>
      <c r="J223" t="s">
        <v>1344</v>
      </c>
      <c r="K223" t="s">
        <v>74</v>
      </c>
      <c r="L223" t="s">
        <v>74</v>
      </c>
      <c r="M223" t="s">
        <v>78</v>
      </c>
      <c r="N223" t="s">
        <v>79</v>
      </c>
      <c r="O223" t="s">
        <v>74</v>
      </c>
      <c r="P223" t="s">
        <v>74</v>
      </c>
      <c r="Q223" t="s">
        <v>74</v>
      </c>
      <c r="R223" t="s">
        <v>74</v>
      </c>
      <c r="S223" t="s">
        <v>74</v>
      </c>
      <c r="T223" t="s">
        <v>4719</v>
      </c>
      <c r="U223" t="s">
        <v>4720</v>
      </c>
      <c r="V223" t="s">
        <v>4721</v>
      </c>
      <c r="W223" t="s">
        <v>4722</v>
      </c>
      <c r="X223" t="s">
        <v>4723</v>
      </c>
      <c r="Y223" t="s">
        <v>4724</v>
      </c>
      <c r="Z223" t="s">
        <v>4725</v>
      </c>
      <c r="AA223" t="s">
        <v>4726</v>
      </c>
      <c r="AB223" t="s">
        <v>4727</v>
      </c>
      <c r="AC223" t="s">
        <v>4728</v>
      </c>
      <c r="AD223" t="s">
        <v>4729</v>
      </c>
      <c r="AE223" t="s">
        <v>4730</v>
      </c>
      <c r="AF223" t="s">
        <v>74</v>
      </c>
      <c r="AG223">
        <v>113</v>
      </c>
      <c r="AH223">
        <v>3</v>
      </c>
      <c r="AI223">
        <v>4</v>
      </c>
      <c r="AJ223">
        <v>4</v>
      </c>
      <c r="AK223">
        <v>21</v>
      </c>
      <c r="AL223" t="s">
        <v>222</v>
      </c>
      <c r="AM223" t="s">
        <v>223</v>
      </c>
      <c r="AN223" t="s">
        <v>224</v>
      </c>
      <c r="AO223" t="s">
        <v>74</v>
      </c>
      <c r="AP223" t="s">
        <v>1354</v>
      </c>
      <c r="AQ223" t="s">
        <v>74</v>
      </c>
      <c r="AR223" t="s">
        <v>1344</v>
      </c>
      <c r="AS223" t="s">
        <v>1355</v>
      </c>
      <c r="AT223" t="s">
        <v>636</v>
      </c>
      <c r="AU223">
        <v>2023</v>
      </c>
      <c r="AV223">
        <v>13</v>
      </c>
      <c r="AW223">
        <v>4</v>
      </c>
      <c r="AX223" t="s">
        <v>74</v>
      </c>
      <c r="AY223" t="s">
        <v>74</v>
      </c>
      <c r="AZ223" t="s">
        <v>74</v>
      </c>
      <c r="BA223" t="s">
        <v>74</v>
      </c>
      <c r="BB223" t="s">
        <v>74</v>
      </c>
      <c r="BC223" t="s">
        <v>74</v>
      </c>
      <c r="BD223">
        <v>860</v>
      </c>
      <c r="BE223" t="s">
        <v>4731</v>
      </c>
      <c r="BF223" t="str">
        <f>HYPERLINK("http://dx.doi.org/10.3390/agriculture13040860","http://dx.doi.org/10.3390/agriculture13040860")</f>
        <v>http://dx.doi.org/10.3390/agriculture13040860</v>
      </c>
      <c r="BG223" t="s">
        <v>74</v>
      </c>
      <c r="BH223" t="s">
        <v>74</v>
      </c>
      <c r="BI223">
        <v>16</v>
      </c>
      <c r="BJ223" t="s">
        <v>1357</v>
      </c>
      <c r="BK223" t="s">
        <v>102</v>
      </c>
      <c r="BL223" t="s">
        <v>103</v>
      </c>
      <c r="BM223" t="s">
        <v>4732</v>
      </c>
      <c r="BN223" t="s">
        <v>74</v>
      </c>
      <c r="BO223" t="s">
        <v>161</v>
      </c>
      <c r="BP223" t="s">
        <v>74</v>
      </c>
      <c r="BQ223" t="s">
        <v>74</v>
      </c>
      <c r="BR223" t="s">
        <v>106</v>
      </c>
      <c r="BS223" t="s">
        <v>4733</v>
      </c>
      <c r="BT223" t="str">
        <f>HYPERLINK("https%3A%2F%2Fwww.webofscience.com%2Fwos%2Fwoscc%2Ffull-record%2FWOS:000979426300001","View Full Record in Web of Science")</f>
        <v>View Full Record in Web of Science</v>
      </c>
    </row>
    <row r="224" spans="1:72" x14ac:dyDescent="0.2">
      <c r="A224" t="s">
        <v>72</v>
      </c>
      <c r="B224" t="s">
        <v>4734</v>
      </c>
      <c r="C224" t="s">
        <v>74</v>
      </c>
      <c r="D224" t="s">
        <v>74</v>
      </c>
      <c r="E224" t="s">
        <v>74</v>
      </c>
      <c r="F224" t="s">
        <v>4735</v>
      </c>
      <c r="G224" t="s">
        <v>74</v>
      </c>
      <c r="H224" t="s">
        <v>74</v>
      </c>
      <c r="I224" t="s">
        <v>4736</v>
      </c>
      <c r="J224" t="s">
        <v>4737</v>
      </c>
      <c r="K224" t="s">
        <v>74</v>
      </c>
      <c r="L224" t="s">
        <v>74</v>
      </c>
      <c r="M224" t="s">
        <v>78</v>
      </c>
      <c r="N224" t="s">
        <v>79</v>
      </c>
      <c r="O224" t="s">
        <v>74</v>
      </c>
      <c r="P224" t="s">
        <v>74</v>
      </c>
      <c r="Q224" t="s">
        <v>74</v>
      </c>
      <c r="R224" t="s">
        <v>74</v>
      </c>
      <c r="S224" t="s">
        <v>74</v>
      </c>
      <c r="T224" t="s">
        <v>4738</v>
      </c>
      <c r="U224" t="s">
        <v>4739</v>
      </c>
      <c r="V224" t="s">
        <v>4740</v>
      </c>
      <c r="W224" t="s">
        <v>4741</v>
      </c>
      <c r="X224" t="s">
        <v>4742</v>
      </c>
      <c r="Y224" t="s">
        <v>4743</v>
      </c>
      <c r="Z224" t="s">
        <v>2156</v>
      </c>
      <c r="AA224" t="s">
        <v>4744</v>
      </c>
      <c r="AB224" t="s">
        <v>4745</v>
      </c>
      <c r="AC224" t="s">
        <v>4746</v>
      </c>
      <c r="AD224" t="s">
        <v>4747</v>
      </c>
      <c r="AE224" t="s">
        <v>4748</v>
      </c>
      <c r="AF224" t="s">
        <v>74</v>
      </c>
      <c r="AG224">
        <v>39</v>
      </c>
      <c r="AH224">
        <v>45</v>
      </c>
      <c r="AI224">
        <v>48</v>
      </c>
      <c r="AJ224">
        <v>2</v>
      </c>
      <c r="AK224">
        <v>57</v>
      </c>
      <c r="AL224" t="s">
        <v>176</v>
      </c>
      <c r="AM224" t="s">
        <v>177</v>
      </c>
      <c r="AN224" t="s">
        <v>178</v>
      </c>
      <c r="AO224" t="s">
        <v>4749</v>
      </c>
      <c r="AP224" t="s">
        <v>4750</v>
      </c>
      <c r="AQ224" t="s">
        <v>74</v>
      </c>
      <c r="AR224" t="s">
        <v>4751</v>
      </c>
      <c r="AS224" t="s">
        <v>4752</v>
      </c>
      <c r="AT224" t="s">
        <v>130</v>
      </c>
      <c r="AU224">
        <v>2017</v>
      </c>
      <c r="AV224">
        <v>135</v>
      </c>
      <c r="AW224" t="s">
        <v>74</v>
      </c>
      <c r="AX224" t="s">
        <v>74</v>
      </c>
      <c r="AY224" t="s">
        <v>74</v>
      </c>
      <c r="AZ224" t="s">
        <v>74</v>
      </c>
      <c r="BA224" t="s">
        <v>74</v>
      </c>
      <c r="BB224">
        <v>175</v>
      </c>
      <c r="BC224">
        <v>182</v>
      </c>
      <c r="BD224" t="s">
        <v>74</v>
      </c>
      <c r="BE224" t="s">
        <v>4753</v>
      </c>
      <c r="BF224" t="str">
        <f>HYPERLINK("http://dx.doi.org/10.1016/j.compag.2017.02.004","http://dx.doi.org/10.1016/j.compag.2017.02.004")</f>
        <v>http://dx.doi.org/10.1016/j.compag.2017.02.004</v>
      </c>
      <c r="BG224" t="s">
        <v>74</v>
      </c>
      <c r="BH224" t="s">
        <v>74</v>
      </c>
      <c r="BI224">
        <v>8</v>
      </c>
      <c r="BJ224" t="s">
        <v>4754</v>
      </c>
      <c r="BK224" t="s">
        <v>102</v>
      </c>
      <c r="BL224" t="s">
        <v>4755</v>
      </c>
      <c r="BM224" t="s">
        <v>4756</v>
      </c>
      <c r="BN224" t="s">
        <v>74</v>
      </c>
      <c r="BO224" t="s">
        <v>105</v>
      </c>
      <c r="BP224" t="s">
        <v>74</v>
      </c>
      <c r="BQ224" t="s">
        <v>74</v>
      </c>
      <c r="BR224" t="s">
        <v>106</v>
      </c>
      <c r="BS224" t="s">
        <v>4757</v>
      </c>
      <c r="BT224" t="str">
        <f>HYPERLINK("https%3A%2F%2Fwww.webofscience.com%2Fwos%2Fwoscc%2Ffull-record%2FWOS:000398759500018","View Full Record in Web of Science")</f>
        <v>View Full Record in Web of Science</v>
      </c>
    </row>
    <row r="225" spans="1:72" x14ac:dyDescent="0.2">
      <c r="A225" t="s">
        <v>72</v>
      </c>
      <c r="B225" t="s">
        <v>4758</v>
      </c>
      <c r="C225" t="s">
        <v>74</v>
      </c>
      <c r="D225" t="s">
        <v>74</v>
      </c>
      <c r="E225" t="s">
        <v>74</v>
      </c>
      <c r="F225" t="s">
        <v>4759</v>
      </c>
      <c r="G225" t="s">
        <v>74</v>
      </c>
      <c r="H225" t="s">
        <v>74</v>
      </c>
      <c r="I225" t="s">
        <v>4760</v>
      </c>
      <c r="J225" t="s">
        <v>4761</v>
      </c>
      <c r="K225" t="s">
        <v>74</v>
      </c>
      <c r="L225" t="s">
        <v>74</v>
      </c>
      <c r="M225" t="s">
        <v>78</v>
      </c>
      <c r="N225" t="s">
        <v>79</v>
      </c>
      <c r="O225" t="s">
        <v>74</v>
      </c>
      <c r="P225" t="s">
        <v>74</v>
      </c>
      <c r="Q225" t="s">
        <v>74</v>
      </c>
      <c r="R225" t="s">
        <v>74</v>
      </c>
      <c r="S225" t="s">
        <v>74</v>
      </c>
      <c r="T225" t="s">
        <v>74</v>
      </c>
      <c r="U225" t="s">
        <v>4762</v>
      </c>
      <c r="V225" t="s">
        <v>4763</v>
      </c>
      <c r="W225" t="s">
        <v>4764</v>
      </c>
      <c r="X225" t="s">
        <v>4765</v>
      </c>
      <c r="Y225" t="s">
        <v>4766</v>
      </c>
      <c r="Z225" t="s">
        <v>4767</v>
      </c>
      <c r="AA225" t="s">
        <v>4768</v>
      </c>
      <c r="AB225" t="s">
        <v>4769</v>
      </c>
      <c r="AC225" t="s">
        <v>4770</v>
      </c>
      <c r="AD225" t="s">
        <v>4771</v>
      </c>
      <c r="AE225" t="s">
        <v>4772</v>
      </c>
      <c r="AF225" t="s">
        <v>74</v>
      </c>
      <c r="AG225">
        <v>52</v>
      </c>
      <c r="AH225">
        <v>23</v>
      </c>
      <c r="AI225">
        <v>25</v>
      </c>
      <c r="AJ225">
        <v>2</v>
      </c>
      <c r="AK225">
        <v>5</v>
      </c>
      <c r="AL225" t="s">
        <v>377</v>
      </c>
      <c r="AM225" t="s">
        <v>93</v>
      </c>
      <c r="AN225" t="s">
        <v>378</v>
      </c>
      <c r="AO225" t="s">
        <v>74</v>
      </c>
      <c r="AP225" t="s">
        <v>4773</v>
      </c>
      <c r="AQ225" t="s">
        <v>74</v>
      </c>
      <c r="AR225" t="s">
        <v>4774</v>
      </c>
      <c r="AS225" t="s">
        <v>4775</v>
      </c>
      <c r="AT225" t="s">
        <v>4776</v>
      </c>
      <c r="AU225">
        <v>2023</v>
      </c>
      <c r="AV225">
        <v>4</v>
      </c>
      <c r="AW225">
        <v>1</v>
      </c>
      <c r="AX225" t="s">
        <v>74</v>
      </c>
      <c r="AY225" t="s">
        <v>74</v>
      </c>
      <c r="AZ225" t="s">
        <v>74</v>
      </c>
      <c r="BA225" t="s">
        <v>74</v>
      </c>
      <c r="BB225" t="s">
        <v>74</v>
      </c>
      <c r="BC225" t="s">
        <v>74</v>
      </c>
      <c r="BD225">
        <v>397</v>
      </c>
      <c r="BE225" t="s">
        <v>4777</v>
      </c>
      <c r="BF225" t="str">
        <f>HYPERLINK("http://dx.doi.org/10.1038/s43247-023-01056-1","http://dx.doi.org/10.1038/s43247-023-01056-1")</f>
        <v>http://dx.doi.org/10.1038/s43247-023-01056-1</v>
      </c>
      <c r="BG225" t="s">
        <v>74</v>
      </c>
      <c r="BH225" t="s">
        <v>74</v>
      </c>
      <c r="BI225">
        <v>10</v>
      </c>
      <c r="BJ225" t="s">
        <v>3175</v>
      </c>
      <c r="BK225" t="s">
        <v>102</v>
      </c>
      <c r="BL225" t="s">
        <v>3176</v>
      </c>
      <c r="BM225" t="s">
        <v>4778</v>
      </c>
      <c r="BN225" t="s">
        <v>74</v>
      </c>
      <c r="BO225" t="s">
        <v>231</v>
      </c>
      <c r="BP225" t="s">
        <v>74</v>
      </c>
      <c r="BQ225" t="s">
        <v>74</v>
      </c>
      <c r="BR225" t="s">
        <v>106</v>
      </c>
      <c r="BS225" t="s">
        <v>4779</v>
      </c>
      <c r="BT225" t="str">
        <f>HYPERLINK("https%3A%2F%2Fwww.webofscience.com%2Fwos%2Fwoscc%2Ffull-record%2FWOS:001115128200001","View Full Record in Web of Science")</f>
        <v>View Full Record in Web of Science</v>
      </c>
    </row>
    <row r="226" spans="1:72" x14ac:dyDescent="0.2">
      <c r="A226" t="s">
        <v>72</v>
      </c>
      <c r="B226" t="s">
        <v>4780</v>
      </c>
      <c r="C226" t="s">
        <v>74</v>
      </c>
      <c r="D226" t="s">
        <v>74</v>
      </c>
      <c r="E226" t="s">
        <v>74</v>
      </c>
      <c r="F226" t="s">
        <v>4781</v>
      </c>
      <c r="G226" t="s">
        <v>74</v>
      </c>
      <c r="H226" t="s">
        <v>74</v>
      </c>
      <c r="I226" t="s">
        <v>4782</v>
      </c>
      <c r="J226" t="s">
        <v>4261</v>
      </c>
      <c r="K226" t="s">
        <v>74</v>
      </c>
      <c r="L226" t="s">
        <v>74</v>
      </c>
      <c r="M226" t="s">
        <v>78</v>
      </c>
      <c r="N226" t="s">
        <v>79</v>
      </c>
      <c r="O226" t="s">
        <v>74</v>
      </c>
      <c r="P226" t="s">
        <v>74</v>
      </c>
      <c r="Q226" t="s">
        <v>74</v>
      </c>
      <c r="R226" t="s">
        <v>74</v>
      </c>
      <c r="S226" t="s">
        <v>74</v>
      </c>
      <c r="T226" t="s">
        <v>4783</v>
      </c>
      <c r="U226" t="s">
        <v>4784</v>
      </c>
      <c r="V226" t="s">
        <v>4785</v>
      </c>
      <c r="W226" t="s">
        <v>4786</v>
      </c>
      <c r="X226" t="s">
        <v>4787</v>
      </c>
      <c r="Y226" t="s">
        <v>4788</v>
      </c>
      <c r="Z226" t="s">
        <v>4789</v>
      </c>
      <c r="AA226" t="s">
        <v>4790</v>
      </c>
      <c r="AB226" t="s">
        <v>4791</v>
      </c>
      <c r="AC226" t="s">
        <v>4792</v>
      </c>
      <c r="AD226" t="s">
        <v>4793</v>
      </c>
      <c r="AE226" t="s">
        <v>4794</v>
      </c>
      <c r="AF226" t="s">
        <v>74</v>
      </c>
      <c r="AG226">
        <v>84</v>
      </c>
      <c r="AH226">
        <v>8</v>
      </c>
      <c r="AI226">
        <v>8</v>
      </c>
      <c r="AJ226">
        <v>0</v>
      </c>
      <c r="AK226">
        <v>48</v>
      </c>
      <c r="AL226" t="s">
        <v>1242</v>
      </c>
      <c r="AM226" t="s">
        <v>1243</v>
      </c>
      <c r="AN226" t="s">
        <v>1244</v>
      </c>
      <c r="AO226" t="s">
        <v>4271</v>
      </c>
      <c r="AP226" t="s">
        <v>4272</v>
      </c>
      <c r="AQ226" t="s">
        <v>74</v>
      </c>
      <c r="AR226" t="s">
        <v>4273</v>
      </c>
      <c r="AS226" t="s">
        <v>4274</v>
      </c>
      <c r="AT226" t="s">
        <v>227</v>
      </c>
      <c r="AU226">
        <v>2018</v>
      </c>
      <c r="AV226">
        <v>18</v>
      </c>
      <c r="AW226">
        <v>1</v>
      </c>
      <c r="AX226" t="s">
        <v>74</v>
      </c>
      <c r="AY226" t="s">
        <v>74</v>
      </c>
      <c r="AZ226" t="s">
        <v>1070</v>
      </c>
      <c r="BA226" t="s">
        <v>74</v>
      </c>
      <c r="BB226">
        <v>63</v>
      </c>
      <c r="BC226">
        <v>75</v>
      </c>
      <c r="BD226" t="s">
        <v>74</v>
      </c>
      <c r="BE226" t="s">
        <v>4795</v>
      </c>
      <c r="BF226" t="str">
        <f>HYPERLINK("http://dx.doi.org/10.1007/s10113-016-1008-1","http://dx.doi.org/10.1007/s10113-016-1008-1")</f>
        <v>http://dx.doi.org/10.1007/s10113-016-1008-1</v>
      </c>
      <c r="BG226" t="s">
        <v>74</v>
      </c>
      <c r="BH226" t="s">
        <v>74</v>
      </c>
      <c r="BI226">
        <v>13</v>
      </c>
      <c r="BJ226" t="s">
        <v>593</v>
      </c>
      <c r="BK226" t="s">
        <v>186</v>
      </c>
      <c r="BL226" t="s">
        <v>568</v>
      </c>
      <c r="BM226" t="s">
        <v>4796</v>
      </c>
      <c r="BN226" t="s">
        <v>74</v>
      </c>
      <c r="BO226" t="s">
        <v>74</v>
      </c>
      <c r="BP226" t="s">
        <v>74</v>
      </c>
      <c r="BQ226" t="s">
        <v>74</v>
      </c>
      <c r="BR226" t="s">
        <v>106</v>
      </c>
      <c r="BS226" t="s">
        <v>4797</v>
      </c>
      <c r="BT226" t="str">
        <f>HYPERLINK("https%3A%2F%2Fwww.webofscience.com%2Fwos%2Fwoscc%2Ffull-record%2FWOS:000419157400006","View Full Record in Web of Science")</f>
        <v>View Full Record in Web of Science</v>
      </c>
    </row>
    <row r="227" spans="1:72" x14ac:dyDescent="0.2">
      <c r="A227" t="s">
        <v>72</v>
      </c>
      <c r="B227" t="s">
        <v>4798</v>
      </c>
      <c r="C227" t="s">
        <v>74</v>
      </c>
      <c r="D227" t="s">
        <v>74</v>
      </c>
      <c r="E227" t="s">
        <v>74</v>
      </c>
      <c r="F227" t="s">
        <v>4799</v>
      </c>
      <c r="G227" t="s">
        <v>74</v>
      </c>
      <c r="H227" t="s">
        <v>74</v>
      </c>
      <c r="I227" t="s">
        <v>4800</v>
      </c>
      <c r="J227" t="s">
        <v>320</v>
      </c>
      <c r="K227" t="s">
        <v>74</v>
      </c>
      <c r="L227" t="s">
        <v>74</v>
      </c>
      <c r="M227" t="s">
        <v>78</v>
      </c>
      <c r="N227" t="s">
        <v>79</v>
      </c>
      <c r="O227" t="s">
        <v>74</v>
      </c>
      <c r="P227" t="s">
        <v>74</v>
      </c>
      <c r="Q227" t="s">
        <v>74</v>
      </c>
      <c r="R227" t="s">
        <v>74</v>
      </c>
      <c r="S227" t="s">
        <v>74</v>
      </c>
      <c r="T227" t="s">
        <v>4801</v>
      </c>
      <c r="U227" t="s">
        <v>4802</v>
      </c>
      <c r="V227" t="s">
        <v>4803</v>
      </c>
      <c r="W227" t="s">
        <v>4804</v>
      </c>
      <c r="X227" t="s">
        <v>4805</v>
      </c>
      <c r="Y227" t="s">
        <v>4806</v>
      </c>
      <c r="Z227" t="s">
        <v>4807</v>
      </c>
      <c r="AA227" t="s">
        <v>4808</v>
      </c>
      <c r="AB227" t="s">
        <v>4809</v>
      </c>
      <c r="AC227" t="s">
        <v>4810</v>
      </c>
      <c r="AD227" t="s">
        <v>4811</v>
      </c>
      <c r="AE227" t="s">
        <v>4812</v>
      </c>
      <c r="AF227" t="s">
        <v>74</v>
      </c>
      <c r="AG227">
        <v>80</v>
      </c>
      <c r="AH227">
        <v>240</v>
      </c>
      <c r="AI227">
        <v>274</v>
      </c>
      <c r="AJ227">
        <v>10</v>
      </c>
      <c r="AK227">
        <v>153</v>
      </c>
      <c r="AL227" t="s">
        <v>123</v>
      </c>
      <c r="AM227" t="s">
        <v>124</v>
      </c>
      <c r="AN227" t="s">
        <v>125</v>
      </c>
      <c r="AO227" t="s">
        <v>333</v>
      </c>
      <c r="AP227" t="s">
        <v>334</v>
      </c>
      <c r="AQ227" t="s">
        <v>74</v>
      </c>
      <c r="AR227" t="s">
        <v>335</v>
      </c>
      <c r="AS227" t="s">
        <v>336</v>
      </c>
      <c r="AT227" t="s">
        <v>1963</v>
      </c>
      <c r="AU227">
        <v>2020</v>
      </c>
      <c r="AV227">
        <v>160</v>
      </c>
      <c r="AW227" t="s">
        <v>74</v>
      </c>
      <c r="AX227" t="s">
        <v>74</v>
      </c>
      <c r="AY227" t="s">
        <v>74</v>
      </c>
      <c r="AZ227" t="s">
        <v>74</v>
      </c>
      <c r="BA227" t="s">
        <v>74</v>
      </c>
      <c r="BB227" t="s">
        <v>74</v>
      </c>
      <c r="BC227" t="s">
        <v>74</v>
      </c>
      <c r="BD227">
        <v>104879</v>
      </c>
      <c r="BE227" t="s">
        <v>4813</v>
      </c>
      <c r="BF227" t="str">
        <f>HYPERLINK("http://dx.doi.org/10.1016/j.resconrec.2020.104879","http://dx.doi.org/10.1016/j.resconrec.2020.104879")</f>
        <v>http://dx.doi.org/10.1016/j.resconrec.2020.104879</v>
      </c>
      <c r="BG227" t="s">
        <v>74</v>
      </c>
      <c r="BH227" t="s">
        <v>74</v>
      </c>
      <c r="BI227">
        <v>12</v>
      </c>
      <c r="BJ227" t="s">
        <v>340</v>
      </c>
      <c r="BK227" t="s">
        <v>186</v>
      </c>
      <c r="BL227" t="s">
        <v>341</v>
      </c>
      <c r="BM227" t="s">
        <v>4814</v>
      </c>
      <c r="BN227" t="s">
        <v>74</v>
      </c>
      <c r="BO227" t="s">
        <v>74</v>
      </c>
      <c r="BP227" t="s">
        <v>4815</v>
      </c>
      <c r="BQ227" t="s">
        <v>4816</v>
      </c>
      <c r="BR227" t="s">
        <v>106</v>
      </c>
      <c r="BS227" t="s">
        <v>4817</v>
      </c>
      <c r="BT227" t="str">
        <f>HYPERLINK("https%3A%2F%2Fwww.webofscience.com%2Fwos%2Fwoscc%2Ffull-record%2FWOS:000540613000011","View Full Record in Web of Science")</f>
        <v>View Full Record in Web of Science</v>
      </c>
    </row>
    <row r="228" spans="1:72" x14ac:dyDescent="0.2">
      <c r="A228" t="s">
        <v>72</v>
      </c>
      <c r="B228" t="s">
        <v>4818</v>
      </c>
      <c r="C228" t="s">
        <v>74</v>
      </c>
      <c r="D228" t="s">
        <v>74</v>
      </c>
      <c r="E228" t="s">
        <v>74</v>
      </c>
      <c r="F228" t="s">
        <v>4819</v>
      </c>
      <c r="G228" t="s">
        <v>74</v>
      </c>
      <c r="H228" t="s">
        <v>74</v>
      </c>
      <c r="I228" t="s">
        <v>4820</v>
      </c>
      <c r="J228" t="s">
        <v>1526</v>
      </c>
      <c r="K228" t="s">
        <v>74</v>
      </c>
      <c r="L228" t="s">
        <v>74</v>
      </c>
      <c r="M228" t="s">
        <v>78</v>
      </c>
      <c r="N228" t="s">
        <v>79</v>
      </c>
      <c r="O228" t="s">
        <v>74</v>
      </c>
      <c r="P228" t="s">
        <v>74</v>
      </c>
      <c r="Q228" t="s">
        <v>74</v>
      </c>
      <c r="R228" t="s">
        <v>74</v>
      </c>
      <c r="S228" t="s">
        <v>74</v>
      </c>
      <c r="T228" t="s">
        <v>4821</v>
      </c>
      <c r="U228" t="s">
        <v>4822</v>
      </c>
      <c r="V228" t="s">
        <v>4823</v>
      </c>
      <c r="W228" t="s">
        <v>4824</v>
      </c>
      <c r="X228" t="s">
        <v>4825</v>
      </c>
      <c r="Y228" t="s">
        <v>4826</v>
      </c>
      <c r="Z228" t="s">
        <v>4827</v>
      </c>
      <c r="AA228" t="s">
        <v>74</v>
      </c>
      <c r="AB228" t="s">
        <v>74</v>
      </c>
      <c r="AC228" t="s">
        <v>4828</v>
      </c>
      <c r="AD228" t="s">
        <v>4829</v>
      </c>
      <c r="AE228" t="s">
        <v>4830</v>
      </c>
      <c r="AF228" t="s">
        <v>74</v>
      </c>
      <c r="AG228">
        <v>37</v>
      </c>
      <c r="AH228">
        <v>16</v>
      </c>
      <c r="AI228">
        <v>18</v>
      </c>
      <c r="AJ228">
        <v>20</v>
      </c>
      <c r="AK228">
        <v>170</v>
      </c>
      <c r="AL228" t="s">
        <v>176</v>
      </c>
      <c r="AM228" t="s">
        <v>1610</v>
      </c>
      <c r="AN228" t="s">
        <v>1611</v>
      </c>
      <c r="AO228" t="s">
        <v>1538</v>
      </c>
      <c r="AP228" t="s">
        <v>1539</v>
      </c>
      <c r="AQ228" t="s">
        <v>74</v>
      </c>
      <c r="AR228" t="s">
        <v>1540</v>
      </c>
      <c r="AS228" t="s">
        <v>1541</v>
      </c>
      <c r="AT228" t="s">
        <v>4831</v>
      </c>
      <c r="AU228">
        <v>2023</v>
      </c>
      <c r="AV228">
        <v>419</v>
      </c>
      <c r="AW228" t="s">
        <v>74</v>
      </c>
      <c r="AX228" t="s">
        <v>74</v>
      </c>
      <c r="AY228" t="s">
        <v>74</v>
      </c>
      <c r="AZ228" t="s">
        <v>74</v>
      </c>
      <c r="BA228" t="s">
        <v>74</v>
      </c>
      <c r="BB228" t="s">
        <v>74</v>
      </c>
      <c r="BC228" t="s">
        <v>74</v>
      </c>
      <c r="BD228">
        <v>138080</v>
      </c>
      <c r="BE228" t="s">
        <v>4832</v>
      </c>
      <c r="BF228" t="str">
        <f>HYPERLINK("http://dx.doi.org/10.1016/j.jclepro.2023.138080","http://dx.doi.org/10.1016/j.jclepro.2023.138080")</f>
        <v>http://dx.doi.org/10.1016/j.jclepro.2023.138080</v>
      </c>
      <c r="BG228" t="s">
        <v>74</v>
      </c>
      <c r="BH228" t="s">
        <v>4519</v>
      </c>
      <c r="BI228">
        <v>10</v>
      </c>
      <c r="BJ228" t="s">
        <v>1543</v>
      </c>
      <c r="BK228" t="s">
        <v>102</v>
      </c>
      <c r="BL228" t="s">
        <v>1544</v>
      </c>
      <c r="BM228" t="s">
        <v>4833</v>
      </c>
      <c r="BN228" t="s">
        <v>74</v>
      </c>
      <c r="BO228" t="s">
        <v>74</v>
      </c>
      <c r="BP228" t="s">
        <v>74</v>
      </c>
      <c r="BQ228" t="s">
        <v>74</v>
      </c>
      <c r="BR228" t="s">
        <v>106</v>
      </c>
      <c r="BS228" t="s">
        <v>4834</v>
      </c>
      <c r="BT228" t="str">
        <f>HYPERLINK("https%3A%2F%2Fwww.webofscience.com%2Fwos%2Fwoscc%2Ffull-record%2FWOS:001049540200001","View Full Record in Web of Science")</f>
        <v>View Full Record in Web of Science</v>
      </c>
    </row>
    <row r="229" spans="1:72" x14ac:dyDescent="0.2">
      <c r="A229" t="s">
        <v>72</v>
      </c>
      <c r="B229" t="s">
        <v>4835</v>
      </c>
      <c r="C229" t="s">
        <v>74</v>
      </c>
      <c r="D229" t="s">
        <v>74</v>
      </c>
      <c r="E229" t="s">
        <v>74</v>
      </c>
      <c r="F229" t="s">
        <v>4836</v>
      </c>
      <c r="G229" t="s">
        <v>74</v>
      </c>
      <c r="H229" t="s">
        <v>74</v>
      </c>
      <c r="I229" t="s">
        <v>4837</v>
      </c>
      <c r="J229" t="s">
        <v>1344</v>
      </c>
      <c r="K229" t="s">
        <v>74</v>
      </c>
      <c r="L229" t="s">
        <v>74</v>
      </c>
      <c r="M229" t="s">
        <v>78</v>
      </c>
      <c r="N229" t="s">
        <v>79</v>
      </c>
      <c r="O229" t="s">
        <v>74</v>
      </c>
      <c r="P229" t="s">
        <v>74</v>
      </c>
      <c r="Q229" t="s">
        <v>74</v>
      </c>
      <c r="R229" t="s">
        <v>74</v>
      </c>
      <c r="S229" t="s">
        <v>74</v>
      </c>
      <c r="T229" t="s">
        <v>4838</v>
      </c>
      <c r="U229" t="s">
        <v>74</v>
      </c>
      <c r="V229" t="s">
        <v>4839</v>
      </c>
      <c r="W229" t="s">
        <v>4840</v>
      </c>
      <c r="X229" t="s">
        <v>4841</v>
      </c>
      <c r="Y229" t="s">
        <v>4842</v>
      </c>
      <c r="Z229" t="s">
        <v>4843</v>
      </c>
      <c r="AA229" t="s">
        <v>74</v>
      </c>
      <c r="AB229" t="s">
        <v>74</v>
      </c>
      <c r="AC229" t="s">
        <v>4844</v>
      </c>
      <c r="AD229" t="s">
        <v>1591</v>
      </c>
      <c r="AE229" t="s">
        <v>4845</v>
      </c>
      <c r="AF229" t="s">
        <v>74</v>
      </c>
      <c r="AG229">
        <v>26</v>
      </c>
      <c r="AH229">
        <v>1</v>
      </c>
      <c r="AI229">
        <v>1</v>
      </c>
      <c r="AJ229">
        <v>1</v>
      </c>
      <c r="AK229">
        <v>13</v>
      </c>
      <c r="AL229" t="s">
        <v>222</v>
      </c>
      <c r="AM229" t="s">
        <v>223</v>
      </c>
      <c r="AN229" t="s">
        <v>224</v>
      </c>
      <c r="AO229" t="s">
        <v>74</v>
      </c>
      <c r="AP229" t="s">
        <v>1354</v>
      </c>
      <c r="AQ229" t="s">
        <v>74</v>
      </c>
      <c r="AR229" t="s">
        <v>1344</v>
      </c>
      <c r="AS229" t="s">
        <v>1355</v>
      </c>
      <c r="AT229" t="s">
        <v>99</v>
      </c>
      <c r="AU229">
        <v>2024</v>
      </c>
      <c r="AV229">
        <v>14</v>
      </c>
      <c r="AW229">
        <v>3</v>
      </c>
      <c r="AX229" t="s">
        <v>74</v>
      </c>
      <c r="AY229" t="s">
        <v>74</v>
      </c>
      <c r="AZ229" t="s">
        <v>74</v>
      </c>
      <c r="BA229" t="s">
        <v>74</v>
      </c>
      <c r="BB229" t="s">
        <v>74</v>
      </c>
      <c r="BC229" t="s">
        <v>74</v>
      </c>
      <c r="BD229">
        <v>459</v>
      </c>
      <c r="BE229" t="s">
        <v>4846</v>
      </c>
      <c r="BF229" t="str">
        <f>HYPERLINK("http://dx.doi.org/10.3390/agriculture14030459","http://dx.doi.org/10.3390/agriculture14030459")</f>
        <v>http://dx.doi.org/10.3390/agriculture14030459</v>
      </c>
      <c r="BG229" t="s">
        <v>74</v>
      </c>
      <c r="BH229" t="s">
        <v>74</v>
      </c>
      <c r="BI229">
        <v>20</v>
      </c>
      <c r="BJ229" t="s">
        <v>1357</v>
      </c>
      <c r="BK229" t="s">
        <v>102</v>
      </c>
      <c r="BL229" t="s">
        <v>103</v>
      </c>
      <c r="BM229" t="s">
        <v>4847</v>
      </c>
      <c r="BN229" t="s">
        <v>74</v>
      </c>
      <c r="BO229" t="s">
        <v>231</v>
      </c>
      <c r="BP229" t="s">
        <v>74</v>
      </c>
      <c r="BQ229" t="s">
        <v>74</v>
      </c>
      <c r="BR229" t="s">
        <v>106</v>
      </c>
      <c r="BS229" t="s">
        <v>4848</v>
      </c>
      <c r="BT229" t="str">
        <f>HYPERLINK("https%3A%2F%2Fwww.webofscience.com%2Fwos%2Fwoscc%2Ffull-record%2FWOS:001191603900001","View Full Record in Web of Science")</f>
        <v>View Full Record in Web of Science</v>
      </c>
    </row>
    <row r="230" spans="1:72" x14ac:dyDescent="0.2">
      <c r="A230" t="s">
        <v>72</v>
      </c>
      <c r="B230" t="s">
        <v>4849</v>
      </c>
      <c r="C230" t="s">
        <v>74</v>
      </c>
      <c r="D230" t="s">
        <v>74</v>
      </c>
      <c r="E230" t="s">
        <v>74</v>
      </c>
      <c r="F230" t="s">
        <v>4850</v>
      </c>
      <c r="G230" t="s">
        <v>74</v>
      </c>
      <c r="H230" t="s">
        <v>74</v>
      </c>
      <c r="I230" t="s">
        <v>4851</v>
      </c>
      <c r="J230" t="s">
        <v>4154</v>
      </c>
      <c r="K230" t="s">
        <v>74</v>
      </c>
      <c r="L230" t="s">
        <v>74</v>
      </c>
      <c r="M230" t="s">
        <v>78</v>
      </c>
      <c r="N230" t="s">
        <v>79</v>
      </c>
      <c r="O230" t="s">
        <v>74</v>
      </c>
      <c r="P230" t="s">
        <v>74</v>
      </c>
      <c r="Q230" t="s">
        <v>74</v>
      </c>
      <c r="R230" t="s">
        <v>74</v>
      </c>
      <c r="S230" t="s">
        <v>74</v>
      </c>
      <c r="T230" t="s">
        <v>4852</v>
      </c>
      <c r="U230" t="s">
        <v>4853</v>
      </c>
      <c r="V230" t="s">
        <v>4854</v>
      </c>
      <c r="W230" t="s">
        <v>4855</v>
      </c>
      <c r="X230" t="s">
        <v>4856</v>
      </c>
      <c r="Y230" t="s">
        <v>4857</v>
      </c>
      <c r="Z230" t="s">
        <v>4858</v>
      </c>
      <c r="AA230" t="s">
        <v>4859</v>
      </c>
      <c r="AB230" t="s">
        <v>4860</v>
      </c>
      <c r="AC230" t="s">
        <v>4861</v>
      </c>
      <c r="AD230" t="s">
        <v>4862</v>
      </c>
      <c r="AE230" t="s">
        <v>4863</v>
      </c>
      <c r="AF230" t="s">
        <v>74</v>
      </c>
      <c r="AG230">
        <v>84</v>
      </c>
      <c r="AH230">
        <v>3</v>
      </c>
      <c r="AI230">
        <v>3</v>
      </c>
      <c r="AJ230">
        <v>137</v>
      </c>
      <c r="AK230">
        <v>137</v>
      </c>
      <c r="AL230" t="s">
        <v>4166</v>
      </c>
      <c r="AM230" t="s">
        <v>531</v>
      </c>
      <c r="AN230" t="s">
        <v>4167</v>
      </c>
      <c r="AO230" t="s">
        <v>4168</v>
      </c>
      <c r="AP230" t="s">
        <v>4169</v>
      </c>
      <c r="AQ230" t="s">
        <v>74</v>
      </c>
      <c r="AR230" t="s">
        <v>4170</v>
      </c>
      <c r="AS230" t="s">
        <v>4171</v>
      </c>
      <c r="AT230" t="s">
        <v>2578</v>
      </c>
      <c r="AU230">
        <v>2025</v>
      </c>
      <c r="AV230">
        <v>59</v>
      </c>
      <c r="AW230">
        <v>25</v>
      </c>
      <c r="AX230" t="s">
        <v>74</v>
      </c>
      <c r="AY230" t="s">
        <v>74</v>
      </c>
      <c r="AZ230" t="s">
        <v>74</v>
      </c>
      <c r="BA230" t="s">
        <v>74</v>
      </c>
      <c r="BB230">
        <v>12679</v>
      </c>
      <c r="BC230">
        <v>12691</v>
      </c>
      <c r="BD230" t="s">
        <v>74</v>
      </c>
      <c r="BE230" t="s">
        <v>4864</v>
      </c>
      <c r="BF230" t="str">
        <f>HYPERLINK("http://dx.doi.org/10.1021/acs.est.5c03323","http://dx.doi.org/10.1021/acs.est.5c03323")</f>
        <v>http://dx.doi.org/10.1021/acs.est.5c03323</v>
      </c>
      <c r="BG230" t="s">
        <v>74</v>
      </c>
      <c r="BH230" t="s">
        <v>413</v>
      </c>
      <c r="BI230">
        <v>13</v>
      </c>
      <c r="BJ230" t="s">
        <v>340</v>
      </c>
      <c r="BK230" t="s">
        <v>102</v>
      </c>
      <c r="BL230" t="s">
        <v>341</v>
      </c>
      <c r="BM230" t="s">
        <v>4865</v>
      </c>
      <c r="BN230">
        <v>40540409</v>
      </c>
      <c r="BO230" t="s">
        <v>74</v>
      </c>
      <c r="BP230" t="s">
        <v>74</v>
      </c>
      <c r="BQ230" t="s">
        <v>74</v>
      </c>
      <c r="BR230" t="s">
        <v>106</v>
      </c>
      <c r="BS230" t="s">
        <v>4866</v>
      </c>
      <c r="BT230" t="str">
        <f>HYPERLINK("https%3A%2F%2Fwww.webofscience.com%2Fwos%2Fwoscc%2Ffull-record%2FWOS:001518051300001","View Full Record in Web of Science")</f>
        <v>View Full Record in Web of Science</v>
      </c>
    </row>
    <row r="231" spans="1:72" x14ac:dyDescent="0.2">
      <c r="A231" t="s">
        <v>72</v>
      </c>
      <c r="B231" t="s">
        <v>4867</v>
      </c>
      <c r="C231" t="s">
        <v>74</v>
      </c>
      <c r="D231" t="s">
        <v>74</v>
      </c>
      <c r="E231" t="s">
        <v>74</v>
      </c>
      <c r="F231" t="s">
        <v>4868</v>
      </c>
      <c r="G231" t="s">
        <v>74</v>
      </c>
      <c r="H231" t="s">
        <v>74</v>
      </c>
      <c r="I231" t="s">
        <v>4869</v>
      </c>
      <c r="J231" t="s">
        <v>4870</v>
      </c>
      <c r="K231" t="s">
        <v>74</v>
      </c>
      <c r="L231" t="s">
        <v>74</v>
      </c>
      <c r="M231" t="s">
        <v>78</v>
      </c>
      <c r="N231" t="s">
        <v>79</v>
      </c>
      <c r="O231" t="s">
        <v>74</v>
      </c>
      <c r="P231" t="s">
        <v>74</v>
      </c>
      <c r="Q231" t="s">
        <v>74</v>
      </c>
      <c r="R231" t="s">
        <v>74</v>
      </c>
      <c r="S231" t="s">
        <v>74</v>
      </c>
      <c r="T231" t="s">
        <v>4871</v>
      </c>
      <c r="U231" t="s">
        <v>4872</v>
      </c>
      <c r="V231" t="s">
        <v>4873</v>
      </c>
      <c r="W231" t="s">
        <v>4874</v>
      </c>
      <c r="X231" t="s">
        <v>4875</v>
      </c>
      <c r="Y231" t="s">
        <v>4876</v>
      </c>
      <c r="Z231" t="s">
        <v>4877</v>
      </c>
      <c r="AA231" t="s">
        <v>4878</v>
      </c>
      <c r="AB231" t="s">
        <v>4879</v>
      </c>
      <c r="AC231" t="s">
        <v>4880</v>
      </c>
      <c r="AD231" t="s">
        <v>4229</v>
      </c>
      <c r="AE231" t="s">
        <v>4881</v>
      </c>
      <c r="AF231" t="s">
        <v>74</v>
      </c>
      <c r="AG231">
        <v>68</v>
      </c>
      <c r="AH231">
        <v>17</v>
      </c>
      <c r="AI231">
        <v>19</v>
      </c>
      <c r="AJ231">
        <v>3</v>
      </c>
      <c r="AK231">
        <v>37</v>
      </c>
      <c r="AL231" t="s">
        <v>123</v>
      </c>
      <c r="AM231" t="s">
        <v>124</v>
      </c>
      <c r="AN231" t="s">
        <v>125</v>
      </c>
      <c r="AO231" t="s">
        <v>4882</v>
      </c>
      <c r="AP231" t="s">
        <v>4883</v>
      </c>
      <c r="AQ231" t="s">
        <v>74</v>
      </c>
      <c r="AR231" t="s">
        <v>4884</v>
      </c>
      <c r="AS231" t="s">
        <v>4885</v>
      </c>
      <c r="AT231" t="s">
        <v>74</v>
      </c>
      <c r="AU231">
        <v>2021</v>
      </c>
      <c r="AV231">
        <v>16</v>
      </c>
      <c r="AW231">
        <v>3</v>
      </c>
      <c r="AX231" t="s">
        <v>74</v>
      </c>
      <c r="AY231" t="s">
        <v>74</v>
      </c>
      <c r="AZ231" t="s">
        <v>74</v>
      </c>
      <c r="BA231" t="s">
        <v>74</v>
      </c>
      <c r="BB231" t="s">
        <v>74</v>
      </c>
      <c r="BC231" t="s">
        <v>74</v>
      </c>
      <c r="BD231">
        <v>1789</v>
      </c>
      <c r="BE231" t="s">
        <v>4886</v>
      </c>
      <c r="BF231" t="str">
        <f>HYPERLINK("http://dx.doi.org/10.4081/ija.2021.1789","http://dx.doi.org/10.4081/ija.2021.1789")</f>
        <v>http://dx.doi.org/10.4081/ija.2021.1789</v>
      </c>
      <c r="BG231" t="s">
        <v>74</v>
      </c>
      <c r="BH231" t="s">
        <v>74</v>
      </c>
      <c r="BI231">
        <v>13</v>
      </c>
      <c r="BJ231" t="s">
        <v>1357</v>
      </c>
      <c r="BK231" t="s">
        <v>102</v>
      </c>
      <c r="BL231" t="s">
        <v>103</v>
      </c>
      <c r="BM231" t="s">
        <v>4887</v>
      </c>
      <c r="BN231" t="s">
        <v>74</v>
      </c>
      <c r="BO231" t="s">
        <v>161</v>
      </c>
      <c r="BP231" t="s">
        <v>74</v>
      </c>
      <c r="BQ231" t="s">
        <v>74</v>
      </c>
      <c r="BR231" t="s">
        <v>106</v>
      </c>
      <c r="BS231" t="s">
        <v>4888</v>
      </c>
      <c r="BT231" t="str">
        <f>HYPERLINK("https%3A%2F%2Fwww.webofscience.com%2Fwos%2Fwoscc%2Ffull-record%2FWOS:000691312400002","View Full Record in Web of Science")</f>
        <v>View Full Record in Web of Science</v>
      </c>
    </row>
    <row r="232" spans="1:72" x14ac:dyDescent="0.2">
      <c r="A232" t="s">
        <v>72</v>
      </c>
      <c r="B232" t="s">
        <v>4889</v>
      </c>
      <c r="C232" t="s">
        <v>74</v>
      </c>
      <c r="D232" t="s">
        <v>74</v>
      </c>
      <c r="E232" t="s">
        <v>74</v>
      </c>
      <c r="F232" t="s">
        <v>4890</v>
      </c>
      <c r="G232" t="s">
        <v>74</v>
      </c>
      <c r="H232" t="s">
        <v>74</v>
      </c>
      <c r="I232" t="s">
        <v>4891</v>
      </c>
      <c r="J232" t="s">
        <v>138</v>
      </c>
      <c r="K232" t="s">
        <v>74</v>
      </c>
      <c r="L232" t="s">
        <v>74</v>
      </c>
      <c r="M232" t="s">
        <v>78</v>
      </c>
      <c r="N232" t="s">
        <v>79</v>
      </c>
      <c r="O232" t="s">
        <v>74</v>
      </c>
      <c r="P232" t="s">
        <v>74</v>
      </c>
      <c r="Q232" t="s">
        <v>74</v>
      </c>
      <c r="R232" t="s">
        <v>74</v>
      </c>
      <c r="S232" t="s">
        <v>74</v>
      </c>
      <c r="T232" t="s">
        <v>74</v>
      </c>
      <c r="U232" t="s">
        <v>4892</v>
      </c>
      <c r="V232" t="s">
        <v>4893</v>
      </c>
      <c r="W232" t="s">
        <v>4894</v>
      </c>
      <c r="X232" t="s">
        <v>4895</v>
      </c>
      <c r="Y232" t="s">
        <v>4896</v>
      </c>
      <c r="Z232" t="s">
        <v>4897</v>
      </c>
      <c r="AA232" t="s">
        <v>74</v>
      </c>
      <c r="AB232" t="s">
        <v>4898</v>
      </c>
      <c r="AC232" t="s">
        <v>4899</v>
      </c>
      <c r="AD232" t="s">
        <v>4900</v>
      </c>
      <c r="AE232" t="s">
        <v>4901</v>
      </c>
      <c r="AF232" t="s">
        <v>74</v>
      </c>
      <c r="AG232">
        <v>42</v>
      </c>
      <c r="AH232">
        <v>0</v>
      </c>
      <c r="AI232">
        <v>0</v>
      </c>
      <c r="AJ232">
        <v>4</v>
      </c>
      <c r="AK232">
        <v>4</v>
      </c>
      <c r="AL232" t="s">
        <v>150</v>
      </c>
      <c r="AM232" t="s">
        <v>151</v>
      </c>
      <c r="AN232" t="s">
        <v>152</v>
      </c>
      <c r="AO232" t="s">
        <v>74</v>
      </c>
      <c r="AP232" t="s">
        <v>153</v>
      </c>
      <c r="AQ232" t="s">
        <v>74</v>
      </c>
      <c r="AR232" t="s">
        <v>138</v>
      </c>
      <c r="AS232" t="s">
        <v>154</v>
      </c>
      <c r="AT232" t="s">
        <v>74</v>
      </c>
      <c r="AU232">
        <v>2025</v>
      </c>
      <c r="AV232">
        <v>20</v>
      </c>
      <c r="AW232">
        <v>6</v>
      </c>
      <c r="AX232" t="s">
        <v>74</v>
      </c>
      <c r="AY232" t="s">
        <v>74</v>
      </c>
      <c r="AZ232" t="s">
        <v>74</v>
      </c>
      <c r="BA232" t="s">
        <v>74</v>
      </c>
      <c r="BB232" t="s">
        <v>74</v>
      </c>
      <c r="BC232" t="s">
        <v>74</v>
      </c>
      <c r="BD232" t="s">
        <v>4902</v>
      </c>
      <c r="BE232" t="s">
        <v>4903</v>
      </c>
      <c r="BF232" t="str">
        <f>HYPERLINK("http://dx.doi.org/10.1371/journal.pone.0325757","http://dx.doi.org/10.1371/journal.pone.0325757")</f>
        <v>http://dx.doi.org/10.1371/journal.pone.0325757</v>
      </c>
      <c r="BG232" t="s">
        <v>74</v>
      </c>
      <c r="BH232" t="s">
        <v>74</v>
      </c>
      <c r="BI232">
        <v>15</v>
      </c>
      <c r="BJ232" t="s">
        <v>158</v>
      </c>
      <c r="BK232" t="s">
        <v>102</v>
      </c>
      <c r="BL232" t="s">
        <v>159</v>
      </c>
      <c r="BM232" t="s">
        <v>4904</v>
      </c>
      <c r="BN232">
        <v>40540469</v>
      </c>
      <c r="BO232" t="s">
        <v>231</v>
      </c>
      <c r="BP232" t="s">
        <v>74</v>
      </c>
      <c r="BQ232" t="s">
        <v>74</v>
      </c>
      <c r="BR232" t="s">
        <v>106</v>
      </c>
      <c r="BS232" t="s">
        <v>4905</v>
      </c>
      <c r="BT232" t="str">
        <f>HYPERLINK("https%3A%2F%2Fwww.webofscience.com%2Fwos%2Fwoscc%2Ffull-record%2FWOS:001512793300043","View Full Record in Web of Science")</f>
        <v>View Full Record in Web of Science</v>
      </c>
    </row>
    <row r="233" spans="1:72" x14ac:dyDescent="0.2">
      <c r="A233" t="s">
        <v>72</v>
      </c>
      <c r="B233" t="s">
        <v>4906</v>
      </c>
      <c r="C233" t="s">
        <v>74</v>
      </c>
      <c r="D233" t="s">
        <v>74</v>
      </c>
      <c r="E233" t="s">
        <v>74</v>
      </c>
      <c r="F233" t="s">
        <v>4907</v>
      </c>
      <c r="G233" t="s">
        <v>74</v>
      </c>
      <c r="H233" t="s">
        <v>74</v>
      </c>
      <c r="I233" t="s">
        <v>4908</v>
      </c>
      <c r="J233" t="s">
        <v>2236</v>
      </c>
      <c r="K233" t="s">
        <v>74</v>
      </c>
      <c r="L233" t="s">
        <v>74</v>
      </c>
      <c r="M233" t="s">
        <v>78</v>
      </c>
      <c r="N233" t="s">
        <v>79</v>
      </c>
      <c r="O233" t="s">
        <v>74</v>
      </c>
      <c r="P233" t="s">
        <v>74</v>
      </c>
      <c r="Q233" t="s">
        <v>74</v>
      </c>
      <c r="R233" t="s">
        <v>74</v>
      </c>
      <c r="S233" t="s">
        <v>74</v>
      </c>
      <c r="T233" t="s">
        <v>74</v>
      </c>
      <c r="U233" t="s">
        <v>4909</v>
      </c>
      <c r="V233" t="s">
        <v>4910</v>
      </c>
      <c r="W233" t="s">
        <v>4911</v>
      </c>
      <c r="X233" t="s">
        <v>4912</v>
      </c>
      <c r="Y233" t="s">
        <v>4913</v>
      </c>
      <c r="Z233" t="s">
        <v>4914</v>
      </c>
      <c r="AA233" t="s">
        <v>4915</v>
      </c>
      <c r="AB233" t="s">
        <v>4916</v>
      </c>
      <c r="AC233" t="s">
        <v>74</v>
      </c>
      <c r="AD233" t="s">
        <v>74</v>
      </c>
      <c r="AE233" t="s">
        <v>74</v>
      </c>
      <c r="AF233" t="s">
        <v>74</v>
      </c>
      <c r="AG233">
        <v>73</v>
      </c>
      <c r="AH233">
        <v>18</v>
      </c>
      <c r="AI233">
        <v>18</v>
      </c>
      <c r="AJ233">
        <v>2</v>
      </c>
      <c r="AK233">
        <v>33</v>
      </c>
      <c r="AL233" t="s">
        <v>176</v>
      </c>
      <c r="AM233" t="s">
        <v>177</v>
      </c>
      <c r="AN233" t="s">
        <v>178</v>
      </c>
      <c r="AO233" t="s">
        <v>2248</v>
      </c>
      <c r="AP233" t="s">
        <v>2249</v>
      </c>
      <c r="AQ233" t="s">
        <v>74</v>
      </c>
      <c r="AR233" t="s">
        <v>2250</v>
      </c>
      <c r="AS233" t="s">
        <v>2251</v>
      </c>
      <c r="AT233" t="s">
        <v>2017</v>
      </c>
      <c r="AU233">
        <v>2017</v>
      </c>
      <c r="AV233">
        <v>157</v>
      </c>
      <c r="AW233" t="s">
        <v>74</v>
      </c>
      <c r="AX233" t="s">
        <v>74</v>
      </c>
      <c r="AY233" t="s">
        <v>74</v>
      </c>
      <c r="AZ233" t="s">
        <v>74</v>
      </c>
      <c r="BA233" t="s">
        <v>74</v>
      </c>
      <c r="BB233">
        <v>258</v>
      </c>
      <c r="BC233">
        <v>268</v>
      </c>
      <c r="BD233" t="s">
        <v>74</v>
      </c>
      <c r="BE233" t="s">
        <v>4917</v>
      </c>
      <c r="BF233" t="str">
        <f>HYPERLINK("http://dx.doi.org/10.1016/j.agsy.2017.07.017","http://dx.doi.org/10.1016/j.agsy.2017.07.017")</f>
        <v>http://dx.doi.org/10.1016/j.agsy.2017.07.017</v>
      </c>
      <c r="BG233" t="s">
        <v>74</v>
      </c>
      <c r="BH233" t="s">
        <v>74</v>
      </c>
      <c r="BI233">
        <v>11</v>
      </c>
      <c r="BJ233" t="s">
        <v>101</v>
      </c>
      <c r="BK233" t="s">
        <v>102</v>
      </c>
      <c r="BL233" t="s">
        <v>103</v>
      </c>
      <c r="BM233" t="s">
        <v>4918</v>
      </c>
      <c r="BN233" t="s">
        <v>74</v>
      </c>
      <c r="BO233" t="s">
        <v>74</v>
      </c>
      <c r="BP233" t="s">
        <v>74</v>
      </c>
      <c r="BQ233" t="s">
        <v>74</v>
      </c>
      <c r="BR233" t="s">
        <v>106</v>
      </c>
      <c r="BS233" t="s">
        <v>4919</v>
      </c>
      <c r="BT233" t="str">
        <f>HYPERLINK("https%3A%2F%2Fwww.webofscience.com%2Fwos%2Fwoscc%2Ffull-record%2FWOS:000413282600022","View Full Record in Web of Science")</f>
        <v>View Full Record in Web of Science</v>
      </c>
    </row>
    <row r="234" spans="1:72" x14ac:dyDescent="0.2">
      <c r="A234" t="s">
        <v>72</v>
      </c>
      <c r="B234" t="s">
        <v>4920</v>
      </c>
      <c r="C234" t="s">
        <v>74</v>
      </c>
      <c r="D234" t="s">
        <v>74</v>
      </c>
      <c r="E234" t="s">
        <v>74</v>
      </c>
      <c r="F234" t="s">
        <v>4921</v>
      </c>
      <c r="G234" t="s">
        <v>74</v>
      </c>
      <c r="H234" t="s">
        <v>74</v>
      </c>
      <c r="I234" t="s">
        <v>4922</v>
      </c>
      <c r="J234" t="s">
        <v>4923</v>
      </c>
      <c r="K234" t="s">
        <v>74</v>
      </c>
      <c r="L234" t="s">
        <v>74</v>
      </c>
      <c r="M234" t="s">
        <v>78</v>
      </c>
      <c r="N234" t="s">
        <v>79</v>
      </c>
      <c r="O234" t="s">
        <v>74</v>
      </c>
      <c r="P234" t="s">
        <v>74</v>
      </c>
      <c r="Q234" t="s">
        <v>74</v>
      </c>
      <c r="R234" t="s">
        <v>74</v>
      </c>
      <c r="S234" t="s">
        <v>74</v>
      </c>
      <c r="T234" t="s">
        <v>4924</v>
      </c>
      <c r="U234" t="s">
        <v>4925</v>
      </c>
      <c r="V234" t="s">
        <v>4926</v>
      </c>
      <c r="W234" t="s">
        <v>4927</v>
      </c>
      <c r="X234" t="s">
        <v>4928</v>
      </c>
      <c r="Y234" t="s">
        <v>4929</v>
      </c>
      <c r="Z234" t="s">
        <v>4930</v>
      </c>
      <c r="AA234" t="s">
        <v>4931</v>
      </c>
      <c r="AB234" t="s">
        <v>4932</v>
      </c>
      <c r="AC234" t="s">
        <v>4933</v>
      </c>
      <c r="AD234" t="s">
        <v>4933</v>
      </c>
      <c r="AE234" t="s">
        <v>4934</v>
      </c>
      <c r="AF234" t="s">
        <v>74</v>
      </c>
      <c r="AG234">
        <v>65</v>
      </c>
      <c r="AH234">
        <v>54</v>
      </c>
      <c r="AI234">
        <v>64</v>
      </c>
      <c r="AJ234">
        <v>16</v>
      </c>
      <c r="AK234">
        <v>82</v>
      </c>
      <c r="AL234" t="s">
        <v>4935</v>
      </c>
      <c r="AM234" t="s">
        <v>4936</v>
      </c>
      <c r="AN234" t="s">
        <v>4937</v>
      </c>
      <c r="AO234" t="s">
        <v>4938</v>
      </c>
      <c r="AP234" t="s">
        <v>4939</v>
      </c>
      <c r="AQ234" t="s">
        <v>74</v>
      </c>
      <c r="AR234" t="s">
        <v>4923</v>
      </c>
      <c r="AS234" t="s">
        <v>4940</v>
      </c>
      <c r="AT234" t="s">
        <v>1069</v>
      </c>
      <c r="AU234">
        <v>2023</v>
      </c>
      <c r="AV234">
        <v>5</v>
      </c>
      <c r="AW234">
        <v>1</v>
      </c>
      <c r="AX234" t="s">
        <v>74</v>
      </c>
      <c r="AY234" t="s">
        <v>74</v>
      </c>
      <c r="AZ234" t="s">
        <v>74</v>
      </c>
      <c r="BA234" t="s">
        <v>74</v>
      </c>
      <c r="BB234" t="s">
        <v>74</v>
      </c>
      <c r="BC234" t="s">
        <v>74</v>
      </c>
      <c r="BD234">
        <v>65</v>
      </c>
      <c r="BE234" t="s">
        <v>4941</v>
      </c>
      <c r="BF234" t="str">
        <f>HYPERLINK("http://dx.doi.org/10.1007/s42773-023-00258-2","http://dx.doi.org/10.1007/s42773-023-00258-2")</f>
        <v>http://dx.doi.org/10.1007/s42773-023-00258-2</v>
      </c>
      <c r="BG234" t="s">
        <v>74</v>
      </c>
      <c r="BH234" t="s">
        <v>74</v>
      </c>
      <c r="BI234">
        <v>17</v>
      </c>
      <c r="BJ234" t="s">
        <v>4942</v>
      </c>
      <c r="BK234" t="s">
        <v>102</v>
      </c>
      <c r="BL234" t="s">
        <v>4943</v>
      </c>
      <c r="BM234" t="s">
        <v>4944</v>
      </c>
      <c r="BN234" t="s">
        <v>74</v>
      </c>
      <c r="BO234" t="s">
        <v>231</v>
      </c>
      <c r="BP234" t="s">
        <v>74</v>
      </c>
      <c r="BQ234" t="s">
        <v>74</v>
      </c>
      <c r="BR234" t="s">
        <v>106</v>
      </c>
      <c r="BS234" t="s">
        <v>4945</v>
      </c>
      <c r="BT234" t="str">
        <f>HYPERLINK("https%3A%2F%2Fwww.webofscience.com%2Fwos%2Fwoscc%2Ffull-record%2FWOS:001077804900001","View Full Record in Web of Science")</f>
        <v>View Full Record in Web of Science</v>
      </c>
    </row>
    <row r="235" spans="1:72" x14ac:dyDescent="0.2">
      <c r="A235" t="s">
        <v>72</v>
      </c>
      <c r="B235" t="s">
        <v>4946</v>
      </c>
      <c r="C235" t="s">
        <v>74</v>
      </c>
      <c r="D235" t="s">
        <v>74</v>
      </c>
      <c r="E235" t="s">
        <v>74</v>
      </c>
      <c r="F235" t="s">
        <v>4947</v>
      </c>
      <c r="G235" t="s">
        <v>74</v>
      </c>
      <c r="H235" t="s">
        <v>74</v>
      </c>
      <c r="I235" t="s">
        <v>4948</v>
      </c>
      <c r="J235" t="s">
        <v>347</v>
      </c>
      <c r="K235" t="s">
        <v>74</v>
      </c>
      <c r="L235" t="s">
        <v>74</v>
      </c>
      <c r="M235" t="s">
        <v>78</v>
      </c>
      <c r="N235" t="s">
        <v>79</v>
      </c>
      <c r="O235" t="s">
        <v>74</v>
      </c>
      <c r="P235" t="s">
        <v>74</v>
      </c>
      <c r="Q235" t="s">
        <v>74</v>
      </c>
      <c r="R235" t="s">
        <v>74</v>
      </c>
      <c r="S235" t="s">
        <v>74</v>
      </c>
      <c r="T235" t="s">
        <v>4949</v>
      </c>
      <c r="U235" t="s">
        <v>4950</v>
      </c>
      <c r="V235" t="s">
        <v>4951</v>
      </c>
      <c r="W235" t="s">
        <v>4952</v>
      </c>
      <c r="X235" t="s">
        <v>4953</v>
      </c>
      <c r="Y235" t="s">
        <v>4954</v>
      </c>
      <c r="Z235" t="s">
        <v>4955</v>
      </c>
      <c r="AA235" t="s">
        <v>4956</v>
      </c>
      <c r="AB235" t="s">
        <v>74</v>
      </c>
      <c r="AC235" t="s">
        <v>4844</v>
      </c>
      <c r="AD235" t="s">
        <v>1591</v>
      </c>
      <c r="AE235" t="s">
        <v>456</v>
      </c>
      <c r="AF235" t="s">
        <v>74</v>
      </c>
      <c r="AG235">
        <v>51</v>
      </c>
      <c r="AH235">
        <v>5</v>
      </c>
      <c r="AI235">
        <v>8</v>
      </c>
      <c r="AJ235">
        <v>7</v>
      </c>
      <c r="AK235">
        <v>52</v>
      </c>
      <c r="AL235" t="s">
        <v>274</v>
      </c>
      <c r="AM235" t="s">
        <v>275</v>
      </c>
      <c r="AN235" t="s">
        <v>276</v>
      </c>
      <c r="AO235" t="s">
        <v>357</v>
      </c>
      <c r="AP235" t="s">
        <v>74</v>
      </c>
      <c r="AQ235" t="s">
        <v>74</v>
      </c>
      <c r="AR235" t="s">
        <v>358</v>
      </c>
      <c r="AS235" t="s">
        <v>359</v>
      </c>
      <c r="AT235" t="s">
        <v>4957</v>
      </c>
      <c r="AU235">
        <v>2024</v>
      </c>
      <c r="AV235">
        <v>14</v>
      </c>
      <c r="AW235">
        <v>1</v>
      </c>
      <c r="AX235" t="s">
        <v>74</v>
      </c>
      <c r="AY235" t="s">
        <v>74</v>
      </c>
      <c r="AZ235" t="s">
        <v>74</v>
      </c>
      <c r="BA235" t="s">
        <v>74</v>
      </c>
      <c r="BB235" t="s">
        <v>74</v>
      </c>
      <c r="BC235" t="s">
        <v>74</v>
      </c>
      <c r="BD235">
        <v>9310</v>
      </c>
      <c r="BE235" t="s">
        <v>4958</v>
      </c>
      <c r="BF235" t="str">
        <f>HYPERLINK("http://dx.doi.org/10.1038/s41598-024-60036-3","http://dx.doi.org/10.1038/s41598-024-60036-3")</f>
        <v>http://dx.doi.org/10.1038/s41598-024-60036-3</v>
      </c>
      <c r="BG235" t="s">
        <v>74</v>
      </c>
      <c r="BH235" t="s">
        <v>74</v>
      </c>
      <c r="BI235">
        <v>17</v>
      </c>
      <c r="BJ235" t="s">
        <v>158</v>
      </c>
      <c r="BK235" t="s">
        <v>102</v>
      </c>
      <c r="BL235" t="s">
        <v>159</v>
      </c>
      <c r="BM235" t="s">
        <v>4959</v>
      </c>
      <c r="BN235">
        <v>38653741</v>
      </c>
      <c r="BO235" t="s">
        <v>161</v>
      </c>
      <c r="BP235" t="s">
        <v>74</v>
      </c>
      <c r="BQ235" t="s">
        <v>74</v>
      </c>
      <c r="BR235" t="s">
        <v>106</v>
      </c>
      <c r="BS235" t="s">
        <v>4960</v>
      </c>
      <c r="BT235" t="str">
        <f>HYPERLINK("https%3A%2F%2Fwww.webofscience.com%2Fwos%2Fwoscc%2Ffull-record%2FWOS:001207399200112","View Full Record in Web of Science")</f>
        <v>View Full Record in Web of Science</v>
      </c>
    </row>
    <row r="236" spans="1:72" x14ac:dyDescent="0.2">
      <c r="A236" t="s">
        <v>72</v>
      </c>
      <c r="B236" t="s">
        <v>4961</v>
      </c>
      <c r="C236" t="s">
        <v>74</v>
      </c>
      <c r="D236" t="s">
        <v>74</v>
      </c>
      <c r="E236" t="s">
        <v>74</v>
      </c>
      <c r="F236" t="s">
        <v>4962</v>
      </c>
      <c r="G236" t="s">
        <v>74</v>
      </c>
      <c r="H236" t="s">
        <v>74</v>
      </c>
      <c r="I236" t="s">
        <v>4963</v>
      </c>
      <c r="J236" t="s">
        <v>4964</v>
      </c>
      <c r="K236" t="s">
        <v>74</v>
      </c>
      <c r="L236" t="s">
        <v>74</v>
      </c>
      <c r="M236" t="s">
        <v>78</v>
      </c>
      <c r="N236" t="s">
        <v>79</v>
      </c>
      <c r="O236" t="s">
        <v>74</v>
      </c>
      <c r="P236" t="s">
        <v>74</v>
      </c>
      <c r="Q236" t="s">
        <v>74</v>
      </c>
      <c r="R236" t="s">
        <v>74</v>
      </c>
      <c r="S236" t="s">
        <v>74</v>
      </c>
      <c r="T236" t="s">
        <v>74</v>
      </c>
      <c r="U236" t="s">
        <v>4965</v>
      </c>
      <c r="V236" t="s">
        <v>4966</v>
      </c>
      <c r="W236" t="s">
        <v>4967</v>
      </c>
      <c r="X236" t="s">
        <v>4968</v>
      </c>
      <c r="Y236" t="s">
        <v>4969</v>
      </c>
      <c r="Z236" t="s">
        <v>4970</v>
      </c>
      <c r="AA236" t="s">
        <v>74</v>
      </c>
      <c r="AB236" t="s">
        <v>74</v>
      </c>
      <c r="AC236" t="s">
        <v>4971</v>
      </c>
      <c r="AD236" t="s">
        <v>4972</v>
      </c>
      <c r="AE236" t="s">
        <v>4973</v>
      </c>
      <c r="AF236" t="s">
        <v>74</v>
      </c>
      <c r="AG236">
        <v>77</v>
      </c>
      <c r="AH236">
        <v>9</v>
      </c>
      <c r="AI236">
        <v>10</v>
      </c>
      <c r="AJ236">
        <v>1</v>
      </c>
      <c r="AK236">
        <v>15</v>
      </c>
      <c r="AL236" t="s">
        <v>247</v>
      </c>
      <c r="AM236" t="s">
        <v>248</v>
      </c>
      <c r="AN236" t="s">
        <v>249</v>
      </c>
      <c r="AO236" t="s">
        <v>74</v>
      </c>
      <c r="AP236" t="s">
        <v>4974</v>
      </c>
      <c r="AQ236" t="s">
        <v>74</v>
      </c>
      <c r="AR236" t="s">
        <v>4975</v>
      </c>
      <c r="AS236" t="s">
        <v>4976</v>
      </c>
      <c r="AT236" t="s">
        <v>1963</v>
      </c>
      <c r="AU236">
        <v>2022</v>
      </c>
      <c r="AV236">
        <v>21</v>
      </c>
      <c r="AW236">
        <v>5</v>
      </c>
      <c r="AX236" t="s">
        <v>74</v>
      </c>
      <c r="AY236" t="s">
        <v>74</v>
      </c>
      <c r="AZ236" t="s">
        <v>74</v>
      </c>
      <c r="BA236" t="s">
        <v>74</v>
      </c>
      <c r="BB236" t="s">
        <v>74</v>
      </c>
      <c r="BC236" t="s">
        <v>74</v>
      </c>
      <c r="BD236" t="s">
        <v>4977</v>
      </c>
      <c r="BE236" t="s">
        <v>4978</v>
      </c>
      <c r="BF236" t="str">
        <f>HYPERLINK("http://dx.doi.org/10.1002/vzj2.20208","http://dx.doi.org/10.1002/vzj2.20208")</f>
        <v>http://dx.doi.org/10.1002/vzj2.20208</v>
      </c>
      <c r="BG236" t="s">
        <v>74</v>
      </c>
      <c r="BH236" t="s">
        <v>1014</v>
      </c>
      <c r="BI236">
        <v>13</v>
      </c>
      <c r="BJ236" t="s">
        <v>4979</v>
      </c>
      <c r="BK236" t="s">
        <v>102</v>
      </c>
      <c r="BL236" t="s">
        <v>4980</v>
      </c>
      <c r="BM236" t="s">
        <v>4981</v>
      </c>
      <c r="BN236" t="s">
        <v>74</v>
      </c>
      <c r="BO236" t="s">
        <v>161</v>
      </c>
      <c r="BP236" t="s">
        <v>74</v>
      </c>
      <c r="BQ236" t="s">
        <v>74</v>
      </c>
      <c r="BR236" t="s">
        <v>106</v>
      </c>
      <c r="BS236" t="s">
        <v>4982</v>
      </c>
      <c r="BT236" t="str">
        <f>HYPERLINK("https%3A%2F%2Fwww.webofscience.com%2Fwos%2Fwoscc%2Ffull-record%2FWOS:000826786400001","View Full Record in Web of Science")</f>
        <v>View Full Record in Web of Science</v>
      </c>
    </row>
    <row r="237" spans="1:72" x14ac:dyDescent="0.2">
      <c r="A237" t="s">
        <v>72</v>
      </c>
      <c r="B237" t="s">
        <v>4983</v>
      </c>
      <c r="C237" t="s">
        <v>74</v>
      </c>
      <c r="D237" t="s">
        <v>74</v>
      </c>
      <c r="E237" t="s">
        <v>74</v>
      </c>
      <c r="F237" t="s">
        <v>4984</v>
      </c>
      <c r="G237" t="s">
        <v>74</v>
      </c>
      <c r="H237" t="s">
        <v>74</v>
      </c>
      <c r="I237" t="s">
        <v>4985</v>
      </c>
      <c r="J237" t="s">
        <v>4986</v>
      </c>
      <c r="K237" t="s">
        <v>74</v>
      </c>
      <c r="L237" t="s">
        <v>74</v>
      </c>
      <c r="M237" t="s">
        <v>78</v>
      </c>
      <c r="N237" t="s">
        <v>79</v>
      </c>
      <c r="O237" t="s">
        <v>74</v>
      </c>
      <c r="P237" t="s">
        <v>74</v>
      </c>
      <c r="Q237" t="s">
        <v>74</v>
      </c>
      <c r="R237" t="s">
        <v>74</v>
      </c>
      <c r="S237" t="s">
        <v>74</v>
      </c>
      <c r="T237" t="s">
        <v>4987</v>
      </c>
      <c r="U237" t="s">
        <v>4988</v>
      </c>
      <c r="V237" t="s">
        <v>4989</v>
      </c>
      <c r="W237" t="s">
        <v>4990</v>
      </c>
      <c r="X237" t="s">
        <v>4991</v>
      </c>
      <c r="Y237" t="s">
        <v>4992</v>
      </c>
      <c r="Z237" t="s">
        <v>4993</v>
      </c>
      <c r="AA237" t="s">
        <v>4994</v>
      </c>
      <c r="AB237" t="s">
        <v>4995</v>
      </c>
      <c r="AC237" t="s">
        <v>74</v>
      </c>
      <c r="AD237" t="s">
        <v>74</v>
      </c>
      <c r="AE237" t="s">
        <v>74</v>
      </c>
      <c r="AF237" t="s">
        <v>74</v>
      </c>
      <c r="AG237">
        <v>55</v>
      </c>
      <c r="AH237">
        <v>58</v>
      </c>
      <c r="AI237">
        <v>66</v>
      </c>
      <c r="AJ237">
        <v>0</v>
      </c>
      <c r="AK237">
        <v>70</v>
      </c>
      <c r="AL237" t="s">
        <v>123</v>
      </c>
      <c r="AM237" t="s">
        <v>124</v>
      </c>
      <c r="AN237" t="s">
        <v>125</v>
      </c>
      <c r="AO237" t="s">
        <v>4996</v>
      </c>
      <c r="AP237" t="s">
        <v>4997</v>
      </c>
      <c r="AQ237" t="s">
        <v>74</v>
      </c>
      <c r="AR237" t="s">
        <v>4998</v>
      </c>
      <c r="AS237" t="s">
        <v>4999</v>
      </c>
      <c r="AT237" t="s">
        <v>4711</v>
      </c>
      <c r="AU237">
        <v>2019</v>
      </c>
      <c r="AV237">
        <v>378</v>
      </c>
      <c r="AW237" t="s">
        <v>74</v>
      </c>
      <c r="AX237" t="s">
        <v>74</v>
      </c>
      <c r="AY237" t="s">
        <v>74</v>
      </c>
      <c r="AZ237" t="s">
        <v>74</v>
      </c>
      <c r="BA237" t="s">
        <v>74</v>
      </c>
      <c r="BB237" t="s">
        <v>74</v>
      </c>
      <c r="BC237" t="s">
        <v>74</v>
      </c>
      <c r="BD237">
        <v>120747</v>
      </c>
      <c r="BE237" t="s">
        <v>5000</v>
      </c>
      <c r="BF237" t="str">
        <f>HYPERLINK("http://dx.doi.org/10.1016/j.jhazmat.2019.120747","http://dx.doi.org/10.1016/j.jhazmat.2019.120747")</f>
        <v>http://dx.doi.org/10.1016/j.jhazmat.2019.120747</v>
      </c>
      <c r="BG237" t="s">
        <v>74</v>
      </c>
      <c r="BH237" t="s">
        <v>74</v>
      </c>
      <c r="BI237">
        <v>8</v>
      </c>
      <c r="BJ237" t="s">
        <v>340</v>
      </c>
      <c r="BK237" t="s">
        <v>102</v>
      </c>
      <c r="BL237" t="s">
        <v>341</v>
      </c>
      <c r="BM237" t="s">
        <v>5001</v>
      </c>
      <c r="BN237">
        <v>31212088</v>
      </c>
      <c r="BO237" t="s">
        <v>105</v>
      </c>
      <c r="BP237" t="s">
        <v>74</v>
      </c>
      <c r="BQ237" t="s">
        <v>74</v>
      </c>
      <c r="BR237" t="s">
        <v>106</v>
      </c>
      <c r="BS237" t="s">
        <v>5002</v>
      </c>
      <c r="BT237" t="str">
        <f>HYPERLINK("https%3A%2F%2Fwww.webofscience.com%2Fwos%2Fwoscc%2Ffull-record%2FWOS:000489188300045","View Full Record in Web of Science")</f>
        <v>View Full Record in Web of Science</v>
      </c>
    </row>
    <row r="238" spans="1:72" x14ac:dyDescent="0.2">
      <c r="A238" t="s">
        <v>72</v>
      </c>
      <c r="B238" t="s">
        <v>5003</v>
      </c>
      <c r="C238" t="s">
        <v>74</v>
      </c>
      <c r="D238" t="s">
        <v>74</v>
      </c>
      <c r="E238" t="s">
        <v>74</v>
      </c>
      <c r="F238" t="s">
        <v>5004</v>
      </c>
      <c r="G238" t="s">
        <v>74</v>
      </c>
      <c r="H238" t="s">
        <v>74</v>
      </c>
      <c r="I238" t="s">
        <v>5005</v>
      </c>
      <c r="J238" t="s">
        <v>5006</v>
      </c>
      <c r="K238" t="s">
        <v>74</v>
      </c>
      <c r="L238" t="s">
        <v>74</v>
      </c>
      <c r="M238" t="s">
        <v>78</v>
      </c>
      <c r="N238" t="s">
        <v>79</v>
      </c>
      <c r="O238" t="s">
        <v>74</v>
      </c>
      <c r="P238" t="s">
        <v>74</v>
      </c>
      <c r="Q238" t="s">
        <v>74</v>
      </c>
      <c r="R238" t="s">
        <v>74</v>
      </c>
      <c r="S238" t="s">
        <v>74</v>
      </c>
      <c r="T238" t="s">
        <v>5007</v>
      </c>
      <c r="U238" t="s">
        <v>5008</v>
      </c>
      <c r="V238" t="s">
        <v>5009</v>
      </c>
      <c r="W238" t="s">
        <v>5010</v>
      </c>
      <c r="X238" t="s">
        <v>5011</v>
      </c>
      <c r="Y238" t="s">
        <v>5012</v>
      </c>
      <c r="Z238" t="s">
        <v>5013</v>
      </c>
      <c r="AA238" t="s">
        <v>5014</v>
      </c>
      <c r="AB238" t="s">
        <v>5015</v>
      </c>
      <c r="AC238" t="s">
        <v>5016</v>
      </c>
      <c r="AD238" t="s">
        <v>5017</v>
      </c>
      <c r="AE238" t="s">
        <v>5018</v>
      </c>
      <c r="AF238" t="s">
        <v>74</v>
      </c>
      <c r="AG238">
        <v>53</v>
      </c>
      <c r="AH238">
        <v>14</v>
      </c>
      <c r="AI238">
        <v>16</v>
      </c>
      <c r="AJ238">
        <v>0</v>
      </c>
      <c r="AK238">
        <v>31</v>
      </c>
      <c r="AL238" t="s">
        <v>123</v>
      </c>
      <c r="AM238" t="s">
        <v>124</v>
      </c>
      <c r="AN238" t="s">
        <v>125</v>
      </c>
      <c r="AO238" t="s">
        <v>5019</v>
      </c>
      <c r="AP238" t="s">
        <v>74</v>
      </c>
      <c r="AQ238" t="s">
        <v>74</v>
      </c>
      <c r="AR238" t="s">
        <v>5020</v>
      </c>
      <c r="AS238" t="s">
        <v>5021</v>
      </c>
      <c r="AT238" t="s">
        <v>1109</v>
      </c>
      <c r="AU238">
        <v>2017</v>
      </c>
      <c r="AV238">
        <v>11</v>
      </c>
      <c r="AW238" t="s">
        <v>74</v>
      </c>
      <c r="AX238" t="s">
        <v>74</v>
      </c>
      <c r="AY238" t="s">
        <v>74</v>
      </c>
      <c r="AZ238" t="s">
        <v>74</v>
      </c>
      <c r="BA238" t="s">
        <v>74</v>
      </c>
      <c r="BB238">
        <v>53</v>
      </c>
      <c r="BC238">
        <v>61</v>
      </c>
      <c r="BD238" t="s">
        <v>74</v>
      </c>
      <c r="BE238" t="s">
        <v>5022</v>
      </c>
      <c r="BF238" t="str">
        <f>HYPERLINK("http://dx.doi.org/10.1016/j.geodrs.2017.09.001","http://dx.doi.org/10.1016/j.geodrs.2017.09.001")</f>
        <v>http://dx.doi.org/10.1016/j.geodrs.2017.09.001</v>
      </c>
      <c r="BG238" t="s">
        <v>74</v>
      </c>
      <c r="BH238" t="s">
        <v>74</v>
      </c>
      <c r="BI238">
        <v>9</v>
      </c>
      <c r="BJ238" t="s">
        <v>256</v>
      </c>
      <c r="BK238" t="s">
        <v>102</v>
      </c>
      <c r="BL238" t="s">
        <v>103</v>
      </c>
      <c r="BM238" t="s">
        <v>5023</v>
      </c>
      <c r="BN238" t="s">
        <v>74</v>
      </c>
      <c r="BO238" t="s">
        <v>74</v>
      </c>
      <c r="BP238" t="s">
        <v>74</v>
      </c>
      <c r="BQ238" t="s">
        <v>74</v>
      </c>
      <c r="BR238" t="s">
        <v>106</v>
      </c>
      <c r="BS238" t="s">
        <v>5024</v>
      </c>
      <c r="BT238" t="str">
        <f>HYPERLINK("https%3A%2F%2Fwww.webofscience.com%2Fwos%2Fwoscc%2Ffull-record%2FWOS:000457280400007","View Full Record in Web of Science")</f>
        <v>View Full Record in Web of Science</v>
      </c>
    </row>
    <row r="239" spans="1:72" x14ac:dyDescent="0.2">
      <c r="A239" t="s">
        <v>72</v>
      </c>
      <c r="B239" t="s">
        <v>5025</v>
      </c>
      <c r="C239" t="s">
        <v>74</v>
      </c>
      <c r="D239" t="s">
        <v>74</v>
      </c>
      <c r="E239" t="s">
        <v>74</v>
      </c>
      <c r="F239" t="s">
        <v>5026</v>
      </c>
      <c r="G239" t="s">
        <v>74</v>
      </c>
      <c r="H239" t="s">
        <v>74</v>
      </c>
      <c r="I239" t="s">
        <v>5027</v>
      </c>
      <c r="J239" t="s">
        <v>1526</v>
      </c>
      <c r="K239" t="s">
        <v>74</v>
      </c>
      <c r="L239" t="s">
        <v>74</v>
      </c>
      <c r="M239" t="s">
        <v>78</v>
      </c>
      <c r="N239" t="s">
        <v>79</v>
      </c>
      <c r="O239" t="s">
        <v>74</v>
      </c>
      <c r="P239" t="s">
        <v>74</v>
      </c>
      <c r="Q239" t="s">
        <v>74</v>
      </c>
      <c r="R239" t="s">
        <v>74</v>
      </c>
      <c r="S239" t="s">
        <v>74</v>
      </c>
      <c r="T239" t="s">
        <v>5028</v>
      </c>
      <c r="U239" t="s">
        <v>5029</v>
      </c>
      <c r="V239" t="s">
        <v>5030</v>
      </c>
      <c r="W239" t="s">
        <v>5031</v>
      </c>
      <c r="X239" t="s">
        <v>5032</v>
      </c>
      <c r="Y239" t="s">
        <v>5033</v>
      </c>
      <c r="Z239" t="s">
        <v>5034</v>
      </c>
      <c r="AA239" t="s">
        <v>5035</v>
      </c>
      <c r="AB239" t="s">
        <v>5036</v>
      </c>
      <c r="AC239" t="s">
        <v>5037</v>
      </c>
      <c r="AD239" t="s">
        <v>5038</v>
      </c>
      <c r="AE239" t="s">
        <v>5039</v>
      </c>
      <c r="AF239" t="s">
        <v>74</v>
      </c>
      <c r="AG239">
        <v>48</v>
      </c>
      <c r="AH239">
        <v>78</v>
      </c>
      <c r="AI239">
        <v>87</v>
      </c>
      <c r="AJ239">
        <v>22</v>
      </c>
      <c r="AK239">
        <v>243</v>
      </c>
      <c r="AL239" t="s">
        <v>176</v>
      </c>
      <c r="AM239" t="s">
        <v>177</v>
      </c>
      <c r="AN239" t="s">
        <v>178</v>
      </c>
      <c r="AO239" t="s">
        <v>1538</v>
      </c>
      <c r="AP239" t="s">
        <v>1539</v>
      </c>
      <c r="AQ239" t="s">
        <v>74</v>
      </c>
      <c r="AR239" t="s">
        <v>1540</v>
      </c>
      <c r="AS239" t="s">
        <v>1541</v>
      </c>
      <c r="AT239" t="s">
        <v>3270</v>
      </c>
      <c r="AU239">
        <v>2020</v>
      </c>
      <c r="AV239">
        <v>263</v>
      </c>
      <c r="AW239" t="s">
        <v>74</v>
      </c>
      <c r="AX239" t="s">
        <v>74</v>
      </c>
      <c r="AY239" t="s">
        <v>74</v>
      </c>
      <c r="AZ239" t="s">
        <v>74</v>
      </c>
      <c r="BA239" t="s">
        <v>74</v>
      </c>
      <c r="BB239" t="s">
        <v>74</v>
      </c>
      <c r="BC239" t="s">
        <v>74</v>
      </c>
      <c r="BD239">
        <v>121470</v>
      </c>
      <c r="BE239" t="s">
        <v>5040</v>
      </c>
      <c r="BF239" t="str">
        <f>HYPERLINK("http://dx.doi.org/10.1016/j.jclepro.2020.121470","http://dx.doi.org/10.1016/j.jclepro.2020.121470")</f>
        <v>http://dx.doi.org/10.1016/j.jclepro.2020.121470</v>
      </c>
      <c r="BG239" t="s">
        <v>74</v>
      </c>
      <c r="BH239" t="s">
        <v>74</v>
      </c>
      <c r="BI239">
        <v>10</v>
      </c>
      <c r="BJ239" t="s">
        <v>1543</v>
      </c>
      <c r="BK239" t="s">
        <v>102</v>
      </c>
      <c r="BL239" t="s">
        <v>1544</v>
      </c>
      <c r="BM239" t="s">
        <v>5041</v>
      </c>
      <c r="BN239" t="s">
        <v>74</v>
      </c>
      <c r="BO239" t="s">
        <v>231</v>
      </c>
      <c r="BP239" t="s">
        <v>74</v>
      </c>
      <c r="BQ239" t="s">
        <v>74</v>
      </c>
      <c r="BR239" t="s">
        <v>106</v>
      </c>
      <c r="BS239" t="s">
        <v>5042</v>
      </c>
      <c r="BT239" t="str">
        <f>HYPERLINK("https%3A%2F%2Fwww.webofscience.com%2Fwos%2Fwoscc%2Ffull-record%2FWOS:000537165200004","View Full Record in Web of Science")</f>
        <v>View Full Record in Web of Science</v>
      </c>
    </row>
    <row r="240" spans="1:72" x14ac:dyDescent="0.2">
      <c r="A240" t="s">
        <v>72</v>
      </c>
      <c r="B240" t="s">
        <v>5043</v>
      </c>
      <c r="C240" t="s">
        <v>74</v>
      </c>
      <c r="D240" t="s">
        <v>74</v>
      </c>
      <c r="E240" t="s">
        <v>74</v>
      </c>
      <c r="F240" t="s">
        <v>5044</v>
      </c>
      <c r="G240" t="s">
        <v>74</v>
      </c>
      <c r="H240" t="s">
        <v>74</v>
      </c>
      <c r="I240" t="s">
        <v>5045</v>
      </c>
      <c r="J240" t="s">
        <v>1344</v>
      </c>
      <c r="K240" t="s">
        <v>74</v>
      </c>
      <c r="L240" t="s">
        <v>74</v>
      </c>
      <c r="M240" t="s">
        <v>78</v>
      </c>
      <c r="N240" t="s">
        <v>79</v>
      </c>
      <c r="O240" t="s">
        <v>74</v>
      </c>
      <c r="P240" t="s">
        <v>74</v>
      </c>
      <c r="Q240" t="s">
        <v>74</v>
      </c>
      <c r="R240" t="s">
        <v>74</v>
      </c>
      <c r="S240" t="s">
        <v>74</v>
      </c>
      <c r="T240" t="s">
        <v>5046</v>
      </c>
      <c r="U240" t="s">
        <v>5047</v>
      </c>
      <c r="V240" t="s">
        <v>5048</v>
      </c>
      <c r="W240" t="s">
        <v>5049</v>
      </c>
      <c r="X240" t="s">
        <v>5050</v>
      </c>
      <c r="Y240" t="s">
        <v>5051</v>
      </c>
      <c r="Z240" t="s">
        <v>5052</v>
      </c>
      <c r="AA240" t="s">
        <v>74</v>
      </c>
      <c r="AB240" t="s">
        <v>5053</v>
      </c>
      <c r="AC240" t="s">
        <v>5054</v>
      </c>
      <c r="AD240" t="s">
        <v>5055</v>
      </c>
      <c r="AE240" t="s">
        <v>5056</v>
      </c>
      <c r="AF240" t="s">
        <v>74</v>
      </c>
      <c r="AG240">
        <v>38</v>
      </c>
      <c r="AH240">
        <v>21</v>
      </c>
      <c r="AI240">
        <v>21</v>
      </c>
      <c r="AJ240">
        <v>19</v>
      </c>
      <c r="AK240">
        <v>55</v>
      </c>
      <c r="AL240" t="s">
        <v>222</v>
      </c>
      <c r="AM240" t="s">
        <v>223</v>
      </c>
      <c r="AN240" t="s">
        <v>478</v>
      </c>
      <c r="AO240" t="s">
        <v>74</v>
      </c>
      <c r="AP240" t="s">
        <v>1354</v>
      </c>
      <c r="AQ240" t="s">
        <v>74</v>
      </c>
      <c r="AR240" t="s">
        <v>1344</v>
      </c>
      <c r="AS240" t="s">
        <v>1355</v>
      </c>
      <c r="AT240" t="s">
        <v>1752</v>
      </c>
      <c r="AU240">
        <v>2022</v>
      </c>
      <c r="AV240">
        <v>12</v>
      </c>
      <c r="AW240">
        <v>8</v>
      </c>
      <c r="AX240" t="s">
        <v>74</v>
      </c>
      <c r="AY240" t="s">
        <v>74</v>
      </c>
      <c r="AZ240" t="s">
        <v>74</v>
      </c>
      <c r="BA240" t="s">
        <v>74</v>
      </c>
      <c r="BB240" t="s">
        <v>74</v>
      </c>
      <c r="BC240" t="s">
        <v>74</v>
      </c>
      <c r="BD240">
        <v>1146</v>
      </c>
      <c r="BE240" t="s">
        <v>5057</v>
      </c>
      <c r="BF240" t="str">
        <f>HYPERLINK("http://dx.doi.org/10.3390/agriculture12081146","http://dx.doi.org/10.3390/agriculture12081146")</f>
        <v>http://dx.doi.org/10.3390/agriculture12081146</v>
      </c>
      <c r="BG240" t="s">
        <v>74</v>
      </c>
      <c r="BH240" t="s">
        <v>74</v>
      </c>
      <c r="BI240">
        <v>10</v>
      </c>
      <c r="BJ240" t="s">
        <v>1357</v>
      </c>
      <c r="BK240" t="s">
        <v>102</v>
      </c>
      <c r="BL240" t="s">
        <v>103</v>
      </c>
      <c r="BM240" t="s">
        <v>5058</v>
      </c>
      <c r="BN240" t="s">
        <v>74</v>
      </c>
      <c r="BO240" t="s">
        <v>161</v>
      </c>
      <c r="BP240" t="s">
        <v>74</v>
      </c>
      <c r="BQ240" t="s">
        <v>74</v>
      </c>
      <c r="BR240" t="s">
        <v>106</v>
      </c>
      <c r="BS240" t="s">
        <v>5059</v>
      </c>
      <c r="BT240" t="str">
        <f>HYPERLINK("https%3A%2F%2Fwww.webofscience.com%2Fwos%2Fwoscc%2Ffull-record%2FWOS:000846340600001","View Full Record in Web of Science")</f>
        <v>View Full Record in Web of Science</v>
      </c>
    </row>
    <row r="241" spans="1:72" x14ac:dyDescent="0.2">
      <c r="A241" t="s">
        <v>72</v>
      </c>
      <c r="B241" t="s">
        <v>5060</v>
      </c>
      <c r="C241" t="s">
        <v>74</v>
      </c>
      <c r="D241" t="s">
        <v>74</v>
      </c>
      <c r="E241" t="s">
        <v>74</v>
      </c>
      <c r="F241" t="s">
        <v>5061</v>
      </c>
      <c r="G241" t="s">
        <v>74</v>
      </c>
      <c r="H241" t="s">
        <v>74</v>
      </c>
      <c r="I241" t="s">
        <v>5062</v>
      </c>
      <c r="J241" t="s">
        <v>762</v>
      </c>
      <c r="K241" t="s">
        <v>74</v>
      </c>
      <c r="L241" t="s">
        <v>74</v>
      </c>
      <c r="M241" t="s">
        <v>78</v>
      </c>
      <c r="N241" t="s">
        <v>79</v>
      </c>
      <c r="O241" t="s">
        <v>74</v>
      </c>
      <c r="P241" t="s">
        <v>74</v>
      </c>
      <c r="Q241" t="s">
        <v>74</v>
      </c>
      <c r="R241" t="s">
        <v>74</v>
      </c>
      <c r="S241" t="s">
        <v>74</v>
      </c>
      <c r="T241" t="s">
        <v>5063</v>
      </c>
      <c r="U241" t="s">
        <v>5064</v>
      </c>
      <c r="V241" t="s">
        <v>5065</v>
      </c>
      <c r="W241" t="s">
        <v>5066</v>
      </c>
      <c r="X241" t="s">
        <v>5067</v>
      </c>
      <c r="Y241" t="s">
        <v>5068</v>
      </c>
      <c r="Z241" t="s">
        <v>5069</v>
      </c>
      <c r="AA241" t="s">
        <v>5070</v>
      </c>
      <c r="AB241" t="s">
        <v>5071</v>
      </c>
      <c r="AC241" t="s">
        <v>5072</v>
      </c>
      <c r="AD241" t="s">
        <v>5073</v>
      </c>
      <c r="AE241" t="s">
        <v>5074</v>
      </c>
      <c r="AF241" t="s">
        <v>74</v>
      </c>
      <c r="AG241">
        <v>83</v>
      </c>
      <c r="AH241">
        <v>5</v>
      </c>
      <c r="AI241">
        <v>5</v>
      </c>
      <c r="AJ241">
        <v>4</v>
      </c>
      <c r="AK241">
        <v>49</v>
      </c>
      <c r="AL241" t="s">
        <v>1631</v>
      </c>
      <c r="AM241" t="s">
        <v>776</v>
      </c>
      <c r="AN241" t="s">
        <v>777</v>
      </c>
      <c r="AO241" t="s">
        <v>778</v>
      </c>
      <c r="AP241" t="s">
        <v>74</v>
      </c>
      <c r="AQ241" t="s">
        <v>74</v>
      </c>
      <c r="AR241" t="s">
        <v>779</v>
      </c>
      <c r="AS241" t="s">
        <v>780</v>
      </c>
      <c r="AT241" t="s">
        <v>805</v>
      </c>
      <c r="AU241">
        <v>2021</v>
      </c>
      <c r="AV241">
        <v>16</v>
      </c>
      <c r="AW241">
        <v>11</v>
      </c>
      <c r="AX241" t="s">
        <v>74</v>
      </c>
      <c r="AY241" t="s">
        <v>74</v>
      </c>
      <c r="AZ241" t="s">
        <v>74</v>
      </c>
      <c r="BA241" t="s">
        <v>74</v>
      </c>
      <c r="BB241" t="s">
        <v>74</v>
      </c>
      <c r="BC241" t="s">
        <v>74</v>
      </c>
      <c r="BD241">
        <v>114022</v>
      </c>
      <c r="BE241" t="s">
        <v>5075</v>
      </c>
      <c r="BF241" t="str">
        <f>HYPERLINK("http://dx.doi.org/10.1088/1748-9326/ac3030","http://dx.doi.org/10.1088/1748-9326/ac3030")</f>
        <v>http://dx.doi.org/10.1088/1748-9326/ac3030</v>
      </c>
      <c r="BG241" t="s">
        <v>74</v>
      </c>
      <c r="BH241" t="s">
        <v>74</v>
      </c>
      <c r="BI241">
        <v>12</v>
      </c>
      <c r="BJ241" t="s">
        <v>782</v>
      </c>
      <c r="BK241" t="s">
        <v>186</v>
      </c>
      <c r="BL241" t="s">
        <v>783</v>
      </c>
      <c r="BM241" t="s">
        <v>5076</v>
      </c>
      <c r="BN241" t="s">
        <v>74</v>
      </c>
      <c r="BO241" t="s">
        <v>161</v>
      </c>
      <c r="BP241" t="s">
        <v>74</v>
      </c>
      <c r="BQ241" t="s">
        <v>74</v>
      </c>
      <c r="BR241" t="s">
        <v>106</v>
      </c>
      <c r="BS241" t="s">
        <v>5077</v>
      </c>
      <c r="BT241" t="str">
        <f>HYPERLINK("https%3A%2F%2Fwww.webofscience.com%2Fwos%2Fwoscc%2Ffull-record%2FWOS:000712046300001","View Full Record in Web of Science")</f>
        <v>View Full Record in Web of Science</v>
      </c>
    </row>
    <row r="242" spans="1:72" x14ac:dyDescent="0.2">
      <c r="A242" t="s">
        <v>72</v>
      </c>
      <c r="B242" t="s">
        <v>5078</v>
      </c>
      <c r="C242" t="s">
        <v>74</v>
      </c>
      <c r="D242" t="s">
        <v>74</v>
      </c>
      <c r="E242" t="s">
        <v>74</v>
      </c>
      <c r="F242" t="s">
        <v>5079</v>
      </c>
      <c r="G242" t="s">
        <v>74</v>
      </c>
      <c r="H242" t="s">
        <v>74</v>
      </c>
      <c r="I242" t="s">
        <v>5080</v>
      </c>
      <c r="J242" t="s">
        <v>5081</v>
      </c>
      <c r="K242" t="s">
        <v>74</v>
      </c>
      <c r="L242" t="s">
        <v>74</v>
      </c>
      <c r="M242" t="s">
        <v>78</v>
      </c>
      <c r="N242" t="s">
        <v>79</v>
      </c>
      <c r="O242" t="s">
        <v>74</v>
      </c>
      <c r="P242" t="s">
        <v>74</v>
      </c>
      <c r="Q242" t="s">
        <v>74</v>
      </c>
      <c r="R242" t="s">
        <v>74</v>
      </c>
      <c r="S242" t="s">
        <v>74</v>
      </c>
      <c r="T242" t="s">
        <v>5082</v>
      </c>
      <c r="U242" t="s">
        <v>74</v>
      </c>
      <c r="V242" t="s">
        <v>5083</v>
      </c>
      <c r="W242" t="s">
        <v>5084</v>
      </c>
      <c r="X242" t="s">
        <v>5085</v>
      </c>
      <c r="Y242" t="s">
        <v>5086</v>
      </c>
      <c r="Z242" t="s">
        <v>5087</v>
      </c>
      <c r="AA242" t="s">
        <v>5088</v>
      </c>
      <c r="AB242" t="s">
        <v>5089</v>
      </c>
      <c r="AC242" t="s">
        <v>5090</v>
      </c>
      <c r="AD242" t="s">
        <v>5091</v>
      </c>
      <c r="AE242" t="s">
        <v>5092</v>
      </c>
      <c r="AF242" t="s">
        <v>74</v>
      </c>
      <c r="AG242">
        <v>77</v>
      </c>
      <c r="AH242">
        <v>80</v>
      </c>
      <c r="AI242">
        <v>97</v>
      </c>
      <c r="AJ242">
        <v>12</v>
      </c>
      <c r="AK242">
        <v>180</v>
      </c>
      <c r="AL242" t="s">
        <v>5093</v>
      </c>
      <c r="AM242" t="s">
        <v>676</v>
      </c>
      <c r="AN242" t="s">
        <v>5094</v>
      </c>
      <c r="AO242" t="s">
        <v>5095</v>
      </c>
      <c r="AP242" t="s">
        <v>5096</v>
      </c>
      <c r="AQ242" t="s">
        <v>74</v>
      </c>
      <c r="AR242" t="s">
        <v>5097</v>
      </c>
      <c r="AS242" t="s">
        <v>5098</v>
      </c>
      <c r="AT242" t="s">
        <v>636</v>
      </c>
      <c r="AU242">
        <v>2021</v>
      </c>
      <c r="AV242">
        <v>256</v>
      </c>
      <c r="AW242" t="s">
        <v>74</v>
      </c>
      <c r="AX242" t="s">
        <v>74</v>
      </c>
      <c r="AY242" t="s">
        <v>74</v>
      </c>
      <c r="AZ242" t="s">
        <v>74</v>
      </c>
      <c r="BA242" t="s">
        <v>74</v>
      </c>
      <c r="BB242" t="s">
        <v>74</v>
      </c>
      <c r="BC242" t="s">
        <v>74</v>
      </c>
      <c r="BD242">
        <v>112336</v>
      </c>
      <c r="BE242" t="s">
        <v>5099</v>
      </c>
      <c r="BF242" t="str">
        <f>HYPERLINK("http://dx.doi.org/10.1016/j.rse.2021.112336","http://dx.doi.org/10.1016/j.rse.2021.112336")</f>
        <v>http://dx.doi.org/10.1016/j.rse.2021.112336</v>
      </c>
      <c r="BG242" t="s">
        <v>74</v>
      </c>
      <c r="BH242" t="s">
        <v>4131</v>
      </c>
      <c r="BI242">
        <v>13</v>
      </c>
      <c r="BJ242" t="s">
        <v>5100</v>
      </c>
      <c r="BK242" t="s">
        <v>102</v>
      </c>
      <c r="BL242" t="s">
        <v>5101</v>
      </c>
      <c r="BM242" t="s">
        <v>5102</v>
      </c>
      <c r="BN242" t="s">
        <v>74</v>
      </c>
      <c r="BO242" t="s">
        <v>74</v>
      </c>
      <c r="BP242" t="s">
        <v>74</v>
      </c>
      <c r="BQ242" t="s">
        <v>74</v>
      </c>
      <c r="BR242" t="s">
        <v>106</v>
      </c>
      <c r="BS242" t="s">
        <v>5103</v>
      </c>
      <c r="BT242" t="str">
        <f>HYPERLINK("https%3A%2F%2Fwww.webofscience.com%2Fwos%2Fwoscc%2Ffull-record%2FWOS:000626632500002","View Full Record in Web of Science")</f>
        <v>View Full Record in Web of Science</v>
      </c>
    </row>
    <row r="243" spans="1:72" x14ac:dyDescent="0.2">
      <c r="A243" t="s">
        <v>72</v>
      </c>
      <c r="B243" t="s">
        <v>5104</v>
      </c>
      <c r="C243" t="s">
        <v>74</v>
      </c>
      <c r="D243" t="s">
        <v>74</v>
      </c>
      <c r="E243" t="s">
        <v>74</v>
      </c>
      <c r="F243" t="s">
        <v>5105</v>
      </c>
      <c r="G243" t="s">
        <v>74</v>
      </c>
      <c r="H243" t="s">
        <v>74</v>
      </c>
      <c r="I243" t="s">
        <v>5106</v>
      </c>
      <c r="J243" t="s">
        <v>1807</v>
      </c>
      <c r="K243" t="s">
        <v>74</v>
      </c>
      <c r="L243" t="s">
        <v>74</v>
      </c>
      <c r="M243" t="s">
        <v>78</v>
      </c>
      <c r="N243" t="s">
        <v>79</v>
      </c>
      <c r="O243" t="s">
        <v>74</v>
      </c>
      <c r="P243" t="s">
        <v>74</v>
      </c>
      <c r="Q243" t="s">
        <v>74</v>
      </c>
      <c r="R243" t="s">
        <v>74</v>
      </c>
      <c r="S243" t="s">
        <v>74</v>
      </c>
      <c r="T243" t="s">
        <v>5107</v>
      </c>
      <c r="U243" t="s">
        <v>5108</v>
      </c>
      <c r="V243" t="s">
        <v>5109</v>
      </c>
      <c r="W243" t="s">
        <v>5110</v>
      </c>
      <c r="X243" t="s">
        <v>5111</v>
      </c>
      <c r="Y243" t="s">
        <v>5112</v>
      </c>
      <c r="Z243" t="s">
        <v>5113</v>
      </c>
      <c r="AA243" t="s">
        <v>5114</v>
      </c>
      <c r="AB243" t="s">
        <v>5115</v>
      </c>
      <c r="AC243" t="s">
        <v>5116</v>
      </c>
      <c r="AD243" t="s">
        <v>5117</v>
      </c>
      <c r="AE243" t="s">
        <v>5118</v>
      </c>
      <c r="AF243" t="s">
        <v>74</v>
      </c>
      <c r="AG243">
        <v>64</v>
      </c>
      <c r="AH243">
        <v>14</v>
      </c>
      <c r="AI243">
        <v>19</v>
      </c>
      <c r="AJ243">
        <v>3</v>
      </c>
      <c r="AK243">
        <v>55</v>
      </c>
      <c r="AL243" t="s">
        <v>1820</v>
      </c>
      <c r="AM243" t="s">
        <v>3047</v>
      </c>
      <c r="AN243" t="s">
        <v>3048</v>
      </c>
      <c r="AO243" t="s">
        <v>1823</v>
      </c>
      <c r="AP243" t="s">
        <v>1824</v>
      </c>
      <c r="AQ243" t="s">
        <v>74</v>
      </c>
      <c r="AR243" t="s">
        <v>1825</v>
      </c>
      <c r="AS243" t="s">
        <v>1826</v>
      </c>
      <c r="AT243" t="s">
        <v>74</v>
      </c>
      <c r="AU243">
        <v>2022</v>
      </c>
      <c r="AV243">
        <v>60</v>
      </c>
      <c r="AW243">
        <v>6</v>
      </c>
      <c r="AX243" t="s">
        <v>74</v>
      </c>
      <c r="AY243" t="s">
        <v>74</v>
      </c>
      <c r="AZ243" t="s">
        <v>74</v>
      </c>
      <c r="BA243" t="s">
        <v>74</v>
      </c>
      <c r="BB243">
        <v>455</v>
      </c>
      <c r="BC243">
        <v>469</v>
      </c>
      <c r="BD243" t="s">
        <v>74</v>
      </c>
      <c r="BE243" t="s">
        <v>5119</v>
      </c>
      <c r="BF243" t="str">
        <f>HYPERLINK("http://dx.doi.org/10.1071/SR21031","http://dx.doi.org/10.1071/SR21031")</f>
        <v>http://dx.doi.org/10.1071/SR21031</v>
      </c>
      <c r="BG243" t="s">
        <v>74</v>
      </c>
      <c r="BH243" t="s">
        <v>438</v>
      </c>
      <c r="BI243">
        <v>15</v>
      </c>
      <c r="BJ243" t="s">
        <v>256</v>
      </c>
      <c r="BK243" t="s">
        <v>102</v>
      </c>
      <c r="BL243" t="s">
        <v>103</v>
      </c>
      <c r="BM243" t="s">
        <v>5120</v>
      </c>
      <c r="BN243" t="s">
        <v>74</v>
      </c>
      <c r="BO243" t="s">
        <v>74</v>
      </c>
      <c r="BP243" t="s">
        <v>74</v>
      </c>
      <c r="BQ243" t="s">
        <v>74</v>
      </c>
      <c r="BR243" t="s">
        <v>106</v>
      </c>
      <c r="BS243" t="s">
        <v>5121</v>
      </c>
      <c r="BT243" t="str">
        <f>HYPERLINK("https%3A%2F%2Fwww.webofscience.com%2Fwos%2Fwoscc%2Ffull-record%2FWOS:000762669500001","View Full Record in Web of Science")</f>
        <v>View Full Record in Web of Science</v>
      </c>
    </row>
    <row r="244" spans="1:72" x14ac:dyDescent="0.2">
      <c r="A244" t="s">
        <v>72</v>
      </c>
      <c r="B244" t="s">
        <v>5122</v>
      </c>
      <c r="C244" t="s">
        <v>74</v>
      </c>
      <c r="D244" t="s">
        <v>74</v>
      </c>
      <c r="E244" t="s">
        <v>74</v>
      </c>
      <c r="F244" t="s">
        <v>5123</v>
      </c>
      <c r="G244" t="s">
        <v>74</v>
      </c>
      <c r="H244" t="s">
        <v>74</v>
      </c>
      <c r="I244" t="s">
        <v>5124</v>
      </c>
      <c r="J244" t="s">
        <v>5125</v>
      </c>
      <c r="K244" t="s">
        <v>74</v>
      </c>
      <c r="L244" t="s">
        <v>74</v>
      </c>
      <c r="M244" t="s">
        <v>78</v>
      </c>
      <c r="N244" t="s">
        <v>79</v>
      </c>
      <c r="O244" t="s">
        <v>74</v>
      </c>
      <c r="P244" t="s">
        <v>74</v>
      </c>
      <c r="Q244" t="s">
        <v>74</v>
      </c>
      <c r="R244" t="s">
        <v>74</v>
      </c>
      <c r="S244" t="s">
        <v>74</v>
      </c>
      <c r="T244" t="s">
        <v>74</v>
      </c>
      <c r="U244" t="s">
        <v>5126</v>
      </c>
      <c r="V244" t="s">
        <v>5127</v>
      </c>
      <c r="W244" t="s">
        <v>5128</v>
      </c>
      <c r="X244" t="s">
        <v>5129</v>
      </c>
      <c r="Y244" t="s">
        <v>5130</v>
      </c>
      <c r="Z244" t="s">
        <v>5131</v>
      </c>
      <c r="AA244" t="s">
        <v>5132</v>
      </c>
      <c r="AB244" t="s">
        <v>5133</v>
      </c>
      <c r="AC244" t="s">
        <v>5134</v>
      </c>
      <c r="AD244" t="s">
        <v>5135</v>
      </c>
      <c r="AE244" t="s">
        <v>5136</v>
      </c>
      <c r="AF244" t="s">
        <v>74</v>
      </c>
      <c r="AG244">
        <v>51</v>
      </c>
      <c r="AH244">
        <v>17</v>
      </c>
      <c r="AI244">
        <v>20</v>
      </c>
      <c r="AJ244">
        <v>4</v>
      </c>
      <c r="AK244">
        <v>28</v>
      </c>
      <c r="AL244" t="s">
        <v>3289</v>
      </c>
      <c r="AM244" t="s">
        <v>3290</v>
      </c>
      <c r="AN244" t="s">
        <v>3291</v>
      </c>
      <c r="AO244" t="s">
        <v>5137</v>
      </c>
      <c r="AP244" t="s">
        <v>5138</v>
      </c>
      <c r="AQ244" t="s">
        <v>74</v>
      </c>
      <c r="AR244" t="s">
        <v>5139</v>
      </c>
      <c r="AS244" t="s">
        <v>5140</v>
      </c>
      <c r="AT244" t="s">
        <v>5141</v>
      </c>
      <c r="AU244">
        <v>2022</v>
      </c>
      <c r="AV244">
        <v>11</v>
      </c>
      <c r="AW244">
        <v>1</v>
      </c>
      <c r="AX244" t="s">
        <v>74</v>
      </c>
      <c r="AY244" t="s">
        <v>74</v>
      </c>
      <c r="AZ244" t="s">
        <v>74</v>
      </c>
      <c r="BA244" t="s">
        <v>74</v>
      </c>
      <c r="BB244">
        <v>93</v>
      </c>
      <c r="BC244">
        <v>109</v>
      </c>
      <c r="BD244" t="s">
        <v>74</v>
      </c>
      <c r="BE244" t="s">
        <v>5142</v>
      </c>
      <c r="BF244" t="str">
        <f>HYPERLINK("http://dx.doi.org/10.5194/gi-11-93-2022","http://dx.doi.org/10.5194/gi-11-93-2022")</f>
        <v>http://dx.doi.org/10.5194/gi-11-93-2022</v>
      </c>
      <c r="BG244" t="s">
        <v>74</v>
      </c>
      <c r="BH244" t="s">
        <v>74</v>
      </c>
      <c r="BI244">
        <v>17</v>
      </c>
      <c r="BJ244" t="s">
        <v>3755</v>
      </c>
      <c r="BK244" t="s">
        <v>102</v>
      </c>
      <c r="BL244" t="s">
        <v>3756</v>
      </c>
      <c r="BM244" t="s">
        <v>5143</v>
      </c>
      <c r="BN244" t="s">
        <v>74</v>
      </c>
      <c r="BO244" t="s">
        <v>161</v>
      </c>
      <c r="BP244" t="s">
        <v>74</v>
      </c>
      <c r="BQ244" t="s">
        <v>74</v>
      </c>
      <c r="BR244" t="s">
        <v>106</v>
      </c>
      <c r="BS244" t="s">
        <v>5144</v>
      </c>
      <c r="BT244" t="str">
        <f>HYPERLINK("https%3A%2F%2Fwww.webofscience.com%2Fwos%2Fwoscc%2Ffull-record%2FWOS:000760272600001","View Full Record in Web of Science")</f>
        <v>View Full Record in Web of Science</v>
      </c>
    </row>
    <row r="245" spans="1:72" x14ac:dyDescent="0.2">
      <c r="A245" t="s">
        <v>72</v>
      </c>
      <c r="B245" t="s">
        <v>5145</v>
      </c>
      <c r="C245" t="s">
        <v>74</v>
      </c>
      <c r="D245" t="s">
        <v>74</v>
      </c>
      <c r="E245" t="s">
        <v>74</v>
      </c>
      <c r="F245" t="s">
        <v>5146</v>
      </c>
      <c r="G245" t="s">
        <v>74</v>
      </c>
      <c r="H245" t="s">
        <v>74</v>
      </c>
      <c r="I245" t="s">
        <v>5147</v>
      </c>
      <c r="J245" t="s">
        <v>4923</v>
      </c>
      <c r="K245" t="s">
        <v>74</v>
      </c>
      <c r="L245" t="s">
        <v>74</v>
      </c>
      <c r="M245" t="s">
        <v>78</v>
      </c>
      <c r="N245" t="s">
        <v>79</v>
      </c>
      <c r="O245" t="s">
        <v>74</v>
      </c>
      <c r="P245" t="s">
        <v>74</v>
      </c>
      <c r="Q245" t="s">
        <v>74</v>
      </c>
      <c r="R245" t="s">
        <v>74</v>
      </c>
      <c r="S245" t="s">
        <v>74</v>
      </c>
      <c r="T245" t="s">
        <v>5148</v>
      </c>
      <c r="U245" t="s">
        <v>5149</v>
      </c>
      <c r="V245" t="s">
        <v>5150</v>
      </c>
      <c r="W245" t="s">
        <v>5151</v>
      </c>
      <c r="X245" t="s">
        <v>5152</v>
      </c>
      <c r="Y245" t="s">
        <v>5153</v>
      </c>
      <c r="Z245" t="s">
        <v>5154</v>
      </c>
      <c r="AA245" t="s">
        <v>5155</v>
      </c>
      <c r="AB245" t="s">
        <v>74</v>
      </c>
      <c r="AC245" t="s">
        <v>5156</v>
      </c>
      <c r="AD245" t="s">
        <v>5156</v>
      </c>
      <c r="AE245" t="s">
        <v>5157</v>
      </c>
      <c r="AF245" t="s">
        <v>74</v>
      </c>
      <c r="AG245">
        <v>81</v>
      </c>
      <c r="AH245">
        <v>0</v>
      </c>
      <c r="AI245">
        <v>0</v>
      </c>
      <c r="AJ245">
        <v>27</v>
      </c>
      <c r="AK245">
        <v>27</v>
      </c>
      <c r="AL245" t="s">
        <v>4935</v>
      </c>
      <c r="AM245" t="s">
        <v>4936</v>
      </c>
      <c r="AN245" t="s">
        <v>4937</v>
      </c>
      <c r="AO245" t="s">
        <v>4938</v>
      </c>
      <c r="AP245" t="s">
        <v>4939</v>
      </c>
      <c r="AQ245" t="s">
        <v>74</v>
      </c>
      <c r="AR245" t="s">
        <v>4923</v>
      </c>
      <c r="AS245" t="s">
        <v>4940</v>
      </c>
      <c r="AT245" t="s">
        <v>5158</v>
      </c>
      <c r="AU245">
        <v>2025</v>
      </c>
      <c r="AV245">
        <v>7</v>
      </c>
      <c r="AW245">
        <v>1</v>
      </c>
      <c r="AX245" t="s">
        <v>74</v>
      </c>
      <c r="AY245" t="s">
        <v>74</v>
      </c>
      <c r="AZ245" t="s">
        <v>74</v>
      </c>
      <c r="BA245" t="s">
        <v>74</v>
      </c>
      <c r="BB245" t="s">
        <v>74</v>
      </c>
      <c r="BC245" t="s">
        <v>74</v>
      </c>
      <c r="BD245">
        <v>114</v>
      </c>
      <c r="BE245" t="s">
        <v>5159</v>
      </c>
      <c r="BF245" t="str">
        <f>HYPERLINK("http://dx.doi.org/10.1007/s42773-025-00496-6","http://dx.doi.org/10.1007/s42773-025-00496-6")</f>
        <v>http://dx.doi.org/10.1007/s42773-025-00496-6</v>
      </c>
      <c r="BG245" t="s">
        <v>74</v>
      </c>
      <c r="BH245" t="s">
        <v>74</v>
      </c>
      <c r="BI245">
        <v>20</v>
      </c>
      <c r="BJ245" t="s">
        <v>4942</v>
      </c>
      <c r="BK245" t="s">
        <v>102</v>
      </c>
      <c r="BL245" t="s">
        <v>4943</v>
      </c>
      <c r="BM245" t="s">
        <v>5160</v>
      </c>
      <c r="BN245" t="s">
        <v>74</v>
      </c>
      <c r="BO245" t="s">
        <v>231</v>
      </c>
      <c r="BP245" t="s">
        <v>74</v>
      </c>
      <c r="BQ245" t="s">
        <v>74</v>
      </c>
      <c r="BR245" t="s">
        <v>106</v>
      </c>
      <c r="BS245" t="s">
        <v>5161</v>
      </c>
      <c r="BT245" t="str">
        <f>HYPERLINK("https%3A%2F%2Fwww.webofscience.com%2Fwos%2Fwoscc%2Ffull-record%2FWOS:001582375300001","View Full Record in Web of Science")</f>
        <v>View Full Record in Web of Science</v>
      </c>
    </row>
    <row r="246" spans="1:72" x14ac:dyDescent="0.2">
      <c r="A246" t="s">
        <v>72</v>
      </c>
      <c r="B246" t="s">
        <v>5162</v>
      </c>
      <c r="C246" t="s">
        <v>74</v>
      </c>
      <c r="D246" t="s">
        <v>74</v>
      </c>
      <c r="E246" t="s">
        <v>74</v>
      </c>
      <c r="F246" t="s">
        <v>5163</v>
      </c>
      <c r="G246" t="s">
        <v>74</v>
      </c>
      <c r="H246" t="s">
        <v>74</v>
      </c>
      <c r="I246" t="s">
        <v>5164</v>
      </c>
      <c r="J246" t="s">
        <v>211</v>
      </c>
      <c r="K246" t="s">
        <v>74</v>
      </c>
      <c r="L246" t="s">
        <v>74</v>
      </c>
      <c r="M246" t="s">
        <v>78</v>
      </c>
      <c r="N246" t="s">
        <v>79</v>
      </c>
      <c r="O246" t="s">
        <v>74</v>
      </c>
      <c r="P246" t="s">
        <v>74</v>
      </c>
      <c r="Q246" t="s">
        <v>74</v>
      </c>
      <c r="R246" t="s">
        <v>74</v>
      </c>
      <c r="S246" t="s">
        <v>74</v>
      </c>
      <c r="T246" t="s">
        <v>5165</v>
      </c>
      <c r="U246" t="s">
        <v>5166</v>
      </c>
      <c r="V246" t="s">
        <v>5167</v>
      </c>
      <c r="W246" t="s">
        <v>5168</v>
      </c>
      <c r="X246" t="s">
        <v>5169</v>
      </c>
      <c r="Y246" t="s">
        <v>5170</v>
      </c>
      <c r="Z246" t="s">
        <v>5171</v>
      </c>
      <c r="AA246" t="s">
        <v>5172</v>
      </c>
      <c r="AB246" t="s">
        <v>5173</v>
      </c>
      <c r="AC246" t="s">
        <v>5174</v>
      </c>
      <c r="AD246" t="s">
        <v>5175</v>
      </c>
      <c r="AE246" t="s">
        <v>5176</v>
      </c>
      <c r="AF246" t="s">
        <v>74</v>
      </c>
      <c r="AG246">
        <v>61</v>
      </c>
      <c r="AH246">
        <v>4</v>
      </c>
      <c r="AI246">
        <v>4</v>
      </c>
      <c r="AJ246">
        <v>1</v>
      </c>
      <c r="AK246">
        <v>8</v>
      </c>
      <c r="AL246" t="s">
        <v>222</v>
      </c>
      <c r="AM246" t="s">
        <v>223</v>
      </c>
      <c r="AN246" t="s">
        <v>224</v>
      </c>
      <c r="AO246" t="s">
        <v>74</v>
      </c>
      <c r="AP246" t="s">
        <v>225</v>
      </c>
      <c r="AQ246" t="s">
        <v>74</v>
      </c>
      <c r="AR246" t="s">
        <v>211</v>
      </c>
      <c r="AS246" t="s">
        <v>226</v>
      </c>
      <c r="AT246" t="s">
        <v>1109</v>
      </c>
      <c r="AU246">
        <v>2024</v>
      </c>
      <c r="AV246">
        <v>17</v>
      </c>
      <c r="AW246">
        <v>23</v>
      </c>
      <c r="AX246" t="s">
        <v>74</v>
      </c>
      <c r="AY246" t="s">
        <v>74</v>
      </c>
      <c r="AZ246" t="s">
        <v>74</v>
      </c>
      <c r="BA246" t="s">
        <v>74</v>
      </c>
      <c r="BB246" t="s">
        <v>74</v>
      </c>
      <c r="BC246" t="s">
        <v>74</v>
      </c>
      <c r="BD246">
        <v>6179</v>
      </c>
      <c r="BE246" t="s">
        <v>5177</v>
      </c>
      <c r="BF246" t="str">
        <f>HYPERLINK("http://dx.doi.org/10.3390/en17236179","http://dx.doi.org/10.3390/en17236179")</f>
        <v>http://dx.doi.org/10.3390/en17236179</v>
      </c>
      <c r="BG246" t="s">
        <v>74</v>
      </c>
      <c r="BH246" t="s">
        <v>74</v>
      </c>
      <c r="BI246">
        <v>15</v>
      </c>
      <c r="BJ246" t="s">
        <v>229</v>
      </c>
      <c r="BK246" t="s">
        <v>102</v>
      </c>
      <c r="BL246" t="s">
        <v>229</v>
      </c>
      <c r="BM246" t="s">
        <v>5178</v>
      </c>
      <c r="BN246" t="s">
        <v>74</v>
      </c>
      <c r="BO246" t="s">
        <v>231</v>
      </c>
      <c r="BP246" t="s">
        <v>74</v>
      </c>
      <c r="BQ246" t="s">
        <v>74</v>
      </c>
      <c r="BR246" t="s">
        <v>106</v>
      </c>
      <c r="BS246" t="s">
        <v>5179</v>
      </c>
      <c r="BT246" t="str">
        <f>HYPERLINK("https%3A%2F%2Fwww.webofscience.com%2Fwos%2Fwoscc%2Ffull-record%2FWOS:001377738000001","View Full Record in Web of Science")</f>
        <v>View Full Record in Web of Science</v>
      </c>
    </row>
    <row r="247" spans="1:72" x14ac:dyDescent="0.2">
      <c r="A247" t="s">
        <v>72</v>
      </c>
      <c r="B247" t="s">
        <v>5180</v>
      </c>
      <c r="C247" t="s">
        <v>74</v>
      </c>
      <c r="D247" t="s">
        <v>74</v>
      </c>
      <c r="E247" t="s">
        <v>74</v>
      </c>
      <c r="F247" t="s">
        <v>5181</v>
      </c>
      <c r="G247" t="s">
        <v>74</v>
      </c>
      <c r="H247" t="s">
        <v>74</v>
      </c>
      <c r="I247" t="s">
        <v>5182</v>
      </c>
      <c r="J247" t="s">
        <v>2149</v>
      </c>
      <c r="K247" t="s">
        <v>74</v>
      </c>
      <c r="L247" t="s">
        <v>74</v>
      </c>
      <c r="M247" t="s">
        <v>78</v>
      </c>
      <c r="N247" t="s">
        <v>79</v>
      </c>
      <c r="O247" t="s">
        <v>74</v>
      </c>
      <c r="P247" t="s">
        <v>74</v>
      </c>
      <c r="Q247" t="s">
        <v>74</v>
      </c>
      <c r="R247" t="s">
        <v>74</v>
      </c>
      <c r="S247" t="s">
        <v>74</v>
      </c>
      <c r="T247" t="s">
        <v>5183</v>
      </c>
      <c r="U247" t="s">
        <v>5184</v>
      </c>
      <c r="V247" t="s">
        <v>5185</v>
      </c>
      <c r="W247" t="s">
        <v>5186</v>
      </c>
      <c r="X247" t="s">
        <v>5187</v>
      </c>
      <c r="Y247" t="s">
        <v>5188</v>
      </c>
      <c r="Z247" t="s">
        <v>5189</v>
      </c>
      <c r="AA247" t="s">
        <v>5190</v>
      </c>
      <c r="AB247" t="s">
        <v>5191</v>
      </c>
      <c r="AC247" t="s">
        <v>5192</v>
      </c>
      <c r="AD247" t="s">
        <v>5193</v>
      </c>
      <c r="AE247" t="s">
        <v>5194</v>
      </c>
      <c r="AF247" t="s">
        <v>74</v>
      </c>
      <c r="AG247">
        <v>54</v>
      </c>
      <c r="AH247">
        <v>54</v>
      </c>
      <c r="AI247">
        <v>61</v>
      </c>
      <c r="AJ247">
        <v>6</v>
      </c>
      <c r="AK247">
        <v>161</v>
      </c>
      <c r="AL247" t="s">
        <v>123</v>
      </c>
      <c r="AM247" t="s">
        <v>124</v>
      </c>
      <c r="AN247" t="s">
        <v>125</v>
      </c>
      <c r="AO247" t="s">
        <v>2164</v>
      </c>
      <c r="AP247" t="s">
        <v>2165</v>
      </c>
      <c r="AQ247" t="s">
        <v>74</v>
      </c>
      <c r="AR247" t="s">
        <v>2166</v>
      </c>
      <c r="AS247" t="s">
        <v>2167</v>
      </c>
      <c r="AT247" t="s">
        <v>183</v>
      </c>
      <c r="AU247">
        <v>2019</v>
      </c>
      <c r="AV247">
        <v>190</v>
      </c>
      <c r="AW247" t="s">
        <v>74</v>
      </c>
      <c r="AX247" t="s">
        <v>74</v>
      </c>
      <c r="AY247" t="s">
        <v>74</v>
      </c>
      <c r="AZ247" t="s">
        <v>74</v>
      </c>
      <c r="BA247" t="s">
        <v>74</v>
      </c>
      <c r="BB247">
        <v>22</v>
      </c>
      <c r="BC247">
        <v>30</v>
      </c>
      <c r="BD247" t="s">
        <v>74</v>
      </c>
      <c r="BE247" t="s">
        <v>5195</v>
      </c>
      <c r="BF247" t="str">
        <f>HYPERLINK("http://dx.doi.org/10.1016/j.still.2019.02.020","http://dx.doi.org/10.1016/j.still.2019.02.020")</f>
        <v>http://dx.doi.org/10.1016/j.still.2019.02.020</v>
      </c>
      <c r="BG247" t="s">
        <v>74</v>
      </c>
      <c r="BH247" t="s">
        <v>74</v>
      </c>
      <c r="BI247">
        <v>9</v>
      </c>
      <c r="BJ247" t="s">
        <v>256</v>
      </c>
      <c r="BK247" t="s">
        <v>102</v>
      </c>
      <c r="BL247" t="s">
        <v>103</v>
      </c>
      <c r="BM247" t="s">
        <v>5196</v>
      </c>
      <c r="BN247" t="s">
        <v>74</v>
      </c>
      <c r="BO247" t="s">
        <v>74</v>
      </c>
      <c r="BP247" t="s">
        <v>74</v>
      </c>
      <c r="BQ247" t="s">
        <v>74</v>
      </c>
      <c r="BR247" t="s">
        <v>106</v>
      </c>
      <c r="BS247" t="s">
        <v>5197</v>
      </c>
      <c r="BT247" t="str">
        <f>HYPERLINK("https%3A%2F%2Fwww.webofscience.com%2Fwos%2Fwoscc%2Ffull-record%2FWOS:000469160000003","View Full Record in Web of Science")</f>
        <v>View Full Record in Web of Science</v>
      </c>
    </row>
    <row r="248" spans="1:72" x14ac:dyDescent="0.2">
      <c r="A248" t="s">
        <v>72</v>
      </c>
      <c r="B248" t="s">
        <v>5198</v>
      </c>
      <c r="C248" t="s">
        <v>74</v>
      </c>
      <c r="D248" t="s">
        <v>74</v>
      </c>
      <c r="E248" t="s">
        <v>74</v>
      </c>
      <c r="F248" t="s">
        <v>5199</v>
      </c>
      <c r="G248" t="s">
        <v>74</v>
      </c>
      <c r="H248" t="s">
        <v>74</v>
      </c>
      <c r="I248" t="s">
        <v>5200</v>
      </c>
      <c r="J248" t="s">
        <v>5201</v>
      </c>
      <c r="K248" t="s">
        <v>74</v>
      </c>
      <c r="L248" t="s">
        <v>74</v>
      </c>
      <c r="M248" t="s">
        <v>78</v>
      </c>
      <c r="N248" t="s">
        <v>79</v>
      </c>
      <c r="O248" t="s">
        <v>74</v>
      </c>
      <c r="P248" t="s">
        <v>74</v>
      </c>
      <c r="Q248" t="s">
        <v>74</v>
      </c>
      <c r="R248" t="s">
        <v>74</v>
      </c>
      <c r="S248" t="s">
        <v>74</v>
      </c>
      <c r="T248" t="s">
        <v>5202</v>
      </c>
      <c r="U248" t="s">
        <v>5203</v>
      </c>
      <c r="V248" t="s">
        <v>5204</v>
      </c>
      <c r="W248" t="s">
        <v>5205</v>
      </c>
      <c r="X248" t="s">
        <v>5206</v>
      </c>
      <c r="Y248" t="s">
        <v>5207</v>
      </c>
      <c r="Z248" t="s">
        <v>5208</v>
      </c>
      <c r="AA248" t="s">
        <v>5209</v>
      </c>
      <c r="AB248" t="s">
        <v>5210</v>
      </c>
      <c r="AC248" t="s">
        <v>5211</v>
      </c>
      <c r="AD248" t="s">
        <v>5212</v>
      </c>
      <c r="AE248" t="s">
        <v>5213</v>
      </c>
      <c r="AF248" t="s">
        <v>74</v>
      </c>
      <c r="AG248">
        <v>55</v>
      </c>
      <c r="AH248">
        <v>48</v>
      </c>
      <c r="AI248">
        <v>50</v>
      </c>
      <c r="AJ248">
        <v>30</v>
      </c>
      <c r="AK248">
        <v>272</v>
      </c>
      <c r="AL248" t="s">
        <v>4166</v>
      </c>
      <c r="AM248" t="s">
        <v>531</v>
      </c>
      <c r="AN248" t="s">
        <v>4167</v>
      </c>
      <c r="AO248" t="s">
        <v>5214</v>
      </c>
      <c r="AP248" t="s">
        <v>5215</v>
      </c>
      <c r="AQ248" t="s">
        <v>74</v>
      </c>
      <c r="AR248" t="s">
        <v>5216</v>
      </c>
      <c r="AS248" t="s">
        <v>5217</v>
      </c>
      <c r="AT248" t="s">
        <v>5218</v>
      </c>
      <c r="AU248">
        <v>2022</v>
      </c>
      <c r="AV248">
        <v>70</v>
      </c>
      <c r="AW248">
        <v>20</v>
      </c>
      <c r="AX248" t="s">
        <v>74</v>
      </c>
      <c r="AY248" t="s">
        <v>74</v>
      </c>
      <c r="AZ248" t="s">
        <v>74</v>
      </c>
      <c r="BA248" t="s">
        <v>74</v>
      </c>
      <c r="BB248">
        <v>6059</v>
      </c>
      <c r="BC248">
        <v>6071</v>
      </c>
      <c r="BD248" t="s">
        <v>74</v>
      </c>
      <c r="BE248" t="s">
        <v>5219</v>
      </c>
      <c r="BF248" t="str">
        <f>HYPERLINK("http://dx.doi.org/10.1021/acs.jafc.2c01568","http://dx.doi.org/10.1021/acs.jafc.2c01568")</f>
        <v>http://dx.doi.org/10.1021/acs.jafc.2c01568</v>
      </c>
      <c r="BG248" t="s">
        <v>74</v>
      </c>
      <c r="BH248" t="s">
        <v>74</v>
      </c>
      <c r="BI248">
        <v>13</v>
      </c>
      <c r="BJ248" t="s">
        <v>5220</v>
      </c>
      <c r="BK248" t="s">
        <v>102</v>
      </c>
      <c r="BL248" t="s">
        <v>5221</v>
      </c>
      <c r="BM248" t="s">
        <v>5222</v>
      </c>
      <c r="BN248">
        <v>35543319</v>
      </c>
      <c r="BO248" t="s">
        <v>74</v>
      </c>
      <c r="BP248" t="s">
        <v>74</v>
      </c>
      <c r="BQ248" t="s">
        <v>74</v>
      </c>
      <c r="BR248" t="s">
        <v>106</v>
      </c>
      <c r="BS248" t="s">
        <v>5223</v>
      </c>
      <c r="BT248" t="str">
        <f>HYPERLINK("https%3A%2F%2Fwww.webofscience.com%2Fwos%2Fwoscc%2Ffull-record%2FWOS:000805989400011","View Full Record in Web of Science")</f>
        <v>View Full Record in Web of Science</v>
      </c>
    </row>
    <row r="249" spans="1:72" x14ac:dyDescent="0.2">
      <c r="A249" t="s">
        <v>72</v>
      </c>
      <c r="B249" t="s">
        <v>5224</v>
      </c>
      <c r="C249" t="s">
        <v>74</v>
      </c>
      <c r="D249" t="s">
        <v>74</v>
      </c>
      <c r="E249" t="s">
        <v>74</v>
      </c>
      <c r="F249" t="s">
        <v>5225</v>
      </c>
      <c r="G249" t="s">
        <v>74</v>
      </c>
      <c r="H249" t="s">
        <v>74</v>
      </c>
      <c r="I249" t="s">
        <v>5226</v>
      </c>
      <c r="J249" t="s">
        <v>347</v>
      </c>
      <c r="K249" t="s">
        <v>74</v>
      </c>
      <c r="L249" t="s">
        <v>74</v>
      </c>
      <c r="M249" t="s">
        <v>78</v>
      </c>
      <c r="N249" t="s">
        <v>79</v>
      </c>
      <c r="O249" t="s">
        <v>74</v>
      </c>
      <c r="P249" t="s">
        <v>74</v>
      </c>
      <c r="Q249" t="s">
        <v>74</v>
      </c>
      <c r="R249" t="s">
        <v>74</v>
      </c>
      <c r="S249" t="s">
        <v>74</v>
      </c>
      <c r="T249" t="s">
        <v>74</v>
      </c>
      <c r="U249" t="s">
        <v>5227</v>
      </c>
      <c r="V249" t="s">
        <v>5228</v>
      </c>
      <c r="W249" t="s">
        <v>5229</v>
      </c>
      <c r="X249" t="s">
        <v>5230</v>
      </c>
      <c r="Y249" t="s">
        <v>5231</v>
      </c>
      <c r="Z249" t="s">
        <v>5232</v>
      </c>
      <c r="AA249" t="s">
        <v>5233</v>
      </c>
      <c r="AB249" t="s">
        <v>5234</v>
      </c>
      <c r="AC249" t="s">
        <v>5235</v>
      </c>
      <c r="AD249" t="s">
        <v>5236</v>
      </c>
      <c r="AE249" t="s">
        <v>5237</v>
      </c>
      <c r="AF249" t="s">
        <v>74</v>
      </c>
      <c r="AG249">
        <v>53</v>
      </c>
      <c r="AH249">
        <v>36</v>
      </c>
      <c r="AI249">
        <v>42</v>
      </c>
      <c r="AJ249">
        <v>6</v>
      </c>
      <c r="AK249">
        <v>98</v>
      </c>
      <c r="AL249" t="s">
        <v>274</v>
      </c>
      <c r="AM249" t="s">
        <v>275</v>
      </c>
      <c r="AN249" t="s">
        <v>276</v>
      </c>
      <c r="AO249" t="s">
        <v>357</v>
      </c>
      <c r="AP249" t="s">
        <v>74</v>
      </c>
      <c r="AQ249" t="s">
        <v>74</v>
      </c>
      <c r="AR249" t="s">
        <v>358</v>
      </c>
      <c r="AS249" t="s">
        <v>359</v>
      </c>
      <c r="AT249" t="s">
        <v>5238</v>
      </c>
      <c r="AU249">
        <v>2017</v>
      </c>
      <c r="AV249">
        <v>7</v>
      </c>
      <c r="AW249" t="s">
        <v>74</v>
      </c>
      <c r="AX249" t="s">
        <v>74</v>
      </c>
      <c r="AY249" t="s">
        <v>74</v>
      </c>
      <c r="AZ249" t="s">
        <v>74</v>
      </c>
      <c r="BA249" t="s">
        <v>74</v>
      </c>
      <c r="BB249" t="s">
        <v>74</v>
      </c>
      <c r="BC249" t="s">
        <v>74</v>
      </c>
      <c r="BD249">
        <v>7144</v>
      </c>
      <c r="BE249" t="s">
        <v>5239</v>
      </c>
      <c r="BF249" t="str">
        <f>HYPERLINK("http://dx.doi.org/10.1038/s41598-017-07237-1","http://dx.doi.org/10.1038/s41598-017-07237-1")</f>
        <v>http://dx.doi.org/10.1038/s41598-017-07237-1</v>
      </c>
      <c r="BG249" t="s">
        <v>74</v>
      </c>
      <c r="BH249" t="s">
        <v>74</v>
      </c>
      <c r="BI249">
        <v>9</v>
      </c>
      <c r="BJ249" t="s">
        <v>158</v>
      </c>
      <c r="BK249" t="s">
        <v>102</v>
      </c>
      <c r="BL249" t="s">
        <v>159</v>
      </c>
      <c r="BM249" t="s">
        <v>5240</v>
      </c>
      <c r="BN249">
        <v>28769075</v>
      </c>
      <c r="BO249" t="s">
        <v>161</v>
      </c>
      <c r="BP249" t="s">
        <v>74</v>
      </c>
      <c r="BQ249" t="s">
        <v>74</v>
      </c>
      <c r="BR249" t="s">
        <v>106</v>
      </c>
      <c r="BS249" t="s">
        <v>5241</v>
      </c>
      <c r="BT249" t="str">
        <f>HYPERLINK("https%3A%2F%2Fwww.webofscience.com%2Fwos%2Fwoscc%2Ffull-record%2FWOS:000406816300017","View Full Record in Web of Science")</f>
        <v>View Full Record in Web of Science</v>
      </c>
    </row>
    <row r="250" spans="1:72" x14ac:dyDescent="0.2">
      <c r="A250" t="s">
        <v>72</v>
      </c>
      <c r="B250" t="s">
        <v>5242</v>
      </c>
      <c r="C250" t="s">
        <v>74</v>
      </c>
      <c r="D250" t="s">
        <v>74</v>
      </c>
      <c r="E250" t="s">
        <v>74</v>
      </c>
      <c r="F250" t="s">
        <v>5243</v>
      </c>
      <c r="G250" t="s">
        <v>74</v>
      </c>
      <c r="H250" t="s">
        <v>74</v>
      </c>
      <c r="I250" t="s">
        <v>5244</v>
      </c>
      <c r="J250" t="s">
        <v>1526</v>
      </c>
      <c r="K250" t="s">
        <v>74</v>
      </c>
      <c r="L250" t="s">
        <v>74</v>
      </c>
      <c r="M250" t="s">
        <v>78</v>
      </c>
      <c r="N250" t="s">
        <v>79</v>
      </c>
      <c r="O250" t="s">
        <v>74</v>
      </c>
      <c r="P250" t="s">
        <v>74</v>
      </c>
      <c r="Q250" t="s">
        <v>74</v>
      </c>
      <c r="R250" t="s">
        <v>74</v>
      </c>
      <c r="S250" t="s">
        <v>74</v>
      </c>
      <c r="T250" t="s">
        <v>5245</v>
      </c>
      <c r="U250" t="s">
        <v>5246</v>
      </c>
      <c r="V250" t="s">
        <v>5247</v>
      </c>
      <c r="W250" t="s">
        <v>5248</v>
      </c>
      <c r="X250" t="s">
        <v>5249</v>
      </c>
      <c r="Y250" t="s">
        <v>5250</v>
      </c>
      <c r="Z250" t="s">
        <v>5251</v>
      </c>
      <c r="AA250" t="s">
        <v>5252</v>
      </c>
      <c r="AB250" t="s">
        <v>74</v>
      </c>
      <c r="AC250" t="s">
        <v>5253</v>
      </c>
      <c r="AD250" t="s">
        <v>5254</v>
      </c>
      <c r="AE250" t="s">
        <v>5255</v>
      </c>
      <c r="AF250" t="s">
        <v>74</v>
      </c>
      <c r="AG250">
        <v>42</v>
      </c>
      <c r="AH250">
        <v>0</v>
      </c>
      <c r="AI250">
        <v>0</v>
      </c>
      <c r="AJ250">
        <v>14</v>
      </c>
      <c r="AK250">
        <v>14</v>
      </c>
      <c r="AL250" t="s">
        <v>176</v>
      </c>
      <c r="AM250" t="s">
        <v>1610</v>
      </c>
      <c r="AN250" t="s">
        <v>1611</v>
      </c>
      <c r="AO250" t="s">
        <v>1538</v>
      </c>
      <c r="AP250" t="s">
        <v>1539</v>
      </c>
      <c r="AQ250" t="s">
        <v>74</v>
      </c>
      <c r="AR250" t="s">
        <v>1540</v>
      </c>
      <c r="AS250" t="s">
        <v>1541</v>
      </c>
      <c r="AT250" t="s">
        <v>5256</v>
      </c>
      <c r="AU250">
        <v>2025</v>
      </c>
      <c r="AV250">
        <v>527</v>
      </c>
      <c r="AW250" t="s">
        <v>74</v>
      </c>
      <c r="AX250" t="s">
        <v>74</v>
      </c>
      <c r="AY250" t="s">
        <v>74</v>
      </c>
      <c r="AZ250" t="s">
        <v>74</v>
      </c>
      <c r="BA250" t="s">
        <v>74</v>
      </c>
      <c r="BB250" t="s">
        <v>74</v>
      </c>
      <c r="BC250" t="s">
        <v>74</v>
      </c>
      <c r="BD250">
        <v>146651</v>
      </c>
      <c r="BE250" t="s">
        <v>5257</v>
      </c>
      <c r="BF250" t="str">
        <f>HYPERLINK("http://dx.doi.org/10.1016/j.jclepro.2025.146651","http://dx.doi.org/10.1016/j.jclepro.2025.146651")</f>
        <v>http://dx.doi.org/10.1016/j.jclepro.2025.146651</v>
      </c>
      <c r="BG250" t="s">
        <v>74</v>
      </c>
      <c r="BH250" t="s">
        <v>1338</v>
      </c>
      <c r="BI250">
        <v>11</v>
      </c>
      <c r="BJ250" t="s">
        <v>1543</v>
      </c>
      <c r="BK250" t="s">
        <v>102</v>
      </c>
      <c r="BL250" t="s">
        <v>1544</v>
      </c>
      <c r="BM250" t="s">
        <v>5258</v>
      </c>
      <c r="BN250" t="s">
        <v>74</v>
      </c>
      <c r="BO250" t="s">
        <v>74</v>
      </c>
      <c r="BP250" t="s">
        <v>74</v>
      </c>
      <c r="BQ250" t="s">
        <v>74</v>
      </c>
      <c r="BR250" t="s">
        <v>106</v>
      </c>
      <c r="BS250" t="s">
        <v>5259</v>
      </c>
      <c r="BT250" t="str">
        <f>HYPERLINK("https%3A%2F%2Fwww.webofscience.com%2Fwos%2Fwoscc%2Ffull-record%2FWOS:001578557500001","View Full Record in Web of Science")</f>
        <v>View Full Record in Web of Science</v>
      </c>
    </row>
    <row r="251" spans="1:72" x14ac:dyDescent="0.2">
      <c r="A251" t="s">
        <v>72</v>
      </c>
      <c r="B251" t="s">
        <v>5260</v>
      </c>
      <c r="C251" t="s">
        <v>74</v>
      </c>
      <c r="D251" t="s">
        <v>74</v>
      </c>
      <c r="E251" t="s">
        <v>74</v>
      </c>
      <c r="F251" t="s">
        <v>5261</v>
      </c>
      <c r="G251" t="s">
        <v>74</v>
      </c>
      <c r="H251" t="s">
        <v>74</v>
      </c>
      <c r="I251" t="s">
        <v>5262</v>
      </c>
      <c r="J251" t="s">
        <v>574</v>
      </c>
      <c r="K251" t="s">
        <v>74</v>
      </c>
      <c r="L251" t="s">
        <v>74</v>
      </c>
      <c r="M251" t="s">
        <v>78</v>
      </c>
      <c r="N251" t="s">
        <v>79</v>
      </c>
      <c r="O251" t="s">
        <v>74</v>
      </c>
      <c r="P251" t="s">
        <v>74</v>
      </c>
      <c r="Q251" t="s">
        <v>74</v>
      </c>
      <c r="R251" t="s">
        <v>74</v>
      </c>
      <c r="S251" t="s">
        <v>74</v>
      </c>
      <c r="T251" t="s">
        <v>5263</v>
      </c>
      <c r="U251" t="s">
        <v>5264</v>
      </c>
      <c r="V251" t="s">
        <v>5265</v>
      </c>
      <c r="W251" t="s">
        <v>5266</v>
      </c>
      <c r="X251" t="s">
        <v>5267</v>
      </c>
      <c r="Y251" t="s">
        <v>5268</v>
      </c>
      <c r="Z251" t="s">
        <v>5269</v>
      </c>
      <c r="AA251" t="s">
        <v>5270</v>
      </c>
      <c r="AB251" t="s">
        <v>74</v>
      </c>
      <c r="AC251" t="s">
        <v>5271</v>
      </c>
      <c r="AD251" t="s">
        <v>5271</v>
      </c>
      <c r="AE251" t="s">
        <v>5272</v>
      </c>
      <c r="AF251" t="s">
        <v>74</v>
      </c>
      <c r="AG251">
        <v>128</v>
      </c>
      <c r="AH251">
        <v>6</v>
      </c>
      <c r="AI251">
        <v>8</v>
      </c>
      <c r="AJ251">
        <v>24</v>
      </c>
      <c r="AK251">
        <v>48</v>
      </c>
      <c r="AL251" t="s">
        <v>585</v>
      </c>
      <c r="AM251" t="s">
        <v>306</v>
      </c>
      <c r="AN251" t="s">
        <v>586</v>
      </c>
      <c r="AO251" t="s">
        <v>587</v>
      </c>
      <c r="AP251" t="s">
        <v>588</v>
      </c>
      <c r="AQ251" t="s">
        <v>74</v>
      </c>
      <c r="AR251" t="s">
        <v>589</v>
      </c>
      <c r="AS251" t="s">
        <v>590</v>
      </c>
      <c r="AT251" t="s">
        <v>591</v>
      </c>
      <c r="AU251">
        <v>2025</v>
      </c>
      <c r="AV251">
        <v>16</v>
      </c>
      <c r="AW251">
        <v>1</v>
      </c>
      <c r="AX251" t="s">
        <v>74</v>
      </c>
      <c r="AY251" t="s">
        <v>74</v>
      </c>
      <c r="AZ251" t="s">
        <v>74</v>
      </c>
      <c r="BA251" t="s">
        <v>74</v>
      </c>
      <c r="BB251" t="s">
        <v>74</v>
      </c>
      <c r="BC251" t="s">
        <v>74</v>
      </c>
      <c r="BD251">
        <v>2479516</v>
      </c>
      <c r="BE251" t="s">
        <v>5273</v>
      </c>
      <c r="BF251" t="str">
        <f>HYPERLINK("http://dx.doi.org/10.1080/17583004.2025.2479516","http://dx.doi.org/10.1080/17583004.2025.2479516")</f>
        <v>http://dx.doi.org/10.1080/17583004.2025.2479516</v>
      </c>
      <c r="BG251" t="s">
        <v>74</v>
      </c>
      <c r="BH251" t="s">
        <v>74</v>
      </c>
      <c r="BI251">
        <v>16</v>
      </c>
      <c r="BJ251" t="s">
        <v>593</v>
      </c>
      <c r="BK251" t="s">
        <v>186</v>
      </c>
      <c r="BL251" t="s">
        <v>568</v>
      </c>
      <c r="BM251" t="s">
        <v>5274</v>
      </c>
      <c r="BN251" t="s">
        <v>74</v>
      </c>
      <c r="BO251" t="s">
        <v>231</v>
      </c>
      <c r="BP251" t="s">
        <v>74</v>
      </c>
      <c r="BQ251" t="s">
        <v>74</v>
      </c>
      <c r="BR251" t="s">
        <v>106</v>
      </c>
      <c r="BS251" t="s">
        <v>5275</v>
      </c>
      <c r="BT251" t="str">
        <f>HYPERLINK("https%3A%2F%2Fwww.webofscience.com%2Fwos%2Fwoscc%2Ffull-record%2FWOS:001451516800001","View Full Record in Web of Science")</f>
        <v>View Full Record in Web of Science</v>
      </c>
    </row>
    <row r="252" spans="1:72" x14ac:dyDescent="0.2">
      <c r="A252" t="s">
        <v>72</v>
      </c>
      <c r="B252" t="s">
        <v>5276</v>
      </c>
      <c r="C252" t="s">
        <v>74</v>
      </c>
      <c r="D252" t="s">
        <v>74</v>
      </c>
      <c r="E252" t="s">
        <v>74</v>
      </c>
      <c r="F252" t="s">
        <v>5277</v>
      </c>
      <c r="G252" t="s">
        <v>74</v>
      </c>
      <c r="H252" t="s">
        <v>74</v>
      </c>
      <c r="I252" t="s">
        <v>5278</v>
      </c>
      <c r="J252" t="s">
        <v>446</v>
      </c>
      <c r="K252" t="s">
        <v>74</v>
      </c>
      <c r="L252" t="s">
        <v>74</v>
      </c>
      <c r="M252" t="s">
        <v>78</v>
      </c>
      <c r="N252" t="s">
        <v>79</v>
      </c>
      <c r="O252" t="s">
        <v>74</v>
      </c>
      <c r="P252" t="s">
        <v>74</v>
      </c>
      <c r="Q252" t="s">
        <v>74</v>
      </c>
      <c r="R252" t="s">
        <v>74</v>
      </c>
      <c r="S252" t="s">
        <v>74</v>
      </c>
      <c r="T252" t="s">
        <v>5279</v>
      </c>
      <c r="U252" t="s">
        <v>5280</v>
      </c>
      <c r="V252" t="s">
        <v>5281</v>
      </c>
      <c r="W252" t="s">
        <v>5282</v>
      </c>
      <c r="X252" t="s">
        <v>5283</v>
      </c>
      <c r="Y252" t="s">
        <v>5284</v>
      </c>
      <c r="Z252" t="s">
        <v>5285</v>
      </c>
      <c r="AA252" t="s">
        <v>5286</v>
      </c>
      <c r="AB252" t="s">
        <v>5287</v>
      </c>
      <c r="AC252" t="s">
        <v>5288</v>
      </c>
      <c r="AD252" t="s">
        <v>5289</v>
      </c>
      <c r="AE252" t="s">
        <v>5290</v>
      </c>
      <c r="AF252" t="s">
        <v>74</v>
      </c>
      <c r="AG252">
        <v>61</v>
      </c>
      <c r="AH252">
        <v>4</v>
      </c>
      <c r="AI252">
        <v>4</v>
      </c>
      <c r="AJ252">
        <v>19</v>
      </c>
      <c r="AK252">
        <v>118</v>
      </c>
      <c r="AL252" t="s">
        <v>222</v>
      </c>
      <c r="AM252" t="s">
        <v>223</v>
      </c>
      <c r="AN252" t="s">
        <v>224</v>
      </c>
      <c r="AO252" t="s">
        <v>74</v>
      </c>
      <c r="AP252" t="s">
        <v>457</v>
      </c>
      <c r="AQ252" t="s">
        <v>74</v>
      </c>
      <c r="AR252" t="s">
        <v>446</v>
      </c>
      <c r="AS252" t="s">
        <v>458</v>
      </c>
      <c r="AT252" t="s">
        <v>281</v>
      </c>
      <c r="AU252">
        <v>2023</v>
      </c>
      <c r="AV252">
        <v>13</v>
      </c>
      <c r="AW252">
        <v>6</v>
      </c>
      <c r="AX252" t="s">
        <v>74</v>
      </c>
      <c r="AY252" t="s">
        <v>74</v>
      </c>
      <c r="AZ252" t="s">
        <v>74</v>
      </c>
      <c r="BA252" t="s">
        <v>74</v>
      </c>
      <c r="BB252" t="s">
        <v>74</v>
      </c>
      <c r="BC252" t="s">
        <v>74</v>
      </c>
      <c r="BD252">
        <v>1456</v>
      </c>
      <c r="BE252" t="s">
        <v>5291</v>
      </c>
      <c r="BF252" t="str">
        <f>HYPERLINK("http://dx.doi.org/10.3390/agronomy13061456","http://dx.doi.org/10.3390/agronomy13061456")</f>
        <v>http://dx.doi.org/10.3390/agronomy13061456</v>
      </c>
      <c r="BG252" t="s">
        <v>74</v>
      </c>
      <c r="BH252" t="s">
        <v>74</v>
      </c>
      <c r="BI252">
        <v>14</v>
      </c>
      <c r="BJ252" t="s">
        <v>461</v>
      </c>
      <c r="BK252" t="s">
        <v>102</v>
      </c>
      <c r="BL252" t="s">
        <v>462</v>
      </c>
      <c r="BM252" t="s">
        <v>5292</v>
      </c>
      <c r="BN252" t="s">
        <v>74</v>
      </c>
      <c r="BO252" t="s">
        <v>161</v>
      </c>
      <c r="BP252" t="s">
        <v>74</v>
      </c>
      <c r="BQ252" t="s">
        <v>74</v>
      </c>
      <c r="BR252" t="s">
        <v>106</v>
      </c>
      <c r="BS252" t="s">
        <v>5293</v>
      </c>
      <c r="BT252" t="str">
        <f>HYPERLINK("https%3A%2F%2Fwww.webofscience.com%2Fwos%2Fwoscc%2Ffull-record%2FWOS:001013839200001","View Full Record in Web of Science")</f>
        <v>View Full Record in Web of Science</v>
      </c>
    </row>
    <row r="253" spans="1:72" x14ac:dyDescent="0.2">
      <c r="A253" t="s">
        <v>72</v>
      </c>
      <c r="B253" t="s">
        <v>5294</v>
      </c>
      <c r="C253" t="s">
        <v>74</v>
      </c>
      <c r="D253" t="s">
        <v>74</v>
      </c>
      <c r="E253" t="s">
        <v>74</v>
      </c>
      <c r="F253" t="s">
        <v>5295</v>
      </c>
      <c r="G253" t="s">
        <v>74</v>
      </c>
      <c r="H253" t="s">
        <v>74</v>
      </c>
      <c r="I253" t="s">
        <v>5296</v>
      </c>
      <c r="J253" t="s">
        <v>828</v>
      </c>
      <c r="K253" t="s">
        <v>74</v>
      </c>
      <c r="L253" t="s">
        <v>74</v>
      </c>
      <c r="M253" t="s">
        <v>78</v>
      </c>
      <c r="N253" t="s">
        <v>79</v>
      </c>
      <c r="O253" t="s">
        <v>74</v>
      </c>
      <c r="P253" t="s">
        <v>74</v>
      </c>
      <c r="Q253" t="s">
        <v>74</v>
      </c>
      <c r="R253" t="s">
        <v>74</v>
      </c>
      <c r="S253" t="s">
        <v>74</v>
      </c>
      <c r="T253" t="s">
        <v>74</v>
      </c>
      <c r="U253" t="s">
        <v>74</v>
      </c>
      <c r="V253" t="s">
        <v>5297</v>
      </c>
      <c r="W253" t="s">
        <v>5298</v>
      </c>
      <c r="X253" t="s">
        <v>74</v>
      </c>
      <c r="Y253" t="s">
        <v>5299</v>
      </c>
      <c r="Z253" t="s">
        <v>74</v>
      </c>
      <c r="AA253" t="s">
        <v>74</v>
      </c>
      <c r="AB253" t="s">
        <v>74</v>
      </c>
      <c r="AC253" t="s">
        <v>74</v>
      </c>
      <c r="AD253" t="s">
        <v>74</v>
      </c>
      <c r="AE253" t="s">
        <v>74</v>
      </c>
      <c r="AF253" t="s">
        <v>74</v>
      </c>
      <c r="AG253">
        <v>11</v>
      </c>
      <c r="AH253">
        <v>0</v>
      </c>
      <c r="AI253">
        <v>2</v>
      </c>
      <c r="AJ253">
        <v>1</v>
      </c>
      <c r="AK253">
        <v>5</v>
      </c>
      <c r="AL253" t="s">
        <v>835</v>
      </c>
      <c r="AM253" t="s">
        <v>836</v>
      </c>
      <c r="AN253" t="s">
        <v>3254</v>
      </c>
      <c r="AO253" t="s">
        <v>838</v>
      </c>
      <c r="AP253" t="s">
        <v>74</v>
      </c>
      <c r="AQ253" t="s">
        <v>74</v>
      </c>
      <c r="AR253" t="s">
        <v>839</v>
      </c>
      <c r="AS253" t="s">
        <v>840</v>
      </c>
      <c r="AT253" t="s">
        <v>5300</v>
      </c>
      <c r="AU253">
        <v>2018</v>
      </c>
      <c r="AV253">
        <v>49</v>
      </c>
      <c r="AW253">
        <v>4</v>
      </c>
      <c r="AX253" t="s">
        <v>74</v>
      </c>
      <c r="AY253" t="s">
        <v>74</v>
      </c>
      <c r="AZ253" t="s">
        <v>74</v>
      </c>
      <c r="BA253" t="s">
        <v>74</v>
      </c>
      <c r="BB253">
        <v>38</v>
      </c>
      <c r="BC253">
        <v>43</v>
      </c>
      <c r="BD253" t="s">
        <v>74</v>
      </c>
      <c r="BE253" t="s">
        <v>74</v>
      </c>
      <c r="BF253" t="s">
        <v>74</v>
      </c>
      <c r="BG253" t="s">
        <v>74</v>
      </c>
      <c r="BH253" t="s">
        <v>74</v>
      </c>
      <c r="BI253">
        <v>6</v>
      </c>
      <c r="BJ253" t="s">
        <v>842</v>
      </c>
      <c r="BK253" t="s">
        <v>102</v>
      </c>
      <c r="BL253" t="s">
        <v>103</v>
      </c>
      <c r="BM253" t="s">
        <v>5301</v>
      </c>
      <c r="BN253" t="s">
        <v>74</v>
      </c>
      <c r="BO253" t="s">
        <v>74</v>
      </c>
      <c r="BP253" t="s">
        <v>74</v>
      </c>
      <c r="BQ253" t="s">
        <v>74</v>
      </c>
      <c r="BR253" t="s">
        <v>106</v>
      </c>
      <c r="BS253" t="s">
        <v>5302</v>
      </c>
      <c r="BT253" t="str">
        <f>HYPERLINK("https%3A%2F%2Fwww.webofscience.com%2Fwos%2Fwoscc%2Ffull-record%2FWOS:000454671200006","View Full Record in Web of Science")</f>
        <v>View Full Record in Web of Science</v>
      </c>
    </row>
    <row r="254" spans="1:72" x14ac:dyDescent="0.2">
      <c r="A254" t="s">
        <v>72</v>
      </c>
      <c r="B254" t="s">
        <v>5303</v>
      </c>
      <c r="C254" t="s">
        <v>74</v>
      </c>
      <c r="D254" t="s">
        <v>74</v>
      </c>
      <c r="E254" t="s">
        <v>74</v>
      </c>
      <c r="F254" t="s">
        <v>5304</v>
      </c>
      <c r="G254" t="s">
        <v>74</v>
      </c>
      <c r="H254" t="s">
        <v>74</v>
      </c>
      <c r="I254" t="s">
        <v>5305</v>
      </c>
      <c r="J254" t="s">
        <v>4525</v>
      </c>
      <c r="K254" t="s">
        <v>74</v>
      </c>
      <c r="L254" t="s">
        <v>74</v>
      </c>
      <c r="M254" t="s">
        <v>78</v>
      </c>
      <c r="N254" t="s">
        <v>79</v>
      </c>
      <c r="O254" t="s">
        <v>74</v>
      </c>
      <c r="P254" t="s">
        <v>74</v>
      </c>
      <c r="Q254" t="s">
        <v>74</v>
      </c>
      <c r="R254" t="s">
        <v>74</v>
      </c>
      <c r="S254" t="s">
        <v>74</v>
      </c>
      <c r="T254" t="s">
        <v>5306</v>
      </c>
      <c r="U254" t="s">
        <v>5307</v>
      </c>
      <c r="V254" t="s">
        <v>5308</v>
      </c>
      <c r="W254" t="s">
        <v>5309</v>
      </c>
      <c r="X254" t="s">
        <v>5310</v>
      </c>
      <c r="Y254" t="s">
        <v>5311</v>
      </c>
      <c r="Z254" t="s">
        <v>5312</v>
      </c>
      <c r="AA254" t="s">
        <v>5313</v>
      </c>
      <c r="AB254" t="s">
        <v>5314</v>
      </c>
      <c r="AC254" t="s">
        <v>5315</v>
      </c>
      <c r="AD254" t="s">
        <v>5316</v>
      </c>
      <c r="AE254" t="s">
        <v>5317</v>
      </c>
      <c r="AF254" t="s">
        <v>74</v>
      </c>
      <c r="AG254">
        <v>44</v>
      </c>
      <c r="AH254">
        <v>7</v>
      </c>
      <c r="AI254">
        <v>9</v>
      </c>
      <c r="AJ254">
        <v>26</v>
      </c>
      <c r="AK254">
        <v>80</v>
      </c>
      <c r="AL254" t="s">
        <v>404</v>
      </c>
      <c r="AM254" t="s">
        <v>405</v>
      </c>
      <c r="AN254" t="s">
        <v>406</v>
      </c>
      <c r="AO254" t="s">
        <v>4538</v>
      </c>
      <c r="AP254" t="s">
        <v>4539</v>
      </c>
      <c r="AQ254" t="s">
        <v>74</v>
      </c>
      <c r="AR254" t="s">
        <v>4540</v>
      </c>
      <c r="AS254" t="s">
        <v>4541</v>
      </c>
      <c r="AT254" t="s">
        <v>3077</v>
      </c>
      <c r="AU254">
        <v>2024</v>
      </c>
      <c r="AV254">
        <v>490</v>
      </c>
      <c r="AW254" t="s">
        <v>74</v>
      </c>
      <c r="AX254" t="s">
        <v>74</v>
      </c>
      <c r="AY254" t="s">
        <v>74</v>
      </c>
      <c r="AZ254" t="s">
        <v>74</v>
      </c>
      <c r="BA254" t="s">
        <v>74</v>
      </c>
      <c r="BB254" t="s">
        <v>74</v>
      </c>
      <c r="BC254" t="s">
        <v>74</v>
      </c>
      <c r="BD254">
        <v>151626</v>
      </c>
      <c r="BE254" t="s">
        <v>5318</v>
      </c>
      <c r="BF254" t="str">
        <f>HYPERLINK("http://dx.doi.org/10.1016/j.cej.2024.151626","http://dx.doi.org/10.1016/j.cej.2024.151626")</f>
        <v>http://dx.doi.org/10.1016/j.cej.2024.151626</v>
      </c>
      <c r="BG254" t="s">
        <v>74</v>
      </c>
      <c r="BH254" t="s">
        <v>2038</v>
      </c>
      <c r="BI254">
        <v>13</v>
      </c>
      <c r="BJ254" t="s">
        <v>3590</v>
      </c>
      <c r="BK254" t="s">
        <v>102</v>
      </c>
      <c r="BL254" t="s">
        <v>2743</v>
      </c>
      <c r="BM254" t="s">
        <v>5319</v>
      </c>
      <c r="BN254" t="s">
        <v>74</v>
      </c>
      <c r="BO254" t="s">
        <v>74</v>
      </c>
      <c r="BP254" t="s">
        <v>74</v>
      </c>
      <c r="BQ254" t="s">
        <v>74</v>
      </c>
      <c r="BR254" t="s">
        <v>106</v>
      </c>
      <c r="BS254" t="s">
        <v>5320</v>
      </c>
      <c r="BT254" t="str">
        <f>HYPERLINK("https%3A%2F%2Fwww.webofscience.com%2Fwos%2Fwoscc%2Ffull-record%2FWOS:001286778100001","View Full Record in Web of Science")</f>
        <v>View Full Record in Web of Science</v>
      </c>
    </row>
    <row r="255" spans="1:72" x14ac:dyDescent="0.2">
      <c r="A255" t="s">
        <v>72</v>
      </c>
      <c r="B255" t="s">
        <v>5321</v>
      </c>
      <c r="C255" t="s">
        <v>74</v>
      </c>
      <c r="D255" t="s">
        <v>74</v>
      </c>
      <c r="E255" t="s">
        <v>74</v>
      </c>
      <c r="F255" t="s">
        <v>5322</v>
      </c>
      <c r="G255" t="s">
        <v>74</v>
      </c>
      <c r="H255" t="s">
        <v>74</v>
      </c>
      <c r="I255" t="s">
        <v>5323</v>
      </c>
      <c r="J255" t="s">
        <v>1187</v>
      </c>
      <c r="K255" t="s">
        <v>74</v>
      </c>
      <c r="L255" t="s">
        <v>74</v>
      </c>
      <c r="M255" t="s">
        <v>78</v>
      </c>
      <c r="N255" t="s">
        <v>79</v>
      </c>
      <c r="O255" t="s">
        <v>74</v>
      </c>
      <c r="P255" t="s">
        <v>74</v>
      </c>
      <c r="Q255" t="s">
        <v>74</v>
      </c>
      <c r="R255" t="s">
        <v>74</v>
      </c>
      <c r="S255" t="s">
        <v>74</v>
      </c>
      <c r="T255" t="s">
        <v>5324</v>
      </c>
      <c r="U255" t="s">
        <v>5325</v>
      </c>
      <c r="V255" t="s">
        <v>5326</v>
      </c>
      <c r="W255" t="s">
        <v>5327</v>
      </c>
      <c r="X255" t="s">
        <v>5328</v>
      </c>
      <c r="Y255" t="s">
        <v>5329</v>
      </c>
      <c r="Z255" t="s">
        <v>5330</v>
      </c>
      <c r="AA255" t="s">
        <v>74</v>
      </c>
      <c r="AB255" t="s">
        <v>5331</v>
      </c>
      <c r="AC255" t="s">
        <v>5332</v>
      </c>
      <c r="AD255" t="s">
        <v>5333</v>
      </c>
      <c r="AE255" t="s">
        <v>5334</v>
      </c>
      <c r="AF255" t="s">
        <v>74</v>
      </c>
      <c r="AG255">
        <v>65</v>
      </c>
      <c r="AH255">
        <v>10</v>
      </c>
      <c r="AI255">
        <v>14</v>
      </c>
      <c r="AJ255">
        <v>3</v>
      </c>
      <c r="AK255">
        <v>59</v>
      </c>
      <c r="AL255" t="s">
        <v>504</v>
      </c>
      <c r="AM255" t="s">
        <v>505</v>
      </c>
      <c r="AN255" t="s">
        <v>506</v>
      </c>
      <c r="AO255" t="s">
        <v>1200</v>
      </c>
      <c r="AP255" t="s">
        <v>1201</v>
      </c>
      <c r="AQ255" t="s">
        <v>74</v>
      </c>
      <c r="AR255" t="s">
        <v>1187</v>
      </c>
      <c r="AS255" t="s">
        <v>1202</v>
      </c>
      <c r="AT255" t="s">
        <v>281</v>
      </c>
      <c r="AU255">
        <v>2020</v>
      </c>
      <c r="AV255">
        <v>149</v>
      </c>
      <c r="AW255">
        <v>2</v>
      </c>
      <c r="AX255" t="s">
        <v>74</v>
      </c>
      <c r="AY255" t="s">
        <v>74</v>
      </c>
      <c r="AZ255" t="s">
        <v>74</v>
      </c>
      <c r="BA255" t="s">
        <v>74</v>
      </c>
      <c r="BB255">
        <v>141</v>
      </c>
      <c r="BC255">
        <v>158</v>
      </c>
      <c r="BD255" t="s">
        <v>74</v>
      </c>
      <c r="BE255" t="s">
        <v>5335</v>
      </c>
      <c r="BF255" t="str">
        <f>HYPERLINK("http://dx.doi.org/10.1007/s10533-020-00670-x","http://dx.doi.org/10.1007/s10533-020-00670-x")</f>
        <v>http://dx.doi.org/10.1007/s10533-020-00670-x</v>
      </c>
      <c r="BG255" t="s">
        <v>74</v>
      </c>
      <c r="BH255" t="s">
        <v>5336</v>
      </c>
      <c r="BI255">
        <v>18</v>
      </c>
      <c r="BJ255" t="s">
        <v>1205</v>
      </c>
      <c r="BK255" t="s">
        <v>102</v>
      </c>
      <c r="BL255" t="s">
        <v>1206</v>
      </c>
      <c r="BM255" t="s">
        <v>5337</v>
      </c>
      <c r="BN255" t="s">
        <v>74</v>
      </c>
      <c r="BO255" t="s">
        <v>541</v>
      </c>
      <c r="BP255" t="s">
        <v>74</v>
      </c>
      <c r="BQ255" t="s">
        <v>74</v>
      </c>
      <c r="BR255" t="s">
        <v>106</v>
      </c>
      <c r="BS255" t="s">
        <v>5338</v>
      </c>
      <c r="BT255" t="str">
        <f>HYPERLINK("https%3A%2F%2Fwww.webofscience.com%2Fwos%2Fwoscc%2Ffull-record%2FWOS:000531115000001","View Full Record in Web of Science")</f>
        <v>View Full Record in Web of Science</v>
      </c>
    </row>
    <row r="256" spans="1:72" x14ac:dyDescent="0.2">
      <c r="A256" t="s">
        <v>72</v>
      </c>
      <c r="B256" t="s">
        <v>5339</v>
      </c>
      <c r="C256" t="s">
        <v>74</v>
      </c>
      <c r="D256" t="s">
        <v>74</v>
      </c>
      <c r="E256" t="s">
        <v>74</v>
      </c>
      <c r="F256" t="s">
        <v>5340</v>
      </c>
      <c r="G256" t="s">
        <v>74</v>
      </c>
      <c r="H256" t="s">
        <v>74</v>
      </c>
      <c r="I256" t="s">
        <v>5341</v>
      </c>
      <c r="J256" t="s">
        <v>491</v>
      </c>
      <c r="K256" t="s">
        <v>74</v>
      </c>
      <c r="L256" t="s">
        <v>74</v>
      </c>
      <c r="M256" t="s">
        <v>78</v>
      </c>
      <c r="N256" t="s">
        <v>79</v>
      </c>
      <c r="O256" t="s">
        <v>74</v>
      </c>
      <c r="P256" t="s">
        <v>74</v>
      </c>
      <c r="Q256" t="s">
        <v>74</v>
      </c>
      <c r="R256" t="s">
        <v>74</v>
      </c>
      <c r="S256" t="s">
        <v>74</v>
      </c>
      <c r="T256" t="s">
        <v>5342</v>
      </c>
      <c r="U256" t="s">
        <v>74</v>
      </c>
      <c r="V256" t="s">
        <v>5343</v>
      </c>
      <c r="W256" t="s">
        <v>5344</v>
      </c>
      <c r="X256" t="s">
        <v>5345</v>
      </c>
      <c r="Y256" t="s">
        <v>5346</v>
      </c>
      <c r="Z256" t="s">
        <v>5347</v>
      </c>
      <c r="AA256" t="s">
        <v>74</v>
      </c>
      <c r="AB256" t="s">
        <v>74</v>
      </c>
      <c r="AC256" t="s">
        <v>4844</v>
      </c>
      <c r="AD256" t="s">
        <v>1591</v>
      </c>
      <c r="AE256" t="s">
        <v>456</v>
      </c>
      <c r="AF256" t="s">
        <v>74</v>
      </c>
      <c r="AG256">
        <v>28</v>
      </c>
      <c r="AH256">
        <v>0</v>
      </c>
      <c r="AI256">
        <v>0</v>
      </c>
      <c r="AJ256">
        <v>6</v>
      </c>
      <c r="AK256">
        <v>23</v>
      </c>
      <c r="AL256" t="s">
        <v>504</v>
      </c>
      <c r="AM256" t="s">
        <v>505</v>
      </c>
      <c r="AN256" t="s">
        <v>506</v>
      </c>
      <c r="AO256" t="s">
        <v>507</v>
      </c>
      <c r="AP256" t="s">
        <v>508</v>
      </c>
      <c r="AQ256" t="s">
        <v>74</v>
      </c>
      <c r="AR256" t="s">
        <v>509</v>
      </c>
      <c r="AS256" t="s">
        <v>510</v>
      </c>
      <c r="AT256" t="s">
        <v>1752</v>
      </c>
      <c r="AU256">
        <v>2025</v>
      </c>
      <c r="AV256">
        <v>27</v>
      </c>
      <c r="AW256">
        <v>8</v>
      </c>
      <c r="AX256" t="s">
        <v>74</v>
      </c>
      <c r="AY256" t="s">
        <v>74</v>
      </c>
      <c r="AZ256" t="s">
        <v>74</v>
      </c>
      <c r="BA256" t="s">
        <v>74</v>
      </c>
      <c r="BB256">
        <v>18819</v>
      </c>
      <c r="BC256">
        <v>18836</v>
      </c>
      <c r="BD256" t="s">
        <v>74</v>
      </c>
      <c r="BE256" t="s">
        <v>5348</v>
      </c>
      <c r="BF256" t="str">
        <f>HYPERLINK("http://dx.doi.org/10.1007/s10668-024-04646-x","http://dx.doi.org/10.1007/s10668-024-04646-x")</f>
        <v>http://dx.doi.org/10.1007/s10668-024-04646-x</v>
      </c>
      <c r="BG256" t="s">
        <v>74</v>
      </c>
      <c r="BH256" t="s">
        <v>5349</v>
      </c>
      <c r="BI256">
        <v>18</v>
      </c>
      <c r="BJ256" t="s">
        <v>514</v>
      </c>
      <c r="BK256" t="s">
        <v>102</v>
      </c>
      <c r="BL256" t="s">
        <v>485</v>
      </c>
      <c r="BM256" t="s">
        <v>5350</v>
      </c>
      <c r="BN256" t="s">
        <v>74</v>
      </c>
      <c r="BO256" t="s">
        <v>74</v>
      </c>
      <c r="BP256" t="s">
        <v>74</v>
      </c>
      <c r="BQ256" t="s">
        <v>74</v>
      </c>
      <c r="BR256" t="s">
        <v>106</v>
      </c>
      <c r="BS256" t="s">
        <v>5351</v>
      </c>
      <c r="BT256" t="str">
        <f>HYPERLINK("https%3A%2F%2Fwww.webofscience.com%2Fwos%2Fwoscc%2Ffull-record%2FWOS:001185829700002","View Full Record in Web of Science")</f>
        <v>View Full Record in Web of Science</v>
      </c>
    </row>
    <row r="257" spans="1:72" x14ac:dyDescent="0.2">
      <c r="A257" t="s">
        <v>72</v>
      </c>
      <c r="B257" t="s">
        <v>5352</v>
      </c>
      <c r="C257" t="s">
        <v>74</v>
      </c>
      <c r="D257" t="s">
        <v>74</v>
      </c>
      <c r="E257" t="s">
        <v>74</v>
      </c>
      <c r="F257" t="s">
        <v>5353</v>
      </c>
      <c r="G257" t="s">
        <v>74</v>
      </c>
      <c r="H257" t="s">
        <v>74</v>
      </c>
      <c r="I257" t="s">
        <v>5354</v>
      </c>
      <c r="J257" t="s">
        <v>3572</v>
      </c>
      <c r="K257" t="s">
        <v>74</v>
      </c>
      <c r="L257" t="s">
        <v>74</v>
      </c>
      <c r="M257" t="s">
        <v>78</v>
      </c>
      <c r="N257" t="s">
        <v>79</v>
      </c>
      <c r="O257" t="s">
        <v>74</v>
      </c>
      <c r="P257" t="s">
        <v>74</v>
      </c>
      <c r="Q257" t="s">
        <v>74</v>
      </c>
      <c r="R257" t="s">
        <v>74</v>
      </c>
      <c r="S257" t="s">
        <v>74</v>
      </c>
      <c r="T257" t="s">
        <v>5355</v>
      </c>
      <c r="U257" t="s">
        <v>5356</v>
      </c>
      <c r="V257" t="s">
        <v>5357</v>
      </c>
      <c r="W257" t="s">
        <v>5358</v>
      </c>
      <c r="X257" t="s">
        <v>5359</v>
      </c>
      <c r="Y257" t="s">
        <v>5360</v>
      </c>
      <c r="Z257" t="s">
        <v>5361</v>
      </c>
      <c r="AA257" t="s">
        <v>74</v>
      </c>
      <c r="AB257" t="s">
        <v>74</v>
      </c>
      <c r="AC257" t="s">
        <v>5362</v>
      </c>
      <c r="AD257" t="s">
        <v>5254</v>
      </c>
      <c r="AE257" t="s">
        <v>5363</v>
      </c>
      <c r="AF257" t="s">
        <v>74</v>
      </c>
      <c r="AG257">
        <v>61</v>
      </c>
      <c r="AH257">
        <v>52</v>
      </c>
      <c r="AI257">
        <v>57</v>
      </c>
      <c r="AJ257">
        <v>19</v>
      </c>
      <c r="AK257">
        <v>188</v>
      </c>
      <c r="AL257" t="s">
        <v>123</v>
      </c>
      <c r="AM257" t="s">
        <v>124</v>
      </c>
      <c r="AN257" t="s">
        <v>125</v>
      </c>
      <c r="AO257" t="s">
        <v>3585</v>
      </c>
      <c r="AP257" t="s">
        <v>3586</v>
      </c>
      <c r="AQ257" t="s">
        <v>74</v>
      </c>
      <c r="AR257" t="s">
        <v>3587</v>
      </c>
      <c r="AS257" t="s">
        <v>3588</v>
      </c>
      <c r="AT257" t="s">
        <v>281</v>
      </c>
      <c r="AU257">
        <v>2022</v>
      </c>
      <c r="AV257">
        <v>162</v>
      </c>
      <c r="AW257" t="s">
        <v>74</v>
      </c>
      <c r="AX257" t="s">
        <v>74</v>
      </c>
      <c r="AY257" t="s">
        <v>74</v>
      </c>
      <c r="AZ257" t="s">
        <v>74</v>
      </c>
      <c r="BA257" t="s">
        <v>74</v>
      </c>
      <c r="BB257">
        <v>531</v>
      </c>
      <c r="BC257">
        <v>542</v>
      </c>
      <c r="BD257" t="s">
        <v>74</v>
      </c>
      <c r="BE257" t="s">
        <v>5364</v>
      </c>
      <c r="BF257" t="str">
        <f>HYPERLINK("http://dx.doi.org/10.1016/j.psep.2022.04.042","http://dx.doi.org/10.1016/j.psep.2022.04.042")</f>
        <v>http://dx.doi.org/10.1016/j.psep.2022.04.042</v>
      </c>
      <c r="BG257" t="s">
        <v>74</v>
      </c>
      <c r="BH257" t="s">
        <v>2293</v>
      </c>
      <c r="BI257">
        <v>12</v>
      </c>
      <c r="BJ257" t="s">
        <v>3590</v>
      </c>
      <c r="BK257" t="s">
        <v>102</v>
      </c>
      <c r="BL257" t="s">
        <v>2743</v>
      </c>
      <c r="BM257" t="s">
        <v>5365</v>
      </c>
      <c r="BN257" t="s">
        <v>74</v>
      </c>
      <c r="BO257" t="s">
        <v>74</v>
      </c>
      <c r="BP257" t="s">
        <v>74</v>
      </c>
      <c r="BQ257" t="s">
        <v>74</v>
      </c>
      <c r="BR257" t="s">
        <v>106</v>
      </c>
      <c r="BS257" t="s">
        <v>5366</v>
      </c>
      <c r="BT257" t="str">
        <f>HYPERLINK("https%3A%2F%2Fwww.webofscience.com%2Fwos%2Fwoscc%2Ffull-record%2FWOS:000803718900004","View Full Record in Web of Science")</f>
        <v>View Full Record in Web of Science</v>
      </c>
    </row>
    <row r="258" spans="1:72" x14ac:dyDescent="0.2">
      <c r="A258" t="s">
        <v>72</v>
      </c>
      <c r="B258" t="s">
        <v>5367</v>
      </c>
      <c r="C258" t="s">
        <v>74</v>
      </c>
      <c r="D258" t="s">
        <v>74</v>
      </c>
      <c r="E258" t="s">
        <v>74</v>
      </c>
      <c r="F258" t="s">
        <v>5368</v>
      </c>
      <c r="G258" t="s">
        <v>74</v>
      </c>
      <c r="H258" t="s">
        <v>74</v>
      </c>
      <c r="I258" t="s">
        <v>5369</v>
      </c>
      <c r="J258" t="s">
        <v>211</v>
      </c>
      <c r="K258" t="s">
        <v>74</v>
      </c>
      <c r="L258" t="s">
        <v>74</v>
      </c>
      <c r="M258" t="s">
        <v>78</v>
      </c>
      <c r="N258" t="s">
        <v>79</v>
      </c>
      <c r="O258" t="s">
        <v>74</v>
      </c>
      <c r="P258" t="s">
        <v>74</v>
      </c>
      <c r="Q258" t="s">
        <v>74</v>
      </c>
      <c r="R258" t="s">
        <v>74</v>
      </c>
      <c r="S258" t="s">
        <v>74</v>
      </c>
      <c r="T258" t="s">
        <v>5370</v>
      </c>
      <c r="U258" t="s">
        <v>5371</v>
      </c>
      <c r="V258" t="s">
        <v>5372</v>
      </c>
      <c r="W258" t="s">
        <v>5373</v>
      </c>
      <c r="X258" t="s">
        <v>5374</v>
      </c>
      <c r="Y258" t="s">
        <v>5375</v>
      </c>
      <c r="Z258" t="s">
        <v>5376</v>
      </c>
      <c r="AA258" t="s">
        <v>5377</v>
      </c>
      <c r="AB258" t="s">
        <v>5378</v>
      </c>
      <c r="AC258" t="s">
        <v>5379</v>
      </c>
      <c r="AD258" t="s">
        <v>2737</v>
      </c>
      <c r="AE258" t="s">
        <v>5380</v>
      </c>
      <c r="AF258" t="s">
        <v>74</v>
      </c>
      <c r="AG258">
        <v>62</v>
      </c>
      <c r="AH258">
        <v>3</v>
      </c>
      <c r="AI258">
        <v>4</v>
      </c>
      <c r="AJ258">
        <v>1</v>
      </c>
      <c r="AK258">
        <v>24</v>
      </c>
      <c r="AL258" t="s">
        <v>222</v>
      </c>
      <c r="AM258" t="s">
        <v>223</v>
      </c>
      <c r="AN258" t="s">
        <v>478</v>
      </c>
      <c r="AO258" t="s">
        <v>74</v>
      </c>
      <c r="AP258" t="s">
        <v>225</v>
      </c>
      <c r="AQ258" t="s">
        <v>74</v>
      </c>
      <c r="AR258" t="s">
        <v>211</v>
      </c>
      <c r="AS258" t="s">
        <v>226</v>
      </c>
      <c r="AT258" t="s">
        <v>805</v>
      </c>
      <c r="AU258">
        <v>2022</v>
      </c>
      <c r="AV258">
        <v>15</v>
      </c>
      <c r="AW258">
        <v>21</v>
      </c>
      <c r="AX258" t="s">
        <v>74</v>
      </c>
      <c r="AY258" t="s">
        <v>74</v>
      </c>
      <c r="AZ258" t="s">
        <v>74</v>
      </c>
      <c r="BA258" t="s">
        <v>74</v>
      </c>
      <c r="BB258" t="s">
        <v>74</v>
      </c>
      <c r="BC258" t="s">
        <v>74</v>
      </c>
      <c r="BD258">
        <v>7887</v>
      </c>
      <c r="BE258" t="s">
        <v>5381</v>
      </c>
      <c r="BF258" t="str">
        <f>HYPERLINK("http://dx.doi.org/10.3390/en15217887","http://dx.doi.org/10.3390/en15217887")</f>
        <v>http://dx.doi.org/10.3390/en15217887</v>
      </c>
      <c r="BG258" t="s">
        <v>74</v>
      </c>
      <c r="BH258" t="s">
        <v>74</v>
      </c>
      <c r="BI258">
        <v>17</v>
      </c>
      <c r="BJ258" t="s">
        <v>229</v>
      </c>
      <c r="BK258" t="s">
        <v>102</v>
      </c>
      <c r="BL258" t="s">
        <v>229</v>
      </c>
      <c r="BM258" t="s">
        <v>5382</v>
      </c>
      <c r="BN258" t="s">
        <v>74</v>
      </c>
      <c r="BO258" t="s">
        <v>161</v>
      </c>
      <c r="BP258" t="s">
        <v>74</v>
      </c>
      <c r="BQ258" t="s">
        <v>74</v>
      </c>
      <c r="BR258" t="s">
        <v>106</v>
      </c>
      <c r="BS258" t="s">
        <v>5383</v>
      </c>
      <c r="BT258" t="str">
        <f>HYPERLINK("https%3A%2F%2Fwww.webofscience.com%2Fwos%2Fwoscc%2Ffull-record%2FWOS:000881294500001","View Full Record in Web of Science")</f>
        <v>View Full Record in Web of Science</v>
      </c>
    </row>
    <row r="259" spans="1:72" x14ac:dyDescent="0.2">
      <c r="A259" t="s">
        <v>72</v>
      </c>
      <c r="B259" t="s">
        <v>5384</v>
      </c>
      <c r="C259" t="s">
        <v>74</v>
      </c>
      <c r="D259" t="s">
        <v>74</v>
      </c>
      <c r="E259" t="s">
        <v>74</v>
      </c>
      <c r="F259" t="s">
        <v>5385</v>
      </c>
      <c r="G259" t="s">
        <v>74</v>
      </c>
      <c r="H259" t="s">
        <v>74</v>
      </c>
      <c r="I259" t="s">
        <v>5386</v>
      </c>
      <c r="J259" t="s">
        <v>5387</v>
      </c>
      <c r="K259" t="s">
        <v>74</v>
      </c>
      <c r="L259" t="s">
        <v>74</v>
      </c>
      <c r="M259" t="s">
        <v>78</v>
      </c>
      <c r="N259" t="s">
        <v>79</v>
      </c>
      <c r="O259" t="s">
        <v>74</v>
      </c>
      <c r="P259" t="s">
        <v>74</v>
      </c>
      <c r="Q259" t="s">
        <v>74</v>
      </c>
      <c r="R259" t="s">
        <v>74</v>
      </c>
      <c r="S259" t="s">
        <v>74</v>
      </c>
      <c r="T259" t="s">
        <v>74</v>
      </c>
      <c r="U259" t="s">
        <v>5388</v>
      </c>
      <c r="V259" t="s">
        <v>5389</v>
      </c>
      <c r="W259" t="s">
        <v>5390</v>
      </c>
      <c r="X259" t="s">
        <v>5391</v>
      </c>
      <c r="Y259" t="s">
        <v>5392</v>
      </c>
      <c r="Z259" t="s">
        <v>5393</v>
      </c>
      <c r="AA259" t="s">
        <v>5394</v>
      </c>
      <c r="AB259" t="s">
        <v>5395</v>
      </c>
      <c r="AC259" t="s">
        <v>5396</v>
      </c>
      <c r="AD259" t="s">
        <v>5397</v>
      </c>
      <c r="AE259" t="s">
        <v>5398</v>
      </c>
      <c r="AF259" t="s">
        <v>74</v>
      </c>
      <c r="AG259">
        <v>48</v>
      </c>
      <c r="AH259">
        <v>5</v>
      </c>
      <c r="AI259">
        <v>5</v>
      </c>
      <c r="AJ259">
        <v>0</v>
      </c>
      <c r="AK259">
        <v>16</v>
      </c>
      <c r="AL259" t="s">
        <v>5399</v>
      </c>
      <c r="AM259" t="s">
        <v>5400</v>
      </c>
      <c r="AN259" t="s">
        <v>5401</v>
      </c>
      <c r="AO259" t="s">
        <v>5402</v>
      </c>
      <c r="AP259" t="s">
        <v>5403</v>
      </c>
      <c r="AQ259" t="s">
        <v>74</v>
      </c>
      <c r="AR259" t="s">
        <v>5404</v>
      </c>
      <c r="AS259" t="s">
        <v>5405</v>
      </c>
      <c r="AT259" t="s">
        <v>74</v>
      </c>
      <c r="AU259">
        <v>2020</v>
      </c>
      <c r="AV259">
        <v>25</v>
      </c>
      <c r="AW259" t="s">
        <v>74</v>
      </c>
      <c r="AX259" t="s">
        <v>74</v>
      </c>
      <c r="AY259" t="s">
        <v>74</v>
      </c>
      <c r="AZ259" t="s">
        <v>74</v>
      </c>
      <c r="BA259" t="s">
        <v>74</v>
      </c>
      <c r="BB259">
        <v>1</v>
      </c>
      <c r="BC259">
        <v>17</v>
      </c>
      <c r="BD259" t="s">
        <v>74</v>
      </c>
      <c r="BE259" t="s">
        <v>74</v>
      </c>
      <c r="BF259" t="s">
        <v>74</v>
      </c>
      <c r="BG259" t="s">
        <v>74</v>
      </c>
      <c r="BH259" t="s">
        <v>74</v>
      </c>
      <c r="BI259">
        <v>17</v>
      </c>
      <c r="BJ259" t="s">
        <v>567</v>
      </c>
      <c r="BK259" t="s">
        <v>102</v>
      </c>
      <c r="BL259" t="s">
        <v>568</v>
      </c>
      <c r="BM259" t="s">
        <v>5406</v>
      </c>
      <c r="BN259" t="s">
        <v>74</v>
      </c>
      <c r="BO259" t="s">
        <v>74</v>
      </c>
      <c r="BP259" t="s">
        <v>74</v>
      </c>
      <c r="BQ259" t="s">
        <v>74</v>
      </c>
      <c r="BR259" t="s">
        <v>106</v>
      </c>
      <c r="BS259" t="s">
        <v>5407</v>
      </c>
      <c r="BT259" t="str">
        <f>HYPERLINK("https%3A%2F%2Fwww.webofscience.com%2Fwos%2Fwoscc%2Ffull-record%2FWOS:000529241400001","View Full Record in Web of Science")</f>
        <v>View Full Record in Web of Science</v>
      </c>
    </row>
    <row r="260" spans="1:72" x14ac:dyDescent="0.2">
      <c r="A260" t="s">
        <v>72</v>
      </c>
      <c r="B260" t="s">
        <v>5408</v>
      </c>
      <c r="C260" t="s">
        <v>74</v>
      </c>
      <c r="D260" t="s">
        <v>74</v>
      </c>
      <c r="E260" t="s">
        <v>74</v>
      </c>
      <c r="F260" t="s">
        <v>5409</v>
      </c>
      <c r="G260" t="s">
        <v>74</v>
      </c>
      <c r="H260" t="s">
        <v>74</v>
      </c>
      <c r="I260" t="s">
        <v>5410</v>
      </c>
      <c r="J260" t="s">
        <v>1477</v>
      </c>
      <c r="K260" t="s">
        <v>74</v>
      </c>
      <c r="L260" t="s">
        <v>74</v>
      </c>
      <c r="M260" t="s">
        <v>78</v>
      </c>
      <c r="N260" t="s">
        <v>79</v>
      </c>
      <c r="O260" t="s">
        <v>74</v>
      </c>
      <c r="P260" t="s">
        <v>74</v>
      </c>
      <c r="Q260" t="s">
        <v>74</v>
      </c>
      <c r="R260" t="s">
        <v>74</v>
      </c>
      <c r="S260" t="s">
        <v>74</v>
      </c>
      <c r="T260" t="s">
        <v>5411</v>
      </c>
      <c r="U260" t="s">
        <v>5412</v>
      </c>
      <c r="V260" t="s">
        <v>5413</v>
      </c>
      <c r="W260" t="s">
        <v>5414</v>
      </c>
      <c r="X260" t="s">
        <v>5415</v>
      </c>
      <c r="Y260" t="s">
        <v>5416</v>
      </c>
      <c r="Z260" t="s">
        <v>5417</v>
      </c>
      <c r="AA260" t="s">
        <v>5418</v>
      </c>
      <c r="AB260" t="s">
        <v>5419</v>
      </c>
      <c r="AC260" t="s">
        <v>5420</v>
      </c>
      <c r="AD260" t="s">
        <v>5421</v>
      </c>
      <c r="AE260" t="s">
        <v>5422</v>
      </c>
      <c r="AF260" t="s">
        <v>74</v>
      </c>
      <c r="AG260">
        <v>121</v>
      </c>
      <c r="AH260">
        <v>3</v>
      </c>
      <c r="AI260">
        <v>4</v>
      </c>
      <c r="AJ260">
        <v>8</v>
      </c>
      <c r="AK260">
        <v>23</v>
      </c>
      <c r="AL260" t="s">
        <v>934</v>
      </c>
      <c r="AM260" t="s">
        <v>177</v>
      </c>
      <c r="AN260" t="s">
        <v>935</v>
      </c>
      <c r="AO260" t="s">
        <v>1490</v>
      </c>
      <c r="AP260" t="s">
        <v>1491</v>
      </c>
      <c r="AQ260" t="s">
        <v>74</v>
      </c>
      <c r="AR260" t="s">
        <v>1492</v>
      </c>
      <c r="AS260" t="s">
        <v>1493</v>
      </c>
      <c r="AT260" t="s">
        <v>636</v>
      </c>
      <c r="AU260">
        <v>2025</v>
      </c>
      <c r="AV260">
        <v>212</v>
      </c>
      <c r="AW260" t="s">
        <v>74</v>
      </c>
      <c r="AX260" t="s">
        <v>74</v>
      </c>
      <c r="AY260" t="s">
        <v>74</v>
      </c>
      <c r="AZ260" t="s">
        <v>74</v>
      </c>
      <c r="BA260" t="s">
        <v>74</v>
      </c>
      <c r="BB260" t="s">
        <v>74</v>
      </c>
      <c r="BC260" t="s">
        <v>74</v>
      </c>
      <c r="BD260">
        <v>115338</v>
      </c>
      <c r="BE260" t="s">
        <v>5423</v>
      </c>
      <c r="BF260" t="str">
        <f>HYPERLINK("http://dx.doi.org/10.1016/j.rser.2025.115338","http://dx.doi.org/10.1016/j.rser.2025.115338")</f>
        <v>http://dx.doi.org/10.1016/j.rser.2025.115338</v>
      </c>
      <c r="BG260" t="s">
        <v>74</v>
      </c>
      <c r="BH260" t="s">
        <v>2404</v>
      </c>
      <c r="BI260">
        <v>13</v>
      </c>
      <c r="BJ260" t="s">
        <v>1496</v>
      </c>
      <c r="BK260" t="s">
        <v>102</v>
      </c>
      <c r="BL260" t="s">
        <v>1497</v>
      </c>
      <c r="BM260" t="s">
        <v>5424</v>
      </c>
      <c r="BN260" t="s">
        <v>74</v>
      </c>
      <c r="BO260" t="s">
        <v>74</v>
      </c>
      <c r="BP260" t="s">
        <v>74</v>
      </c>
      <c r="BQ260" t="s">
        <v>74</v>
      </c>
      <c r="BR260" t="s">
        <v>106</v>
      </c>
      <c r="BS260" t="s">
        <v>5425</v>
      </c>
      <c r="BT260" t="str">
        <f>HYPERLINK("https%3A%2F%2Fwww.webofscience.com%2Fwos%2Fwoscc%2Ffull-record%2FWOS:001407841100001","View Full Record in Web of Science")</f>
        <v>View Full Record in Web of Science</v>
      </c>
    </row>
    <row r="261" spans="1:72" x14ac:dyDescent="0.2">
      <c r="A261" t="s">
        <v>72</v>
      </c>
      <c r="B261" t="s">
        <v>5426</v>
      </c>
      <c r="C261" t="s">
        <v>74</v>
      </c>
      <c r="D261" t="s">
        <v>74</v>
      </c>
      <c r="E261" t="s">
        <v>74</v>
      </c>
      <c r="F261" t="s">
        <v>5427</v>
      </c>
      <c r="G261" t="s">
        <v>74</v>
      </c>
      <c r="H261" t="s">
        <v>74</v>
      </c>
      <c r="I261" t="s">
        <v>5428</v>
      </c>
      <c r="J261" t="s">
        <v>347</v>
      </c>
      <c r="K261" t="s">
        <v>74</v>
      </c>
      <c r="L261" t="s">
        <v>74</v>
      </c>
      <c r="M261" t="s">
        <v>78</v>
      </c>
      <c r="N261" t="s">
        <v>79</v>
      </c>
      <c r="O261" t="s">
        <v>74</v>
      </c>
      <c r="P261" t="s">
        <v>74</v>
      </c>
      <c r="Q261" t="s">
        <v>74</v>
      </c>
      <c r="R261" t="s">
        <v>74</v>
      </c>
      <c r="S261" t="s">
        <v>74</v>
      </c>
      <c r="T261" t="s">
        <v>74</v>
      </c>
      <c r="U261" t="s">
        <v>74</v>
      </c>
      <c r="V261" t="s">
        <v>5429</v>
      </c>
      <c r="W261" t="s">
        <v>5430</v>
      </c>
      <c r="X261" t="s">
        <v>5431</v>
      </c>
      <c r="Y261" t="s">
        <v>5432</v>
      </c>
      <c r="Z261" t="s">
        <v>5433</v>
      </c>
      <c r="AA261" t="s">
        <v>5434</v>
      </c>
      <c r="AB261" t="s">
        <v>74</v>
      </c>
      <c r="AC261" t="s">
        <v>5435</v>
      </c>
      <c r="AD261" t="s">
        <v>5435</v>
      </c>
      <c r="AE261" t="s">
        <v>5436</v>
      </c>
      <c r="AF261" t="s">
        <v>74</v>
      </c>
      <c r="AG261">
        <v>41</v>
      </c>
      <c r="AH261">
        <v>7</v>
      </c>
      <c r="AI261">
        <v>7</v>
      </c>
      <c r="AJ261">
        <v>16</v>
      </c>
      <c r="AK261">
        <v>58</v>
      </c>
      <c r="AL261" t="s">
        <v>274</v>
      </c>
      <c r="AM261" t="s">
        <v>275</v>
      </c>
      <c r="AN261" t="s">
        <v>276</v>
      </c>
      <c r="AO261" t="s">
        <v>357</v>
      </c>
      <c r="AP261" t="s">
        <v>74</v>
      </c>
      <c r="AQ261" t="s">
        <v>74</v>
      </c>
      <c r="AR261" t="s">
        <v>358</v>
      </c>
      <c r="AS261" t="s">
        <v>359</v>
      </c>
      <c r="AT261" t="s">
        <v>5437</v>
      </c>
      <c r="AU261">
        <v>2024</v>
      </c>
      <c r="AV261">
        <v>14</v>
      </c>
      <c r="AW261">
        <v>1</v>
      </c>
      <c r="AX261" t="s">
        <v>74</v>
      </c>
      <c r="AY261" t="s">
        <v>74</v>
      </c>
      <c r="AZ261" t="s">
        <v>74</v>
      </c>
      <c r="BA261" t="s">
        <v>74</v>
      </c>
      <c r="BB261" t="s">
        <v>74</v>
      </c>
      <c r="BC261" t="s">
        <v>74</v>
      </c>
      <c r="BD261">
        <v>3361</v>
      </c>
      <c r="BE261" t="s">
        <v>5438</v>
      </c>
      <c r="BF261" t="str">
        <f>HYPERLINK("http://dx.doi.org/10.1038/s41598-024-53432-2","http://dx.doi.org/10.1038/s41598-024-53432-2")</f>
        <v>http://dx.doi.org/10.1038/s41598-024-53432-2</v>
      </c>
      <c r="BG261" t="s">
        <v>74</v>
      </c>
      <c r="BH261" t="s">
        <v>74</v>
      </c>
      <c r="BI261">
        <v>11</v>
      </c>
      <c r="BJ261" t="s">
        <v>158</v>
      </c>
      <c r="BK261" t="s">
        <v>102</v>
      </c>
      <c r="BL261" t="s">
        <v>159</v>
      </c>
      <c r="BM261" t="s">
        <v>5439</v>
      </c>
      <c r="BN261">
        <v>38336909</v>
      </c>
      <c r="BO261" t="s">
        <v>161</v>
      </c>
      <c r="BP261" t="s">
        <v>74</v>
      </c>
      <c r="BQ261" t="s">
        <v>74</v>
      </c>
      <c r="BR261" t="s">
        <v>106</v>
      </c>
      <c r="BS261" t="s">
        <v>5440</v>
      </c>
      <c r="BT261" t="str">
        <f>HYPERLINK("https%3A%2F%2Fwww.webofscience.com%2Fwos%2Fwoscc%2Ffull-record%2FWOS:001160750400019","View Full Record in Web of Science")</f>
        <v>View Full Record in Web of Science</v>
      </c>
    </row>
    <row r="262" spans="1:72" x14ac:dyDescent="0.2">
      <c r="A262" t="s">
        <v>72</v>
      </c>
      <c r="B262" t="s">
        <v>5441</v>
      </c>
      <c r="C262" t="s">
        <v>74</v>
      </c>
      <c r="D262" t="s">
        <v>74</v>
      </c>
      <c r="E262" t="s">
        <v>74</v>
      </c>
      <c r="F262" t="s">
        <v>5442</v>
      </c>
      <c r="G262" t="s">
        <v>74</v>
      </c>
      <c r="H262" t="s">
        <v>74</v>
      </c>
      <c r="I262" t="s">
        <v>5443</v>
      </c>
      <c r="J262" t="s">
        <v>5444</v>
      </c>
      <c r="K262" t="s">
        <v>74</v>
      </c>
      <c r="L262" t="s">
        <v>74</v>
      </c>
      <c r="M262" t="s">
        <v>78</v>
      </c>
      <c r="N262" t="s">
        <v>79</v>
      </c>
      <c r="O262" t="s">
        <v>74</v>
      </c>
      <c r="P262" t="s">
        <v>74</v>
      </c>
      <c r="Q262" t="s">
        <v>74</v>
      </c>
      <c r="R262" t="s">
        <v>74</v>
      </c>
      <c r="S262" t="s">
        <v>74</v>
      </c>
      <c r="T262" t="s">
        <v>5445</v>
      </c>
      <c r="U262" t="s">
        <v>5446</v>
      </c>
      <c r="V262" t="s">
        <v>5447</v>
      </c>
      <c r="W262" t="s">
        <v>5448</v>
      </c>
      <c r="X262" t="s">
        <v>5449</v>
      </c>
      <c r="Y262" t="s">
        <v>5450</v>
      </c>
      <c r="Z262" t="s">
        <v>5451</v>
      </c>
      <c r="AA262" t="s">
        <v>5452</v>
      </c>
      <c r="AB262" t="s">
        <v>5453</v>
      </c>
      <c r="AC262" t="s">
        <v>5454</v>
      </c>
      <c r="AD262" t="s">
        <v>5455</v>
      </c>
      <c r="AE262" t="s">
        <v>5456</v>
      </c>
      <c r="AF262" t="s">
        <v>74</v>
      </c>
      <c r="AG262">
        <v>94</v>
      </c>
      <c r="AH262">
        <v>21</v>
      </c>
      <c r="AI262">
        <v>23</v>
      </c>
      <c r="AJ262">
        <v>69</v>
      </c>
      <c r="AK262">
        <v>168</v>
      </c>
      <c r="AL262" t="s">
        <v>176</v>
      </c>
      <c r="AM262" t="s">
        <v>1610</v>
      </c>
      <c r="AN262" t="s">
        <v>1611</v>
      </c>
      <c r="AO262" t="s">
        <v>5457</v>
      </c>
      <c r="AP262" t="s">
        <v>5458</v>
      </c>
      <c r="AQ262" t="s">
        <v>74</v>
      </c>
      <c r="AR262" t="s">
        <v>5459</v>
      </c>
      <c r="AS262" t="s">
        <v>5460</v>
      </c>
      <c r="AT262" t="s">
        <v>3405</v>
      </c>
      <c r="AU262">
        <v>2024</v>
      </c>
      <c r="AV262">
        <v>373</v>
      </c>
      <c r="AW262" t="s">
        <v>74</v>
      </c>
      <c r="AX262" t="s">
        <v>74</v>
      </c>
      <c r="AY262" t="s">
        <v>74</v>
      </c>
      <c r="AZ262" t="s">
        <v>74</v>
      </c>
      <c r="BA262" t="s">
        <v>74</v>
      </c>
      <c r="BB262" t="s">
        <v>74</v>
      </c>
      <c r="BC262" t="s">
        <v>74</v>
      </c>
      <c r="BD262">
        <v>123928</v>
      </c>
      <c r="BE262" t="s">
        <v>5461</v>
      </c>
      <c r="BF262" t="str">
        <f>HYPERLINK("http://dx.doi.org/10.1016/j.apenergy.2024.123928","http://dx.doi.org/10.1016/j.apenergy.2024.123928")</f>
        <v>http://dx.doi.org/10.1016/j.apenergy.2024.123928</v>
      </c>
      <c r="BG262" t="s">
        <v>74</v>
      </c>
      <c r="BH262" t="s">
        <v>4174</v>
      </c>
      <c r="BI262">
        <v>18</v>
      </c>
      <c r="BJ262" t="s">
        <v>2979</v>
      </c>
      <c r="BK262" t="s">
        <v>102</v>
      </c>
      <c r="BL262" t="s">
        <v>2980</v>
      </c>
      <c r="BM262" t="s">
        <v>5462</v>
      </c>
      <c r="BN262" t="s">
        <v>74</v>
      </c>
      <c r="BO262" t="s">
        <v>74</v>
      </c>
      <c r="BP262" t="s">
        <v>74</v>
      </c>
      <c r="BQ262" t="s">
        <v>74</v>
      </c>
      <c r="BR262" t="s">
        <v>106</v>
      </c>
      <c r="BS262" t="s">
        <v>5463</v>
      </c>
      <c r="BT262" t="str">
        <f>HYPERLINK("https%3A%2F%2Fwww.webofscience.com%2Fwos%2Fwoscc%2Ffull-record%2FWOS:001274696500001","View Full Record in Web of Science")</f>
        <v>View Full Record in Web of Science</v>
      </c>
    </row>
    <row r="263" spans="1:72" x14ac:dyDescent="0.2">
      <c r="A263" t="s">
        <v>72</v>
      </c>
      <c r="B263" t="s">
        <v>5464</v>
      </c>
      <c r="C263" t="s">
        <v>74</v>
      </c>
      <c r="D263" t="s">
        <v>74</v>
      </c>
      <c r="E263" t="s">
        <v>74</v>
      </c>
      <c r="F263" t="s">
        <v>5465</v>
      </c>
      <c r="G263" t="s">
        <v>74</v>
      </c>
      <c r="H263" t="s">
        <v>74</v>
      </c>
      <c r="I263" t="s">
        <v>5466</v>
      </c>
      <c r="J263" t="s">
        <v>347</v>
      </c>
      <c r="K263" t="s">
        <v>74</v>
      </c>
      <c r="L263" t="s">
        <v>74</v>
      </c>
      <c r="M263" t="s">
        <v>78</v>
      </c>
      <c r="N263" t="s">
        <v>79</v>
      </c>
      <c r="O263" t="s">
        <v>74</v>
      </c>
      <c r="P263" t="s">
        <v>74</v>
      </c>
      <c r="Q263" t="s">
        <v>74</v>
      </c>
      <c r="R263" t="s">
        <v>74</v>
      </c>
      <c r="S263" t="s">
        <v>74</v>
      </c>
      <c r="T263" t="s">
        <v>74</v>
      </c>
      <c r="U263" t="s">
        <v>5467</v>
      </c>
      <c r="V263" t="s">
        <v>5468</v>
      </c>
      <c r="W263" t="s">
        <v>5469</v>
      </c>
      <c r="X263" t="s">
        <v>5470</v>
      </c>
      <c r="Y263" t="s">
        <v>5471</v>
      </c>
      <c r="Z263" t="s">
        <v>5472</v>
      </c>
      <c r="AA263" t="s">
        <v>74</v>
      </c>
      <c r="AB263" t="s">
        <v>5473</v>
      </c>
      <c r="AC263" t="s">
        <v>5474</v>
      </c>
      <c r="AD263" t="s">
        <v>74</v>
      </c>
      <c r="AE263" t="s">
        <v>5475</v>
      </c>
      <c r="AF263" t="s">
        <v>74</v>
      </c>
      <c r="AG263">
        <v>33</v>
      </c>
      <c r="AH263">
        <v>16</v>
      </c>
      <c r="AI263">
        <v>18</v>
      </c>
      <c r="AJ263">
        <v>10</v>
      </c>
      <c r="AK263">
        <v>172</v>
      </c>
      <c r="AL263" t="s">
        <v>274</v>
      </c>
      <c r="AM263" t="s">
        <v>275</v>
      </c>
      <c r="AN263" t="s">
        <v>276</v>
      </c>
      <c r="AO263" t="s">
        <v>357</v>
      </c>
      <c r="AP263" t="s">
        <v>74</v>
      </c>
      <c r="AQ263" t="s">
        <v>74</v>
      </c>
      <c r="AR263" t="s">
        <v>358</v>
      </c>
      <c r="AS263" t="s">
        <v>359</v>
      </c>
      <c r="AT263" t="s">
        <v>5476</v>
      </c>
      <c r="AU263">
        <v>2022</v>
      </c>
      <c r="AV263">
        <v>12</v>
      </c>
      <c r="AW263">
        <v>1</v>
      </c>
      <c r="AX263" t="s">
        <v>74</v>
      </c>
      <c r="AY263" t="s">
        <v>74</v>
      </c>
      <c r="AZ263" t="s">
        <v>74</v>
      </c>
      <c r="BA263" t="s">
        <v>74</v>
      </c>
      <c r="BB263" t="s">
        <v>74</v>
      </c>
      <c r="BC263" t="s">
        <v>74</v>
      </c>
      <c r="BD263">
        <v>14134</v>
      </c>
      <c r="BE263" t="s">
        <v>5477</v>
      </c>
      <c r="BF263" t="str">
        <f>HYPERLINK("http://dx.doi.org/10.1038/s41598-022-18425-z","http://dx.doi.org/10.1038/s41598-022-18425-z")</f>
        <v>http://dx.doi.org/10.1038/s41598-022-18425-z</v>
      </c>
      <c r="BG263" t="s">
        <v>74</v>
      </c>
      <c r="BH263" t="s">
        <v>74</v>
      </c>
      <c r="BI263">
        <v>10</v>
      </c>
      <c r="BJ263" t="s">
        <v>158</v>
      </c>
      <c r="BK263" t="s">
        <v>102</v>
      </c>
      <c r="BL263" t="s">
        <v>159</v>
      </c>
      <c r="BM263" t="s">
        <v>5478</v>
      </c>
      <c r="BN263">
        <v>35986165</v>
      </c>
      <c r="BO263" t="s">
        <v>161</v>
      </c>
      <c r="BP263" t="s">
        <v>74</v>
      </c>
      <c r="BQ263" t="s">
        <v>74</v>
      </c>
      <c r="BR263" t="s">
        <v>106</v>
      </c>
      <c r="BS263" t="s">
        <v>5479</v>
      </c>
      <c r="BT263" t="str">
        <f>HYPERLINK("https%3A%2F%2Fwww.webofscience.com%2Fwos%2Fwoscc%2Ffull-record%2FWOS:000842561700046","View Full Record in Web of Science")</f>
        <v>View Full Record in Web of Science</v>
      </c>
    </row>
    <row r="264" spans="1:72" x14ac:dyDescent="0.2">
      <c r="A264" t="s">
        <v>72</v>
      </c>
      <c r="B264" t="s">
        <v>5480</v>
      </c>
      <c r="C264" t="s">
        <v>74</v>
      </c>
      <c r="D264" t="s">
        <v>74</v>
      </c>
      <c r="E264" t="s">
        <v>74</v>
      </c>
      <c r="F264" t="s">
        <v>5481</v>
      </c>
      <c r="G264" t="s">
        <v>74</v>
      </c>
      <c r="H264" t="s">
        <v>74</v>
      </c>
      <c r="I264" t="s">
        <v>5482</v>
      </c>
      <c r="J264" t="s">
        <v>1136</v>
      </c>
      <c r="K264" t="s">
        <v>74</v>
      </c>
      <c r="L264" t="s">
        <v>74</v>
      </c>
      <c r="M264" t="s">
        <v>78</v>
      </c>
      <c r="N264" t="s">
        <v>79</v>
      </c>
      <c r="O264" t="s">
        <v>74</v>
      </c>
      <c r="P264" t="s">
        <v>74</v>
      </c>
      <c r="Q264" t="s">
        <v>74</v>
      </c>
      <c r="R264" t="s">
        <v>74</v>
      </c>
      <c r="S264" t="s">
        <v>74</v>
      </c>
      <c r="T264" t="s">
        <v>5483</v>
      </c>
      <c r="U264" t="s">
        <v>5484</v>
      </c>
      <c r="V264" t="s">
        <v>5485</v>
      </c>
      <c r="W264" t="s">
        <v>5486</v>
      </c>
      <c r="X264" t="s">
        <v>5487</v>
      </c>
      <c r="Y264" t="s">
        <v>5488</v>
      </c>
      <c r="Z264" t="s">
        <v>5489</v>
      </c>
      <c r="AA264" t="s">
        <v>74</v>
      </c>
      <c r="AB264" t="s">
        <v>5490</v>
      </c>
      <c r="AC264" t="s">
        <v>5491</v>
      </c>
      <c r="AD264" t="s">
        <v>5491</v>
      </c>
      <c r="AE264" t="s">
        <v>5492</v>
      </c>
      <c r="AF264" t="s">
        <v>74</v>
      </c>
      <c r="AG264">
        <v>58</v>
      </c>
      <c r="AH264">
        <v>13</v>
      </c>
      <c r="AI264">
        <v>14</v>
      </c>
      <c r="AJ264">
        <v>3</v>
      </c>
      <c r="AK264">
        <v>20</v>
      </c>
      <c r="AL264" t="s">
        <v>1148</v>
      </c>
      <c r="AM264" t="s">
        <v>93</v>
      </c>
      <c r="AN264" t="s">
        <v>1149</v>
      </c>
      <c r="AO264" t="s">
        <v>1150</v>
      </c>
      <c r="AP264" t="s">
        <v>74</v>
      </c>
      <c r="AQ264" t="s">
        <v>74</v>
      </c>
      <c r="AR264" t="s">
        <v>1151</v>
      </c>
      <c r="AS264" t="s">
        <v>1152</v>
      </c>
      <c r="AT264" t="s">
        <v>5493</v>
      </c>
      <c r="AU264">
        <v>2020</v>
      </c>
      <c r="AV264">
        <v>15</v>
      </c>
      <c r="AW264">
        <v>1</v>
      </c>
      <c r="AX264" t="s">
        <v>74</v>
      </c>
      <c r="AY264" t="s">
        <v>74</v>
      </c>
      <c r="AZ264" t="s">
        <v>74</v>
      </c>
      <c r="BA264" t="s">
        <v>74</v>
      </c>
      <c r="BB264" t="s">
        <v>74</v>
      </c>
      <c r="BC264" t="s">
        <v>74</v>
      </c>
      <c r="BD264">
        <v>26</v>
      </c>
      <c r="BE264" t="s">
        <v>5494</v>
      </c>
      <c r="BF264" t="str">
        <f>HYPERLINK("http://dx.doi.org/10.1186/s13021-020-00162-3","http://dx.doi.org/10.1186/s13021-020-00162-3")</f>
        <v>http://dx.doi.org/10.1186/s13021-020-00162-3</v>
      </c>
      <c r="BG264" t="s">
        <v>74</v>
      </c>
      <c r="BH264" t="s">
        <v>74</v>
      </c>
      <c r="BI264">
        <v>13</v>
      </c>
      <c r="BJ264" t="s">
        <v>567</v>
      </c>
      <c r="BK264" t="s">
        <v>102</v>
      </c>
      <c r="BL264" t="s">
        <v>568</v>
      </c>
      <c r="BM264" t="s">
        <v>5495</v>
      </c>
      <c r="BN264">
        <v>33278024</v>
      </c>
      <c r="BO264" t="s">
        <v>161</v>
      </c>
      <c r="BP264" t="s">
        <v>74</v>
      </c>
      <c r="BQ264" t="s">
        <v>74</v>
      </c>
      <c r="BR264" t="s">
        <v>106</v>
      </c>
      <c r="BS264" t="s">
        <v>5496</v>
      </c>
      <c r="BT264" t="str">
        <f>HYPERLINK("https%3A%2F%2Fwww.webofscience.com%2Fwos%2Fwoscc%2Ffull-record%2FWOS:000595866600001","View Full Record in Web of Science")</f>
        <v>View Full Record in Web of Science</v>
      </c>
    </row>
    <row r="265" spans="1:72" x14ac:dyDescent="0.2">
      <c r="A265" t="s">
        <v>72</v>
      </c>
      <c r="B265" t="s">
        <v>5497</v>
      </c>
      <c r="C265" t="s">
        <v>74</v>
      </c>
      <c r="D265" t="s">
        <v>74</v>
      </c>
      <c r="E265" t="s">
        <v>74</v>
      </c>
      <c r="F265" t="s">
        <v>5498</v>
      </c>
      <c r="G265" t="s">
        <v>74</v>
      </c>
      <c r="H265" t="s">
        <v>74</v>
      </c>
      <c r="I265" t="s">
        <v>5499</v>
      </c>
      <c r="J265" t="s">
        <v>138</v>
      </c>
      <c r="K265" t="s">
        <v>74</v>
      </c>
      <c r="L265" t="s">
        <v>74</v>
      </c>
      <c r="M265" t="s">
        <v>78</v>
      </c>
      <c r="N265" t="s">
        <v>79</v>
      </c>
      <c r="O265" t="s">
        <v>74</v>
      </c>
      <c r="P265" t="s">
        <v>74</v>
      </c>
      <c r="Q265" t="s">
        <v>74</v>
      </c>
      <c r="R265" t="s">
        <v>74</v>
      </c>
      <c r="S265" t="s">
        <v>74</v>
      </c>
      <c r="T265" t="s">
        <v>74</v>
      </c>
      <c r="U265" t="s">
        <v>5500</v>
      </c>
      <c r="V265" t="s">
        <v>5501</v>
      </c>
      <c r="W265" t="s">
        <v>5502</v>
      </c>
      <c r="X265" t="s">
        <v>5503</v>
      </c>
      <c r="Y265" t="s">
        <v>5504</v>
      </c>
      <c r="Z265" t="s">
        <v>5505</v>
      </c>
      <c r="AA265" t="s">
        <v>5506</v>
      </c>
      <c r="AB265" t="s">
        <v>5507</v>
      </c>
      <c r="AC265" t="s">
        <v>5508</v>
      </c>
      <c r="AD265" t="s">
        <v>5509</v>
      </c>
      <c r="AE265" t="s">
        <v>5510</v>
      </c>
      <c r="AF265" t="s">
        <v>74</v>
      </c>
      <c r="AG265">
        <v>64</v>
      </c>
      <c r="AH265">
        <v>17</v>
      </c>
      <c r="AI265">
        <v>19</v>
      </c>
      <c r="AJ265">
        <v>6</v>
      </c>
      <c r="AK265">
        <v>93</v>
      </c>
      <c r="AL265" t="s">
        <v>150</v>
      </c>
      <c r="AM265" t="s">
        <v>151</v>
      </c>
      <c r="AN265" t="s">
        <v>152</v>
      </c>
      <c r="AO265" t="s">
        <v>153</v>
      </c>
      <c r="AP265" t="s">
        <v>74</v>
      </c>
      <c r="AQ265" t="s">
        <v>74</v>
      </c>
      <c r="AR265" t="s">
        <v>138</v>
      </c>
      <c r="AS265" t="s">
        <v>154</v>
      </c>
      <c r="AT265" t="s">
        <v>5511</v>
      </c>
      <c r="AU265">
        <v>2016</v>
      </c>
      <c r="AV265">
        <v>11</v>
      </c>
      <c r="AW265">
        <v>8</v>
      </c>
      <c r="AX265" t="s">
        <v>74</v>
      </c>
      <c r="AY265" t="s">
        <v>74</v>
      </c>
      <c r="AZ265" t="s">
        <v>74</v>
      </c>
      <c r="BA265" t="s">
        <v>74</v>
      </c>
      <c r="BB265" t="s">
        <v>74</v>
      </c>
      <c r="BC265" t="s">
        <v>74</v>
      </c>
      <c r="BD265" t="s">
        <v>5512</v>
      </c>
      <c r="BE265" t="s">
        <v>5513</v>
      </c>
      <c r="BF265" t="str">
        <f>HYPERLINK("http://dx.doi.org/10.1371/journal.pone.0160612","http://dx.doi.org/10.1371/journal.pone.0160612")</f>
        <v>http://dx.doi.org/10.1371/journal.pone.0160612</v>
      </c>
      <c r="BG265" t="s">
        <v>74</v>
      </c>
      <c r="BH265" t="s">
        <v>74</v>
      </c>
      <c r="BI265">
        <v>20</v>
      </c>
      <c r="BJ265" t="s">
        <v>158</v>
      </c>
      <c r="BK265" t="s">
        <v>102</v>
      </c>
      <c r="BL265" t="s">
        <v>159</v>
      </c>
      <c r="BM265" t="s">
        <v>5514</v>
      </c>
      <c r="BN265">
        <v>27501148</v>
      </c>
      <c r="BO265" t="s">
        <v>161</v>
      </c>
      <c r="BP265" t="s">
        <v>74</v>
      </c>
      <c r="BQ265" t="s">
        <v>74</v>
      </c>
      <c r="BR265" t="s">
        <v>106</v>
      </c>
      <c r="BS265" t="s">
        <v>5515</v>
      </c>
      <c r="BT265" t="str">
        <f>HYPERLINK("https%3A%2F%2Fwww.webofscience.com%2Fwos%2Fwoscc%2Ffull-record%2FWOS:000381373500039","View Full Record in Web of Science")</f>
        <v>View Full Record in Web of Science</v>
      </c>
    </row>
    <row r="266" spans="1:72" x14ac:dyDescent="0.2">
      <c r="A266" t="s">
        <v>72</v>
      </c>
      <c r="B266" t="s">
        <v>5516</v>
      </c>
      <c r="C266" t="s">
        <v>74</v>
      </c>
      <c r="D266" t="s">
        <v>74</v>
      </c>
      <c r="E266" t="s">
        <v>74</v>
      </c>
      <c r="F266" t="s">
        <v>5517</v>
      </c>
      <c r="G266" t="s">
        <v>74</v>
      </c>
      <c r="H266" t="s">
        <v>74</v>
      </c>
      <c r="I266" t="s">
        <v>5518</v>
      </c>
      <c r="J266" t="s">
        <v>848</v>
      </c>
      <c r="K266" t="s">
        <v>74</v>
      </c>
      <c r="L266" t="s">
        <v>74</v>
      </c>
      <c r="M266" t="s">
        <v>78</v>
      </c>
      <c r="N266" t="s">
        <v>79</v>
      </c>
      <c r="O266" t="s">
        <v>74</v>
      </c>
      <c r="P266" t="s">
        <v>74</v>
      </c>
      <c r="Q266" t="s">
        <v>74</v>
      </c>
      <c r="R266" t="s">
        <v>74</v>
      </c>
      <c r="S266" t="s">
        <v>74</v>
      </c>
      <c r="T266" t="s">
        <v>5519</v>
      </c>
      <c r="U266" t="s">
        <v>5520</v>
      </c>
      <c r="V266" t="s">
        <v>5521</v>
      </c>
      <c r="W266" t="s">
        <v>5522</v>
      </c>
      <c r="X266" t="s">
        <v>5523</v>
      </c>
      <c r="Y266" t="s">
        <v>5524</v>
      </c>
      <c r="Z266" t="s">
        <v>5525</v>
      </c>
      <c r="AA266" t="s">
        <v>5526</v>
      </c>
      <c r="AB266" t="s">
        <v>5527</v>
      </c>
      <c r="AC266" t="s">
        <v>5528</v>
      </c>
      <c r="AD266" t="s">
        <v>5529</v>
      </c>
      <c r="AE266" t="s">
        <v>5530</v>
      </c>
      <c r="AF266" t="s">
        <v>74</v>
      </c>
      <c r="AG266">
        <v>71</v>
      </c>
      <c r="AH266">
        <v>1</v>
      </c>
      <c r="AI266">
        <v>1</v>
      </c>
      <c r="AJ266">
        <v>3</v>
      </c>
      <c r="AK266">
        <v>14</v>
      </c>
      <c r="AL266" t="s">
        <v>655</v>
      </c>
      <c r="AM266" t="s">
        <v>405</v>
      </c>
      <c r="AN266" t="s">
        <v>656</v>
      </c>
      <c r="AO266" t="s">
        <v>74</v>
      </c>
      <c r="AP266" t="s">
        <v>859</v>
      </c>
      <c r="AQ266" t="s">
        <v>74</v>
      </c>
      <c r="AR266" t="s">
        <v>860</v>
      </c>
      <c r="AS266" t="s">
        <v>861</v>
      </c>
      <c r="AT266" t="s">
        <v>5531</v>
      </c>
      <c r="AU266">
        <v>2024</v>
      </c>
      <c r="AV266">
        <v>8</v>
      </c>
      <c r="AW266" t="s">
        <v>74</v>
      </c>
      <c r="AX266" t="s">
        <v>74</v>
      </c>
      <c r="AY266" t="s">
        <v>74</v>
      </c>
      <c r="AZ266" t="s">
        <v>74</v>
      </c>
      <c r="BA266" t="s">
        <v>74</v>
      </c>
      <c r="BB266" t="s">
        <v>74</v>
      </c>
      <c r="BC266" t="s">
        <v>74</v>
      </c>
      <c r="BD266">
        <v>1371255</v>
      </c>
      <c r="BE266" t="s">
        <v>5532</v>
      </c>
      <c r="BF266" t="str">
        <f>HYPERLINK("http://dx.doi.org/10.3389/fsufs.2024.1371255","http://dx.doi.org/10.3389/fsufs.2024.1371255")</f>
        <v>http://dx.doi.org/10.3389/fsufs.2024.1371255</v>
      </c>
      <c r="BG266" t="s">
        <v>74</v>
      </c>
      <c r="BH266" t="s">
        <v>74</v>
      </c>
      <c r="BI266">
        <v>14</v>
      </c>
      <c r="BJ266" t="s">
        <v>864</v>
      </c>
      <c r="BK266" t="s">
        <v>102</v>
      </c>
      <c r="BL266" t="s">
        <v>864</v>
      </c>
      <c r="BM266" t="s">
        <v>5533</v>
      </c>
      <c r="BN266" t="s">
        <v>74</v>
      </c>
      <c r="BO266" t="s">
        <v>231</v>
      </c>
      <c r="BP266" t="s">
        <v>74</v>
      </c>
      <c r="BQ266" t="s">
        <v>74</v>
      </c>
      <c r="BR266" t="s">
        <v>106</v>
      </c>
      <c r="BS266" t="s">
        <v>5534</v>
      </c>
      <c r="BT266" t="str">
        <f>HYPERLINK("https%3A%2F%2Fwww.webofscience.com%2Fwos%2Fwoscc%2Ffull-record%2FWOS:001230467300001","View Full Record in Web of Science")</f>
        <v>View Full Record in Web of Science</v>
      </c>
    </row>
    <row r="267" spans="1:72" x14ac:dyDescent="0.2">
      <c r="A267" t="s">
        <v>72</v>
      </c>
      <c r="B267" t="s">
        <v>5535</v>
      </c>
      <c r="C267" t="s">
        <v>74</v>
      </c>
      <c r="D267" t="s">
        <v>74</v>
      </c>
      <c r="E267" t="s">
        <v>74</v>
      </c>
      <c r="F267" t="s">
        <v>5536</v>
      </c>
      <c r="G267" t="s">
        <v>74</v>
      </c>
      <c r="H267" t="s">
        <v>74</v>
      </c>
      <c r="I267" t="s">
        <v>5537</v>
      </c>
      <c r="J267" t="s">
        <v>995</v>
      </c>
      <c r="K267" t="s">
        <v>74</v>
      </c>
      <c r="L267" t="s">
        <v>74</v>
      </c>
      <c r="M267" t="s">
        <v>78</v>
      </c>
      <c r="N267" t="s">
        <v>79</v>
      </c>
      <c r="O267" t="s">
        <v>74</v>
      </c>
      <c r="P267" t="s">
        <v>74</v>
      </c>
      <c r="Q267" t="s">
        <v>74</v>
      </c>
      <c r="R267" t="s">
        <v>74</v>
      </c>
      <c r="S267" t="s">
        <v>74</v>
      </c>
      <c r="T267" t="s">
        <v>5538</v>
      </c>
      <c r="U267" t="s">
        <v>5539</v>
      </c>
      <c r="V267" t="s">
        <v>5540</v>
      </c>
      <c r="W267" t="s">
        <v>5541</v>
      </c>
      <c r="X267" t="s">
        <v>5542</v>
      </c>
      <c r="Y267" t="s">
        <v>5543</v>
      </c>
      <c r="Z267" t="s">
        <v>5544</v>
      </c>
      <c r="AA267" t="s">
        <v>5545</v>
      </c>
      <c r="AB267" t="s">
        <v>5546</v>
      </c>
      <c r="AC267" t="s">
        <v>5547</v>
      </c>
      <c r="AD267" t="s">
        <v>5548</v>
      </c>
      <c r="AE267" t="s">
        <v>5549</v>
      </c>
      <c r="AF267" t="s">
        <v>74</v>
      </c>
      <c r="AG267">
        <v>67</v>
      </c>
      <c r="AH267">
        <v>16</v>
      </c>
      <c r="AI267">
        <v>17</v>
      </c>
      <c r="AJ267">
        <v>4</v>
      </c>
      <c r="AK267">
        <v>180</v>
      </c>
      <c r="AL267" t="s">
        <v>123</v>
      </c>
      <c r="AM267" t="s">
        <v>124</v>
      </c>
      <c r="AN267" t="s">
        <v>125</v>
      </c>
      <c r="AO267" t="s">
        <v>1008</v>
      </c>
      <c r="AP267" t="s">
        <v>1009</v>
      </c>
      <c r="AQ267" t="s">
        <v>74</v>
      </c>
      <c r="AR267" t="s">
        <v>1010</v>
      </c>
      <c r="AS267" t="s">
        <v>1011</v>
      </c>
      <c r="AT267" t="s">
        <v>2684</v>
      </c>
      <c r="AU267">
        <v>2018</v>
      </c>
      <c r="AV267">
        <v>615</v>
      </c>
      <c r="AW267" t="s">
        <v>74</v>
      </c>
      <c r="AX267" t="s">
        <v>74</v>
      </c>
      <c r="AY267" t="s">
        <v>74</v>
      </c>
      <c r="AZ267" t="s">
        <v>74</v>
      </c>
      <c r="BA267" t="s">
        <v>74</v>
      </c>
      <c r="BB267">
        <v>348</v>
      </c>
      <c r="BC267">
        <v>359</v>
      </c>
      <c r="BD267" t="s">
        <v>74</v>
      </c>
      <c r="BE267" t="s">
        <v>5550</v>
      </c>
      <c r="BF267" t="str">
        <f>HYPERLINK("http://dx.doi.org/10.1016/j.scitotenv.2017.09.263","http://dx.doi.org/10.1016/j.scitotenv.2017.09.263")</f>
        <v>http://dx.doi.org/10.1016/j.scitotenv.2017.09.263</v>
      </c>
      <c r="BG267" t="s">
        <v>74</v>
      </c>
      <c r="BH267" t="s">
        <v>74</v>
      </c>
      <c r="BI267">
        <v>12</v>
      </c>
      <c r="BJ267" t="s">
        <v>567</v>
      </c>
      <c r="BK267" t="s">
        <v>102</v>
      </c>
      <c r="BL267" t="s">
        <v>568</v>
      </c>
      <c r="BM267" t="s">
        <v>5551</v>
      </c>
      <c r="BN267">
        <v>28982083</v>
      </c>
      <c r="BO267" t="s">
        <v>2296</v>
      </c>
      <c r="BP267" t="s">
        <v>74</v>
      </c>
      <c r="BQ267" t="s">
        <v>74</v>
      </c>
      <c r="BR267" t="s">
        <v>106</v>
      </c>
      <c r="BS267" t="s">
        <v>5552</v>
      </c>
      <c r="BT267" t="str">
        <f>HYPERLINK("https%3A%2F%2Fwww.webofscience.com%2Fwos%2Fwoscc%2Ffull-record%2FWOS:000414922600037","View Full Record in Web of Science")</f>
        <v>View Full Record in Web of Science</v>
      </c>
    </row>
    <row r="268" spans="1:72" x14ac:dyDescent="0.2">
      <c r="A268" t="s">
        <v>72</v>
      </c>
      <c r="B268" t="s">
        <v>5553</v>
      </c>
      <c r="C268" t="s">
        <v>74</v>
      </c>
      <c r="D268" t="s">
        <v>74</v>
      </c>
      <c r="E268" t="s">
        <v>74</v>
      </c>
      <c r="F268" t="s">
        <v>5554</v>
      </c>
      <c r="G268" t="s">
        <v>74</v>
      </c>
      <c r="H268" t="s">
        <v>74</v>
      </c>
      <c r="I268" t="s">
        <v>5555</v>
      </c>
      <c r="J268" t="s">
        <v>5556</v>
      </c>
      <c r="K268" t="s">
        <v>74</v>
      </c>
      <c r="L268" t="s">
        <v>74</v>
      </c>
      <c r="M268" t="s">
        <v>78</v>
      </c>
      <c r="N268" t="s">
        <v>492</v>
      </c>
      <c r="O268" t="s">
        <v>74</v>
      </c>
      <c r="P268" t="s">
        <v>74</v>
      </c>
      <c r="Q268" t="s">
        <v>74</v>
      </c>
      <c r="R268" t="s">
        <v>74</v>
      </c>
      <c r="S268" t="s">
        <v>74</v>
      </c>
      <c r="T268" t="s">
        <v>5557</v>
      </c>
      <c r="U268" t="s">
        <v>5558</v>
      </c>
      <c r="V268" t="s">
        <v>5559</v>
      </c>
      <c r="W268" t="s">
        <v>5560</v>
      </c>
      <c r="X268" t="s">
        <v>5561</v>
      </c>
      <c r="Y268" t="s">
        <v>5562</v>
      </c>
      <c r="Z268" t="s">
        <v>5563</v>
      </c>
      <c r="AA268" t="s">
        <v>5564</v>
      </c>
      <c r="AB268" t="s">
        <v>74</v>
      </c>
      <c r="AC268" t="s">
        <v>74</v>
      </c>
      <c r="AD268" t="s">
        <v>74</v>
      </c>
      <c r="AE268" t="s">
        <v>74</v>
      </c>
      <c r="AF268" t="s">
        <v>74</v>
      </c>
      <c r="AG268">
        <v>268</v>
      </c>
      <c r="AH268">
        <v>0</v>
      </c>
      <c r="AI268">
        <v>0</v>
      </c>
      <c r="AJ268">
        <v>44</v>
      </c>
      <c r="AK268">
        <v>44</v>
      </c>
      <c r="AL268" t="s">
        <v>5565</v>
      </c>
      <c r="AM268" t="s">
        <v>275</v>
      </c>
      <c r="AN268" t="s">
        <v>5566</v>
      </c>
      <c r="AO268" t="s">
        <v>5567</v>
      </c>
      <c r="AP268" t="s">
        <v>5568</v>
      </c>
      <c r="AQ268" t="s">
        <v>74</v>
      </c>
      <c r="AR268" t="s">
        <v>5569</v>
      </c>
      <c r="AS268" t="s">
        <v>5570</v>
      </c>
      <c r="AT268" t="s">
        <v>5571</v>
      </c>
      <c r="AU268">
        <v>2025</v>
      </c>
      <c r="AV268" t="s">
        <v>74</v>
      </c>
      <c r="AW268" t="s">
        <v>74</v>
      </c>
      <c r="AX268" t="s">
        <v>74</v>
      </c>
      <c r="AY268" t="s">
        <v>74</v>
      </c>
      <c r="AZ268" t="s">
        <v>74</v>
      </c>
      <c r="BA268" t="s">
        <v>74</v>
      </c>
      <c r="BB268" t="s">
        <v>74</v>
      </c>
      <c r="BC268" t="s">
        <v>74</v>
      </c>
      <c r="BD268" t="s">
        <v>74</v>
      </c>
      <c r="BE268" t="s">
        <v>5572</v>
      </c>
      <c r="BF268" t="str">
        <f>HYPERLINK("http://dx.doi.org/10.2478/aoas-2025-0066","http://dx.doi.org/10.2478/aoas-2025-0066")</f>
        <v>http://dx.doi.org/10.2478/aoas-2025-0066</v>
      </c>
      <c r="BG268" t="s">
        <v>74</v>
      </c>
      <c r="BH268" t="s">
        <v>513</v>
      </c>
      <c r="BI268">
        <v>50</v>
      </c>
      <c r="BJ268" t="s">
        <v>3055</v>
      </c>
      <c r="BK268" t="s">
        <v>102</v>
      </c>
      <c r="BL268" t="s">
        <v>103</v>
      </c>
      <c r="BM268" t="s">
        <v>5573</v>
      </c>
      <c r="BN268" t="s">
        <v>74</v>
      </c>
      <c r="BO268" t="s">
        <v>231</v>
      </c>
      <c r="BP268" t="s">
        <v>74</v>
      </c>
      <c r="BQ268" t="s">
        <v>74</v>
      </c>
      <c r="BR268" t="s">
        <v>106</v>
      </c>
      <c r="BS268" t="s">
        <v>5574</v>
      </c>
      <c r="BT268" t="str">
        <f>HYPERLINK("https%3A%2F%2Fwww.webofscience.com%2Fwos%2Fwoscc%2Ffull-record%2FWOS:001553724100001","View Full Record in Web of Science")</f>
        <v>View Full Record in Web of Science</v>
      </c>
    </row>
    <row r="269" spans="1:72" x14ac:dyDescent="0.2">
      <c r="A269" t="s">
        <v>72</v>
      </c>
      <c r="B269" t="s">
        <v>5575</v>
      </c>
      <c r="C269" t="s">
        <v>74</v>
      </c>
      <c r="D269" t="s">
        <v>74</v>
      </c>
      <c r="E269" t="s">
        <v>74</v>
      </c>
      <c r="F269" t="s">
        <v>5576</v>
      </c>
      <c r="G269" t="s">
        <v>74</v>
      </c>
      <c r="H269" t="s">
        <v>74</v>
      </c>
      <c r="I269" t="s">
        <v>5577</v>
      </c>
      <c r="J269" t="s">
        <v>5578</v>
      </c>
      <c r="K269" t="s">
        <v>74</v>
      </c>
      <c r="L269" t="s">
        <v>74</v>
      </c>
      <c r="M269" t="s">
        <v>78</v>
      </c>
      <c r="N269" t="s">
        <v>492</v>
      </c>
      <c r="O269" t="s">
        <v>74</v>
      </c>
      <c r="P269" t="s">
        <v>74</v>
      </c>
      <c r="Q269" t="s">
        <v>74</v>
      </c>
      <c r="R269" t="s">
        <v>74</v>
      </c>
      <c r="S269" t="s">
        <v>74</v>
      </c>
      <c r="T269" t="s">
        <v>5579</v>
      </c>
      <c r="U269" t="s">
        <v>5580</v>
      </c>
      <c r="V269" t="s">
        <v>5581</v>
      </c>
      <c r="W269" t="s">
        <v>5582</v>
      </c>
      <c r="X269" t="s">
        <v>5583</v>
      </c>
      <c r="Y269" t="s">
        <v>5584</v>
      </c>
      <c r="Z269" t="s">
        <v>5585</v>
      </c>
      <c r="AA269" t="s">
        <v>74</v>
      </c>
      <c r="AB269" t="s">
        <v>74</v>
      </c>
      <c r="AC269" t="s">
        <v>5586</v>
      </c>
      <c r="AD269" t="s">
        <v>5587</v>
      </c>
      <c r="AE269" t="s">
        <v>5588</v>
      </c>
      <c r="AF269" t="s">
        <v>74</v>
      </c>
      <c r="AG269">
        <v>63</v>
      </c>
      <c r="AH269">
        <v>0</v>
      </c>
      <c r="AI269">
        <v>0</v>
      </c>
      <c r="AJ269">
        <v>4</v>
      </c>
      <c r="AK269">
        <v>4</v>
      </c>
      <c r="AL269" t="s">
        <v>504</v>
      </c>
      <c r="AM269" t="s">
        <v>505</v>
      </c>
      <c r="AN269" t="s">
        <v>506</v>
      </c>
      <c r="AO269" t="s">
        <v>5589</v>
      </c>
      <c r="AP269" t="s">
        <v>5590</v>
      </c>
      <c r="AQ269" t="s">
        <v>74</v>
      </c>
      <c r="AR269" t="s">
        <v>5591</v>
      </c>
      <c r="AS269" t="s">
        <v>5592</v>
      </c>
      <c r="AT269" t="s">
        <v>5593</v>
      </c>
      <c r="AU269">
        <v>2025</v>
      </c>
      <c r="AV269" t="s">
        <v>74</v>
      </c>
      <c r="AW269" t="s">
        <v>74</v>
      </c>
      <c r="AX269" t="s">
        <v>74</v>
      </c>
      <c r="AY269" t="s">
        <v>74</v>
      </c>
      <c r="AZ269" t="s">
        <v>74</v>
      </c>
      <c r="BA269" t="s">
        <v>74</v>
      </c>
      <c r="BB269" t="s">
        <v>74</v>
      </c>
      <c r="BC269" t="s">
        <v>74</v>
      </c>
      <c r="BD269" t="s">
        <v>74</v>
      </c>
      <c r="BE269" t="s">
        <v>5594</v>
      </c>
      <c r="BF269" t="str">
        <f>HYPERLINK("http://dx.doi.org/10.1007/s11104-025-08071-5","http://dx.doi.org/10.1007/s11104-025-08071-5")</f>
        <v>http://dx.doi.org/10.1007/s11104-025-08071-5</v>
      </c>
      <c r="BG269" t="s">
        <v>74</v>
      </c>
      <c r="BH269" t="s">
        <v>962</v>
      </c>
      <c r="BI269">
        <v>15</v>
      </c>
      <c r="BJ269" t="s">
        <v>5595</v>
      </c>
      <c r="BK269" t="s">
        <v>102</v>
      </c>
      <c r="BL269" t="s">
        <v>462</v>
      </c>
      <c r="BM269" t="s">
        <v>5596</v>
      </c>
      <c r="BN269" t="s">
        <v>74</v>
      </c>
      <c r="BO269" t="s">
        <v>74</v>
      </c>
      <c r="BP269" t="s">
        <v>74</v>
      </c>
      <c r="BQ269" t="s">
        <v>74</v>
      </c>
      <c r="BR269" t="s">
        <v>106</v>
      </c>
      <c r="BS269" t="s">
        <v>5597</v>
      </c>
      <c r="BT269" t="str">
        <f>HYPERLINK("https%3A%2F%2Fwww.webofscience.com%2Fwos%2Fwoscc%2Ffull-record%2FWOS:001620047700001","View Full Record in Web of Science")</f>
        <v>View Full Record in Web of Science</v>
      </c>
    </row>
    <row r="270" spans="1:72" x14ac:dyDescent="0.2">
      <c r="A270" t="s">
        <v>72</v>
      </c>
      <c r="B270" t="s">
        <v>5598</v>
      </c>
      <c r="C270" t="s">
        <v>74</v>
      </c>
      <c r="D270" t="s">
        <v>74</v>
      </c>
      <c r="E270" t="s">
        <v>74</v>
      </c>
      <c r="F270" t="s">
        <v>5599</v>
      </c>
      <c r="G270" t="s">
        <v>74</v>
      </c>
      <c r="H270" t="s">
        <v>74</v>
      </c>
      <c r="I270" t="s">
        <v>5600</v>
      </c>
      <c r="J270" t="s">
        <v>921</v>
      </c>
      <c r="K270" t="s">
        <v>74</v>
      </c>
      <c r="L270" t="s">
        <v>74</v>
      </c>
      <c r="M270" t="s">
        <v>78</v>
      </c>
      <c r="N270" t="s">
        <v>79</v>
      </c>
      <c r="O270" t="s">
        <v>74</v>
      </c>
      <c r="P270" t="s">
        <v>74</v>
      </c>
      <c r="Q270" t="s">
        <v>74</v>
      </c>
      <c r="R270" t="s">
        <v>74</v>
      </c>
      <c r="S270" t="s">
        <v>74</v>
      </c>
      <c r="T270" t="s">
        <v>5601</v>
      </c>
      <c r="U270" t="s">
        <v>5602</v>
      </c>
      <c r="V270" t="s">
        <v>5603</v>
      </c>
      <c r="W270" t="s">
        <v>5604</v>
      </c>
      <c r="X270" t="s">
        <v>5605</v>
      </c>
      <c r="Y270" t="s">
        <v>5606</v>
      </c>
      <c r="Z270" t="s">
        <v>5607</v>
      </c>
      <c r="AA270" t="s">
        <v>5608</v>
      </c>
      <c r="AB270" t="s">
        <v>74</v>
      </c>
      <c r="AC270" t="s">
        <v>5609</v>
      </c>
      <c r="AD270" t="s">
        <v>5610</v>
      </c>
      <c r="AE270" t="s">
        <v>5611</v>
      </c>
      <c r="AF270" t="s">
        <v>74</v>
      </c>
      <c r="AG270">
        <v>81</v>
      </c>
      <c r="AH270">
        <v>0</v>
      </c>
      <c r="AI270">
        <v>0</v>
      </c>
      <c r="AJ270">
        <v>22</v>
      </c>
      <c r="AK270">
        <v>22</v>
      </c>
      <c r="AL270" t="s">
        <v>934</v>
      </c>
      <c r="AM270" t="s">
        <v>177</v>
      </c>
      <c r="AN270" t="s">
        <v>935</v>
      </c>
      <c r="AO270" t="s">
        <v>936</v>
      </c>
      <c r="AP270" t="s">
        <v>937</v>
      </c>
      <c r="AQ270" t="s">
        <v>74</v>
      </c>
      <c r="AR270" t="s">
        <v>938</v>
      </c>
      <c r="AS270" t="s">
        <v>939</v>
      </c>
      <c r="AT270" t="s">
        <v>1109</v>
      </c>
      <c r="AU270">
        <v>2025</v>
      </c>
      <c r="AV270">
        <v>211</v>
      </c>
      <c r="AW270" t="s">
        <v>74</v>
      </c>
      <c r="AX270" t="s">
        <v>74</v>
      </c>
      <c r="AY270" t="s">
        <v>74</v>
      </c>
      <c r="AZ270" t="s">
        <v>74</v>
      </c>
      <c r="BA270" t="s">
        <v>74</v>
      </c>
      <c r="BB270" t="s">
        <v>74</v>
      </c>
      <c r="BC270" t="s">
        <v>74</v>
      </c>
      <c r="BD270">
        <v>109973</v>
      </c>
      <c r="BE270" t="s">
        <v>5612</v>
      </c>
      <c r="BF270" t="str">
        <f>HYPERLINK("http://dx.doi.org/10.1016/j.soilbio.2025.109973","http://dx.doi.org/10.1016/j.soilbio.2025.109973")</f>
        <v>http://dx.doi.org/10.1016/j.soilbio.2025.109973</v>
      </c>
      <c r="BG270" t="s">
        <v>74</v>
      </c>
      <c r="BH270" t="s">
        <v>1338</v>
      </c>
      <c r="BI270">
        <v>12</v>
      </c>
      <c r="BJ270" t="s">
        <v>256</v>
      </c>
      <c r="BK270" t="s">
        <v>102</v>
      </c>
      <c r="BL270" t="s">
        <v>103</v>
      </c>
      <c r="BM270" t="s">
        <v>5613</v>
      </c>
      <c r="BN270" t="s">
        <v>74</v>
      </c>
      <c r="BO270" t="s">
        <v>74</v>
      </c>
      <c r="BP270" t="s">
        <v>74</v>
      </c>
      <c r="BQ270" t="s">
        <v>74</v>
      </c>
      <c r="BR270" t="s">
        <v>106</v>
      </c>
      <c r="BS270" t="s">
        <v>5614</v>
      </c>
      <c r="BT270" t="str">
        <f>HYPERLINK("https%3A%2F%2Fwww.webofscience.com%2Fwos%2Fwoscc%2Ffull-record%2FWOS:001575352500002","View Full Record in Web of Science")</f>
        <v>View Full Record in Web of Science</v>
      </c>
    </row>
    <row r="271" spans="1:72" x14ac:dyDescent="0.2">
      <c r="A271" t="s">
        <v>72</v>
      </c>
      <c r="B271" t="s">
        <v>5615</v>
      </c>
      <c r="C271" t="s">
        <v>74</v>
      </c>
      <c r="D271" t="s">
        <v>74</v>
      </c>
      <c r="E271" t="s">
        <v>74</v>
      </c>
      <c r="F271" t="s">
        <v>5616</v>
      </c>
      <c r="G271" t="s">
        <v>74</v>
      </c>
      <c r="H271" t="s">
        <v>74</v>
      </c>
      <c r="I271" t="s">
        <v>5617</v>
      </c>
      <c r="J271" t="s">
        <v>5618</v>
      </c>
      <c r="K271" t="s">
        <v>74</v>
      </c>
      <c r="L271" t="s">
        <v>74</v>
      </c>
      <c r="M271" t="s">
        <v>78</v>
      </c>
      <c r="N271" t="s">
        <v>79</v>
      </c>
      <c r="O271" t="s">
        <v>74</v>
      </c>
      <c r="P271" t="s">
        <v>74</v>
      </c>
      <c r="Q271" t="s">
        <v>74</v>
      </c>
      <c r="R271" t="s">
        <v>74</v>
      </c>
      <c r="S271" t="s">
        <v>74</v>
      </c>
      <c r="T271" t="s">
        <v>5619</v>
      </c>
      <c r="U271" t="s">
        <v>5620</v>
      </c>
      <c r="V271" t="s">
        <v>5621</v>
      </c>
      <c r="W271" t="s">
        <v>5622</v>
      </c>
      <c r="X271" t="s">
        <v>5623</v>
      </c>
      <c r="Y271" t="s">
        <v>5624</v>
      </c>
      <c r="Z271" t="s">
        <v>5625</v>
      </c>
      <c r="AA271" t="s">
        <v>74</v>
      </c>
      <c r="AB271" t="s">
        <v>74</v>
      </c>
      <c r="AC271" t="s">
        <v>5626</v>
      </c>
      <c r="AD271" t="s">
        <v>5627</v>
      </c>
      <c r="AE271" t="s">
        <v>5628</v>
      </c>
      <c r="AF271" t="s">
        <v>74</v>
      </c>
      <c r="AG271">
        <v>67</v>
      </c>
      <c r="AH271">
        <v>1</v>
      </c>
      <c r="AI271">
        <v>1</v>
      </c>
      <c r="AJ271">
        <v>3</v>
      </c>
      <c r="AK271">
        <v>3</v>
      </c>
      <c r="AL271" t="s">
        <v>123</v>
      </c>
      <c r="AM271" t="s">
        <v>124</v>
      </c>
      <c r="AN271" t="s">
        <v>125</v>
      </c>
      <c r="AO271" t="s">
        <v>5629</v>
      </c>
      <c r="AP271" t="s">
        <v>5630</v>
      </c>
      <c r="AQ271" t="s">
        <v>74</v>
      </c>
      <c r="AR271" t="s">
        <v>5631</v>
      </c>
      <c r="AS271" t="s">
        <v>5632</v>
      </c>
      <c r="AT271" t="s">
        <v>2017</v>
      </c>
      <c r="AU271">
        <v>2025</v>
      </c>
      <c r="AV271">
        <v>82</v>
      </c>
      <c r="AW271" t="s">
        <v>74</v>
      </c>
      <c r="AX271" t="s">
        <v>74</v>
      </c>
      <c r="AY271" t="s">
        <v>74</v>
      </c>
      <c r="AZ271" t="s">
        <v>74</v>
      </c>
      <c r="BA271" t="s">
        <v>74</v>
      </c>
      <c r="BB271" t="s">
        <v>74</v>
      </c>
      <c r="BC271" t="s">
        <v>74</v>
      </c>
      <c r="BD271">
        <v>104509</v>
      </c>
      <c r="BE271" t="s">
        <v>5633</v>
      </c>
      <c r="BF271" t="str">
        <f>HYPERLINK("http://dx.doi.org/10.1016/j.seta.2025.104509","http://dx.doi.org/10.1016/j.seta.2025.104509")</f>
        <v>http://dx.doi.org/10.1016/j.seta.2025.104509</v>
      </c>
      <c r="BG271" t="s">
        <v>74</v>
      </c>
      <c r="BH271" t="s">
        <v>513</v>
      </c>
      <c r="BI271">
        <v>11</v>
      </c>
      <c r="BJ271" t="s">
        <v>1496</v>
      </c>
      <c r="BK271" t="s">
        <v>102</v>
      </c>
      <c r="BL271" t="s">
        <v>1497</v>
      </c>
      <c r="BM271" t="s">
        <v>5634</v>
      </c>
      <c r="BN271" t="s">
        <v>74</v>
      </c>
      <c r="BO271" t="s">
        <v>74</v>
      </c>
      <c r="BP271" t="s">
        <v>74</v>
      </c>
      <c r="BQ271" t="s">
        <v>74</v>
      </c>
      <c r="BR271" t="s">
        <v>106</v>
      </c>
      <c r="BS271" t="s">
        <v>5635</v>
      </c>
      <c r="BT271" t="str">
        <f>HYPERLINK("https%3A%2F%2Fwww.webofscience.com%2Fwos%2Fwoscc%2Ffull-record%2FWOS:001559964700001","View Full Record in Web of Science")</f>
        <v>View Full Record in Web of Science</v>
      </c>
    </row>
    <row r="272" spans="1:72" x14ac:dyDescent="0.2">
      <c r="A272" t="s">
        <v>72</v>
      </c>
      <c r="B272" t="s">
        <v>5636</v>
      </c>
      <c r="C272" t="s">
        <v>74</v>
      </c>
      <c r="D272" t="s">
        <v>74</v>
      </c>
      <c r="E272" t="s">
        <v>74</v>
      </c>
      <c r="F272" t="s">
        <v>5637</v>
      </c>
      <c r="G272" t="s">
        <v>74</v>
      </c>
      <c r="H272" t="s">
        <v>74</v>
      </c>
      <c r="I272" t="s">
        <v>5638</v>
      </c>
      <c r="J272" t="s">
        <v>77</v>
      </c>
      <c r="K272" t="s">
        <v>74</v>
      </c>
      <c r="L272" t="s">
        <v>74</v>
      </c>
      <c r="M272" t="s">
        <v>78</v>
      </c>
      <c r="N272" t="s">
        <v>79</v>
      </c>
      <c r="O272" t="s">
        <v>74</v>
      </c>
      <c r="P272" t="s">
        <v>74</v>
      </c>
      <c r="Q272" t="s">
        <v>74</v>
      </c>
      <c r="R272" t="s">
        <v>74</v>
      </c>
      <c r="S272" t="s">
        <v>74</v>
      </c>
      <c r="T272" t="s">
        <v>5639</v>
      </c>
      <c r="U272" t="s">
        <v>5640</v>
      </c>
      <c r="V272" t="s">
        <v>5641</v>
      </c>
      <c r="W272" t="s">
        <v>5642</v>
      </c>
      <c r="X272" t="s">
        <v>5643</v>
      </c>
      <c r="Y272" t="s">
        <v>5644</v>
      </c>
      <c r="Z272" t="s">
        <v>5645</v>
      </c>
      <c r="AA272" t="s">
        <v>5646</v>
      </c>
      <c r="AB272" t="s">
        <v>74</v>
      </c>
      <c r="AC272" t="s">
        <v>5647</v>
      </c>
      <c r="AD272" t="s">
        <v>5647</v>
      </c>
      <c r="AE272" t="s">
        <v>5648</v>
      </c>
      <c r="AF272" t="s">
        <v>74</v>
      </c>
      <c r="AG272">
        <v>53</v>
      </c>
      <c r="AH272">
        <v>0</v>
      </c>
      <c r="AI272">
        <v>0</v>
      </c>
      <c r="AJ272">
        <v>0</v>
      </c>
      <c r="AK272">
        <v>0</v>
      </c>
      <c r="AL272" t="s">
        <v>92</v>
      </c>
      <c r="AM272" t="s">
        <v>93</v>
      </c>
      <c r="AN272" t="s">
        <v>94</v>
      </c>
      <c r="AO272" t="s">
        <v>95</v>
      </c>
      <c r="AP272" t="s">
        <v>96</v>
      </c>
      <c r="AQ272" t="s">
        <v>74</v>
      </c>
      <c r="AR272" t="s">
        <v>97</v>
      </c>
      <c r="AS272" t="s">
        <v>98</v>
      </c>
      <c r="AT272" t="s">
        <v>1109</v>
      </c>
      <c r="AU272">
        <v>2025</v>
      </c>
      <c r="AV272">
        <v>54</v>
      </c>
      <c r="AW272">
        <v>4</v>
      </c>
      <c r="AX272" t="s">
        <v>74</v>
      </c>
      <c r="AY272" t="s">
        <v>74</v>
      </c>
      <c r="AZ272" t="s">
        <v>74</v>
      </c>
      <c r="BA272" t="s">
        <v>74</v>
      </c>
      <c r="BB272">
        <v>336</v>
      </c>
      <c r="BC272">
        <v>345</v>
      </c>
      <c r="BD272" t="s">
        <v>74</v>
      </c>
      <c r="BE272" t="s">
        <v>5649</v>
      </c>
      <c r="BF272" t="str">
        <f>HYPERLINK("http://dx.doi.org/10.1177/00307270251395647","http://dx.doi.org/10.1177/00307270251395647")</f>
        <v>http://dx.doi.org/10.1177/00307270251395647</v>
      </c>
      <c r="BG272" t="s">
        <v>74</v>
      </c>
      <c r="BH272" t="s">
        <v>962</v>
      </c>
      <c r="BI272">
        <v>10</v>
      </c>
      <c r="BJ272" t="s">
        <v>101</v>
      </c>
      <c r="BK272" t="s">
        <v>102</v>
      </c>
      <c r="BL272" t="s">
        <v>103</v>
      </c>
      <c r="BM272" t="s">
        <v>5650</v>
      </c>
      <c r="BN272" t="s">
        <v>74</v>
      </c>
      <c r="BO272" t="s">
        <v>5651</v>
      </c>
      <c r="BP272" t="s">
        <v>74</v>
      </c>
      <c r="BQ272" t="s">
        <v>74</v>
      </c>
      <c r="BR272" t="s">
        <v>106</v>
      </c>
      <c r="BS272" t="s">
        <v>5652</v>
      </c>
      <c r="BT272" t="str">
        <f>HYPERLINK("https%3A%2F%2Fwww.webofscience.com%2Fwos%2Fwoscc%2Ffull-record%2FWOS:001616461900001","View Full Record in Web of Science")</f>
        <v>View Full Record in Web of Science</v>
      </c>
    </row>
    <row r="273" spans="1:72" x14ac:dyDescent="0.2">
      <c r="A273" t="s">
        <v>72</v>
      </c>
      <c r="B273" t="s">
        <v>5653</v>
      </c>
      <c r="C273" t="s">
        <v>74</v>
      </c>
      <c r="D273" t="s">
        <v>74</v>
      </c>
      <c r="E273" t="s">
        <v>74</v>
      </c>
      <c r="F273" t="s">
        <v>5654</v>
      </c>
      <c r="G273" t="s">
        <v>74</v>
      </c>
      <c r="H273" t="s">
        <v>74</v>
      </c>
      <c r="I273" t="s">
        <v>5655</v>
      </c>
      <c r="J273" t="s">
        <v>5656</v>
      </c>
      <c r="K273" t="s">
        <v>74</v>
      </c>
      <c r="L273" t="s">
        <v>74</v>
      </c>
      <c r="M273" t="s">
        <v>78</v>
      </c>
      <c r="N273" t="s">
        <v>79</v>
      </c>
      <c r="O273" t="s">
        <v>74</v>
      </c>
      <c r="P273" t="s">
        <v>74</v>
      </c>
      <c r="Q273" t="s">
        <v>74</v>
      </c>
      <c r="R273" t="s">
        <v>74</v>
      </c>
      <c r="S273" t="s">
        <v>74</v>
      </c>
      <c r="T273" t="s">
        <v>5657</v>
      </c>
      <c r="U273" t="s">
        <v>74</v>
      </c>
      <c r="V273" t="s">
        <v>5658</v>
      </c>
      <c r="W273" t="s">
        <v>5659</v>
      </c>
      <c r="X273" t="s">
        <v>5660</v>
      </c>
      <c r="Y273" t="s">
        <v>5661</v>
      </c>
      <c r="Z273" t="s">
        <v>5662</v>
      </c>
      <c r="AA273" t="s">
        <v>74</v>
      </c>
      <c r="AB273" t="s">
        <v>74</v>
      </c>
      <c r="AC273" t="s">
        <v>74</v>
      </c>
      <c r="AD273" t="s">
        <v>74</v>
      </c>
      <c r="AE273" t="s">
        <v>74</v>
      </c>
      <c r="AF273" t="s">
        <v>74</v>
      </c>
      <c r="AG273">
        <v>21</v>
      </c>
      <c r="AH273">
        <v>1</v>
      </c>
      <c r="AI273">
        <v>3</v>
      </c>
      <c r="AJ273">
        <v>8</v>
      </c>
      <c r="AK273">
        <v>34</v>
      </c>
      <c r="AL273" t="s">
        <v>5663</v>
      </c>
      <c r="AM273" t="s">
        <v>5664</v>
      </c>
      <c r="AN273" t="s">
        <v>5665</v>
      </c>
      <c r="AO273" t="s">
        <v>5666</v>
      </c>
      <c r="AP273" t="s">
        <v>74</v>
      </c>
      <c r="AQ273" t="s">
        <v>74</v>
      </c>
      <c r="AR273" t="s">
        <v>5667</v>
      </c>
      <c r="AS273" t="s">
        <v>5668</v>
      </c>
      <c r="AT273" t="s">
        <v>5218</v>
      </c>
      <c r="AU273">
        <v>2024</v>
      </c>
      <c r="AV273">
        <v>126</v>
      </c>
      <c r="AW273">
        <v>10</v>
      </c>
      <c r="AX273" t="s">
        <v>74</v>
      </c>
      <c r="AY273" t="s">
        <v>74</v>
      </c>
      <c r="AZ273" t="s">
        <v>74</v>
      </c>
      <c r="BA273" t="s">
        <v>74</v>
      </c>
      <c r="BB273" t="s">
        <v>74</v>
      </c>
      <c r="BC273" t="s">
        <v>74</v>
      </c>
      <c r="BD273" t="s">
        <v>74</v>
      </c>
      <c r="BE273" t="s">
        <v>5669</v>
      </c>
      <c r="BF273" t="str">
        <f>HYPERLINK("http://dx.doi.org/10.18520/cs/v126/i10/1209-1216","http://dx.doi.org/10.18520/cs/v126/i10/1209-1216")</f>
        <v>http://dx.doi.org/10.18520/cs/v126/i10/1209-1216</v>
      </c>
      <c r="BG273" t="s">
        <v>74</v>
      </c>
      <c r="BH273" t="s">
        <v>74</v>
      </c>
      <c r="BI273">
        <v>8</v>
      </c>
      <c r="BJ273" t="s">
        <v>158</v>
      </c>
      <c r="BK273" t="s">
        <v>102</v>
      </c>
      <c r="BL273" t="s">
        <v>159</v>
      </c>
      <c r="BM273" t="s">
        <v>5670</v>
      </c>
      <c r="BN273" t="s">
        <v>74</v>
      </c>
      <c r="BO273" t="s">
        <v>231</v>
      </c>
      <c r="BP273" t="s">
        <v>74</v>
      </c>
      <c r="BQ273" t="s">
        <v>74</v>
      </c>
      <c r="BR273" t="s">
        <v>106</v>
      </c>
      <c r="BS273" t="s">
        <v>5671</v>
      </c>
      <c r="BT273" t="str">
        <f>HYPERLINK("https%3A%2F%2Fwww.webofscience.com%2Fwos%2Fwoscc%2Ffull-record%2FWOS:001248207500007","View Full Record in Web of Science")</f>
        <v>View Full Record in Web of Science</v>
      </c>
    </row>
    <row r="274" spans="1:72" x14ac:dyDescent="0.2">
      <c r="A274" t="s">
        <v>72</v>
      </c>
      <c r="B274" t="s">
        <v>5672</v>
      </c>
      <c r="C274" t="s">
        <v>74</v>
      </c>
      <c r="D274" t="s">
        <v>74</v>
      </c>
      <c r="E274" t="s">
        <v>74</v>
      </c>
      <c r="F274" t="s">
        <v>5673</v>
      </c>
      <c r="G274" t="s">
        <v>74</v>
      </c>
      <c r="H274" t="s">
        <v>74</v>
      </c>
      <c r="I274" t="s">
        <v>5674</v>
      </c>
      <c r="J274" t="s">
        <v>1430</v>
      </c>
      <c r="K274" t="s">
        <v>74</v>
      </c>
      <c r="L274" t="s">
        <v>74</v>
      </c>
      <c r="M274" t="s">
        <v>78</v>
      </c>
      <c r="N274" t="s">
        <v>79</v>
      </c>
      <c r="O274" t="s">
        <v>74</v>
      </c>
      <c r="P274" t="s">
        <v>74</v>
      </c>
      <c r="Q274" t="s">
        <v>74</v>
      </c>
      <c r="R274" t="s">
        <v>74</v>
      </c>
      <c r="S274" t="s">
        <v>74</v>
      </c>
      <c r="T274" t="s">
        <v>5675</v>
      </c>
      <c r="U274" t="s">
        <v>5676</v>
      </c>
      <c r="V274" t="s">
        <v>5677</v>
      </c>
      <c r="W274" t="s">
        <v>5678</v>
      </c>
      <c r="X274" t="s">
        <v>5679</v>
      </c>
      <c r="Y274" t="s">
        <v>5680</v>
      </c>
      <c r="Z274" t="s">
        <v>5681</v>
      </c>
      <c r="AA274" t="s">
        <v>5682</v>
      </c>
      <c r="AB274" t="s">
        <v>5683</v>
      </c>
      <c r="AC274" t="s">
        <v>74</v>
      </c>
      <c r="AD274" t="s">
        <v>74</v>
      </c>
      <c r="AE274" t="s">
        <v>74</v>
      </c>
      <c r="AF274" t="s">
        <v>74</v>
      </c>
      <c r="AG274">
        <v>85</v>
      </c>
      <c r="AH274">
        <v>2</v>
      </c>
      <c r="AI274">
        <v>2</v>
      </c>
      <c r="AJ274">
        <v>2</v>
      </c>
      <c r="AK274">
        <v>5</v>
      </c>
      <c r="AL274" t="s">
        <v>504</v>
      </c>
      <c r="AM274" t="s">
        <v>676</v>
      </c>
      <c r="AN274" t="s">
        <v>677</v>
      </c>
      <c r="AO274" t="s">
        <v>1440</v>
      </c>
      <c r="AP274" t="s">
        <v>1441</v>
      </c>
      <c r="AQ274" t="s">
        <v>74</v>
      </c>
      <c r="AR274" t="s">
        <v>1442</v>
      </c>
      <c r="AS274" t="s">
        <v>1443</v>
      </c>
      <c r="AT274" t="s">
        <v>459</v>
      </c>
      <c r="AU274">
        <v>2025</v>
      </c>
      <c r="AV274">
        <v>67</v>
      </c>
      <c r="AW274">
        <v>1</v>
      </c>
      <c r="AX274" t="s">
        <v>74</v>
      </c>
      <c r="AY274" t="s">
        <v>74</v>
      </c>
      <c r="AZ274" t="s">
        <v>74</v>
      </c>
      <c r="BA274" t="s">
        <v>74</v>
      </c>
      <c r="BB274" t="s">
        <v>74</v>
      </c>
      <c r="BC274" t="s">
        <v>74</v>
      </c>
      <c r="BD274">
        <v>30</v>
      </c>
      <c r="BE274" t="s">
        <v>5684</v>
      </c>
      <c r="BF274" t="str">
        <f>HYPERLINK("http://dx.doi.org/10.1007/s10341-024-01231-4","http://dx.doi.org/10.1007/s10341-024-01231-4")</f>
        <v>http://dx.doi.org/10.1007/s10341-024-01231-4</v>
      </c>
      <c r="BG274" t="s">
        <v>74</v>
      </c>
      <c r="BH274" t="s">
        <v>74</v>
      </c>
      <c r="BI274">
        <v>9</v>
      </c>
      <c r="BJ274" t="s">
        <v>1445</v>
      </c>
      <c r="BK274" t="s">
        <v>102</v>
      </c>
      <c r="BL274" t="s">
        <v>103</v>
      </c>
      <c r="BM274" t="s">
        <v>5685</v>
      </c>
      <c r="BN274" t="s">
        <v>74</v>
      </c>
      <c r="BO274" t="s">
        <v>74</v>
      </c>
      <c r="BP274" t="s">
        <v>74</v>
      </c>
      <c r="BQ274" t="s">
        <v>74</v>
      </c>
      <c r="BR274" t="s">
        <v>106</v>
      </c>
      <c r="BS274" t="s">
        <v>5686</v>
      </c>
      <c r="BT274" t="str">
        <f>HYPERLINK("https%3A%2F%2Fwww.webofscience.com%2Fwos%2Fwoscc%2Ffull-record%2FWOS:001400456800001","View Full Record in Web of Science")</f>
        <v>View Full Record in Web of Science</v>
      </c>
    </row>
    <row r="275" spans="1:72" x14ac:dyDescent="0.2">
      <c r="A275" t="s">
        <v>72</v>
      </c>
      <c r="B275" t="s">
        <v>5687</v>
      </c>
      <c r="C275" t="s">
        <v>74</v>
      </c>
      <c r="D275" t="s">
        <v>74</v>
      </c>
      <c r="E275" t="s">
        <v>74</v>
      </c>
      <c r="F275" t="s">
        <v>5688</v>
      </c>
      <c r="G275" t="s">
        <v>74</v>
      </c>
      <c r="H275" t="s">
        <v>74</v>
      </c>
      <c r="I275" t="s">
        <v>5689</v>
      </c>
      <c r="J275" t="s">
        <v>645</v>
      </c>
      <c r="K275" t="s">
        <v>74</v>
      </c>
      <c r="L275" t="s">
        <v>74</v>
      </c>
      <c r="M275" t="s">
        <v>78</v>
      </c>
      <c r="N275" t="s">
        <v>79</v>
      </c>
      <c r="O275" t="s">
        <v>74</v>
      </c>
      <c r="P275" t="s">
        <v>74</v>
      </c>
      <c r="Q275" t="s">
        <v>74</v>
      </c>
      <c r="R275" t="s">
        <v>74</v>
      </c>
      <c r="S275" t="s">
        <v>74</v>
      </c>
      <c r="T275" t="s">
        <v>5690</v>
      </c>
      <c r="U275" t="s">
        <v>5691</v>
      </c>
      <c r="V275" t="s">
        <v>5692</v>
      </c>
      <c r="W275" t="s">
        <v>5693</v>
      </c>
      <c r="X275" t="s">
        <v>5694</v>
      </c>
      <c r="Y275" t="s">
        <v>5695</v>
      </c>
      <c r="Z275" t="s">
        <v>5696</v>
      </c>
      <c r="AA275" t="s">
        <v>5697</v>
      </c>
      <c r="AB275" t="s">
        <v>5698</v>
      </c>
      <c r="AC275" t="s">
        <v>74</v>
      </c>
      <c r="AD275" t="s">
        <v>74</v>
      </c>
      <c r="AE275" t="s">
        <v>74</v>
      </c>
      <c r="AF275" t="s">
        <v>74</v>
      </c>
      <c r="AG275">
        <v>35</v>
      </c>
      <c r="AH275">
        <v>7</v>
      </c>
      <c r="AI275">
        <v>8</v>
      </c>
      <c r="AJ275">
        <v>5</v>
      </c>
      <c r="AK275">
        <v>28</v>
      </c>
      <c r="AL275" t="s">
        <v>655</v>
      </c>
      <c r="AM275" t="s">
        <v>405</v>
      </c>
      <c r="AN275" t="s">
        <v>656</v>
      </c>
      <c r="AO275" t="s">
        <v>74</v>
      </c>
      <c r="AP275" t="s">
        <v>657</v>
      </c>
      <c r="AQ275" t="s">
        <v>74</v>
      </c>
      <c r="AR275" t="s">
        <v>658</v>
      </c>
      <c r="AS275" t="s">
        <v>659</v>
      </c>
      <c r="AT275" t="s">
        <v>5699</v>
      </c>
      <c r="AU275">
        <v>2021</v>
      </c>
      <c r="AV275">
        <v>9</v>
      </c>
      <c r="AW275" t="s">
        <v>74</v>
      </c>
      <c r="AX275" t="s">
        <v>74</v>
      </c>
      <c r="AY275" t="s">
        <v>74</v>
      </c>
      <c r="AZ275" t="s">
        <v>74</v>
      </c>
      <c r="BA275" t="s">
        <v>74</v>
      </c>
      <c r="BB275" t="s">
        <v>74</v>
      </c>
      <c r="BC275" t="s">
        <v>74</v>
      </c>
      <c r="BD275">
        <v>766638</v>
      </c>
      <c r="BE275" t="s">
        <v>5700</v>
      </c>
      <c r="BF275" t="str">
        <f>HYPERLINK("http://dx.doi.org/10.3389/fenvs.2021.766638","http://dx.doi.org/10.3389/fenvs.2021.766638")</f>
        <v>http://dx.doi.org/10.3389/fenvs.2021.766638</v>
      </c>
      <c r="BG275" t="s">
        <v>74</v>
      </c>
      <c r="BH275" t="s">
        <v>74</v>
      </c>
      <c r="BI275">
        <v>8</v>
      </c>
      <c r="BJ275" t="s">
        <v>567</v>
      </c>
      <c r="BK275" t="s">
        <v>102</v>
      </c>
      <c r="BL275" t="s">
        <v>568</v>
      </c>
      <c r="BM275" t="s">
        <v>5701</v>
      </c>
      <c r="BN275" t="s">
        <v>74</v>
      </c>
      <c r="BO275" t="s">
        <v>161</v>
      </c>
      <c r="BP275" t="s">
        <v>74</v>
      </c>
      <c r="BQ275" t="s">
        <v>74</v>
      </c>
      <c r="BR275" t="s">
        <v>106</v>
      </c>
      <c r="BS275" t="s">
        <v>5702</v>
      </c>
      <c r="BT275" t="str">
        <f>HYPERLINK("https%3A%2F%2Fwww.webofscience.com%2Fwos%2Fwoscc%2Ffull-record%2FWOS:000743505600001","View Full Record in Web of Science")</f>
        <v>View Full Record in Web of Science</v>
      </c>
    </row>
    <row r="276" spans="1:72" x14ac:dyDescent="0.2">
      <c r="A276" t="s">
        <v>72</v>
      </c>
      <c r="B276" t="s">
        <v>5703</v>
      </c>
      <c r="C276" t="s">
        <v>74</v>
      </c>
      <c r="D276" t="s">
        <v>74</v>
      </c>
      <c r="E276" t="s">
        <v>74</v>
      </c>
      <c r="F276" t="s">
        <v>5704</v>
      </c>
      <c r="G276" t="s">
        <v>74</v>
      </c>
      <c r="H276" t="s">
        <v>74</v>
      </c>
      <c r="I276" t="s">
        <v>5705</v>
      </c>
      <c r="J276" t="s">
        <v>2149</v>
      </c>
      <c r="K276" t="s">
        <v>74</v>
      </c>
      <c r="L276" t="s">
        <v>74</v>
      </c>
      <c r="M276" t="s">
        <v>78</v>
      </c>
      <c r="N276" t="s">
        <v>79</v>
      </c>
      <c r="O276" t="s">
        <v>74</v>
      </c>
      <c r="P276" t="s">
        <v>74</v>
      </c>
      <c r="Q276" t="s">
        <v>74</v>
      </c>
      <c r="R276" t="s">
        <v>74</v>
      </c>
      <c r="S276" t="s">
        <v>74</v>
      </c>
      <c r="T276" t="s">
        <v>5706</v>
      </c>
      <c r="U276" t="s">
        <v>5707</v>
      </c>
      <c r="V276" t="s">
        <v>5708</v>
      </c>
      <c r="W276" t="s">
        <v>5709</v>
      </c>
      <c r="X276" t="s">
        <v>5710</v>
      </c>
      <c r="Y276" t="s">
        <v>5711</v>
      </c>
      <c r="Z276" t="s">
        <v>5712</v>
      </c>
      <c r="AA276" t="s">
        <v>5713</v>
      </c>
      <c r="AB276" t="s">
        <v>74</v>
      </c>
      <c r="AC276" t="s">
        <v>5714</v>
      </c>
      <c r="AD276" t="s">
        <v>5715</v>
      </c>
      <c r="AE276" t="s">
        <v>5716</v>
      </c>
      <c r="AF276" t="s">
        <v>74</v>
      </c>
      <c r="AG276">
        <v>99</v>
      </c>
      <c r="AH276">
        <v>61</v>
      </c>
      <c r="AI276">
        <v>72</v>
      </c>
      <c r="AJ276">
        <v>9</v>
      </c>
      <c r="AK276">
        <v>270</v>
      </c>
      <c r="AL276" t="s">
        <v>123</v>
      </c>
      <c r="AM276" t="s">
        <v>124</v>
      </c>
      <c r="AN276" t="s">
        <v>125</v>
      </c>
      <c r="AO276" t="s">
        <v>2164</v>
      </c>
      <c r="AP276" t="s">
        <v>2165</v>
      </c>
      <c r="AQ276" t="s">
        <v>74</v>
      </c>
      <c r="AR276" t="s">
        <v>2166</v>
      </c>
      <c r="AS276" t="s">
        <v>2167</v>
      </c>
      <c r="AT276" t="s">
        <v>1109</v>
      </c>
      <c r="AU276">
        <v>2019</v>
      </c>
      <c r="AV276">
        <v>195</v>
      </c>
      <c r="AW276" t="s">
        <v>74</v>
      </c>
      <c r="AX276" t="s">
        <v>74</v>
      </c>
      <c r="AY276" t="s">
        <v>74</v>
      </c>
      <c r="AZ276" t="s">
        <v>74</v>
      </c>
      <c r="BA276" t="s">
        <v>74</v>
      </c>
      <c r="BB276" t="s">
        <v>74</v>
      </c>
      <c r="BC276" t="s">
        <v>74</v>
      </c>
      <c r="BD276">
        <v>104361</v>
      </c>
      <c r="BE276" t="s">
        <v>5717</v>
      </c>
      <c r="BF276" t="str">
        <f>HYPERLINK("http://dx.doi.org/10.1016/j.still.2019.104361","http://dx.doi.org/10.1016/j.still.2019.104361")</f>
        <v>http://dx.doi.org/10.1016/j.still.2019.104361</v>
      </c>
      <c r="BG276" t="s">
        <v>74</v>
      </c>
      <c r="BH276" t="s">
        <v>74</v>
      </c>
      <c r="BI276">
        <v>12</v>
      </c>
      <c r="BJ276" t="s">
        <v>256</v>
      </c>
      <c r="BK276" t="s">
        <v>102</v>
      </c>
      <c r="BL276" t="s">
        <v>103</v>
      </c>
      <c r="BM276" t="s">
        <v>5718</v>
      </c>
      <c r="BN276" t="s">
        <v>74</v>
      </c>
      <c r="BO276" t="s">
        <v>74</v>
      </c>
      <c r="BP276" t="s">
        <v>74</v>
      </c>
      <c r="BQ276" t="s">
        <v>74</v>
      </c>
      <c r="BR276" t="s">
        <v>106</v>
      </c>
      <c r="BS276" t="s">
        <v>5719</v>
      </c>
      <c r="BT276" t="str">
        <f>HYPERLINK("https%3A%2F%2Fwww.webofscience.com%2Fwos%2Fwoscc%2Ffull-record%2FWOS:000494053700010","View Full Record in Web of Science")</f>
        <v>View Full Record in Web of Science</v>
      </c>
    </row>
    <row r="277" spans="1:72" x14ac:dyDescent="0.2">
      <c r="A277" t="s">
        <v>72</v>
      </c>
      <c r="B277" t="s">
        <v>5720</v>
      </c>
      <c r="C277" t="s">
        <v>74</v>
      </c>
      <c r="D277" t="s">
        <v>74</v>
      </c>
      <c r="E277" t="s">
        <v>74</v>
      </c>
      <c r="F277" t="s">
        <v>5721</v>
      </c>
      <c r="G277" t="s">
        <v>74</v>
      </c>
      <c r="H277" t="s">
        <v>74</v>
      </c>
      <c r="I277" t="s">
        <v>5722</v>
      </c>
      <c r="J277" t="s">
        <v>5723</v>
      </c>
      <c r="K277" t="s">
        <v>74</v>
      </c>
      <c r="L277" t="s">
        <v>74</v>
      </c>
      <c r="M277" t="s">
        <v>78</v>
      </c>
      <c r="N277" t="s">
        <v>79</v>
      </c>
      <c r="O277" t="s">
        <v>74</v>
      </c>
      <c r="P277" t="s">
        <v>74</v>
      </c>
      <c r="Q277" t="s">
        <v>74</v>
      </c>
      <c r="R277" t="s">
        <v>74</v>
      </c>
      <c r="S277" t="s">
        <v>74</v>
      </c>
      <c r="T277" t="s">
        <v>5724</v>
      </c>
      <c r="U277" t="s">
        <v>74</v>
      </c>
      <c r="V277" t="s">
        <v>5725</v>
      </c>
      <c r="W277" t="s">
        <v>5726</v>
      </c>
      <c r="X277" t="s">
        <v>74</v>
      </c>
      <c r="Y277" t="s">
        <v>5727</v>
      </c>
      <c r="Z277" t="s">
        <v>5728</v>
      </c>
      <c r="AA277" t="s">
        <v>74</v>
      </c>
      <c r="AB277" t="s">
        <v>74</v>
      </c>
      <c r="AC277" t="s">
        <v>74</v>
      </c>
      <c r="AD277" t="s">
        <v>74</v>
      </c>
      <c r="AE277" t="s">
        <v>74</v>
      </c>
      <c r="AF277" t="s">
        <v>74</v>
      </c>
      <c r="AG277">
        <v>30</v>
      </c>
      <c r="AH277">
        <v>37</v>
      </c>
      <c r="AI277">
        <v>38</v>
      </c>
      <c r="AJ277">
        <v>1</v>
      </c>
      <c r="AK277">
        <v>33</v>
      </c>
      <c r="AL277" t="s">
        <v>247</v>
      </c>
      <c r="AM277" t="s">
        <v>248</v>
      </c>
      <c r="AN277" t="s">
        <v>249</v>
      </c>
      <c r="AO277" t="s">
        <v>5729</v>
      </c>
      <c r="AP277" t="s">
        <v>5730</v>
      </c>
      <c r="AQ277" t="s">
        <v>74</v>
      </c>
      <c r="AR277" t="s">
        <v>5731</v>
      </c>
      <c r="AS277" t="s">
        <v>5732</v>
      </c>
      <c r="AT277" t="s">
        <v>459</v>
      </c>
      <c r="AU277">
        <v>2014</v>
      </c>
      <c r="AV277">
        <v>63</v>
      </c>
      <c r="AW277">
        <v>1</v>
      </c>
      <c r="AX277" t="s">
        <v>74</v>
      </c>
      <c r="AY277" t="s">
        <v>74</v>
      </c>
      <c r="AZ277" t="s">
        <v>74</v>
      </c>
      <c r="BA277" t="s">
        <v>74</v>
      </c>
      <c r="BB277">
        <v>132</v>
      </c>
      <c r="BC277">
        <v>138</v>
      </c>
      <c r="BD277" t="s">
        <v>74</v>
      </c>
      <c r="BE277" t="s">
        <v>5733</v>
      </c>
      <c r="BF277" t="str">
        <f>HYPERLINK("http://dx.doi.org/10.1002/ird.1795","http://dx.doi.org/10.1002/ird.1795")</f>
        <v>http://dx.doi.org/10.1002/ird.1795</v>
      </c>
      <c r="BG277" t="s">
        <v>74</v>
      </c>
      <c r="BH277" t="s">
        <v>74</v>
      </c>
      <c r="BI277">
        <v>7</v>
      </c>
      <c r="BJ277" t="s">
        <v>2665</v>
      </c>
      <c r="BK277" t="s">
        <v>102</v>
      </c>
      <c r="BL277" t="s">
        <v>2666</v>
      </c>
      <c r="BM277" t="s">
        <v>5734</v>
      </c>
      <c r="BN277" t="s">
        <v>74</v>
      </c>
      <c r="BO277" t="s">
        <v>74</v>
      </c>
      <c r="BP277" t="s">
        <v>74</v>
      </c>
      <c r="BQ277" t="s">
        <v>74</v>
      </c>
      <c r="BR277" t="s">
        <v>106</v>
      </c>
      <c r="BS277" t="s">
        <v>5735</v>
      </c>
      <c r="BT277" t="str">
        <f>HYPERLINK("https%3A%2F%2Fwww.webofscience.com%2Fwos%2Fwoscc%2Ffull-record%2FWOS:000331127900014","View Full Record in Web of Science")</f>
        <v>View Full Record in Web of Science</v>
      </c>
    </row>
    <row r="278" spans="1:72" x14ac:dyDescent="0.2">
      <c r="A278" t="s">
        <v>72</v>
      </c>
      <c r="B278" t="s">
        <v>5736</v>
      </c>
      <c r="C278" t="s">
        <v>74</v>
      </c>
      <c r="D278" t="s">
        <v>74</v>
      </c>
      <c r="E278" t="s">
        <v>74</v>
      </c>
      <c r="F278" t="s">
        <v>5737</v>
      </c>
      <c r="G278" t="s">
        <v>74</v>
      </c>
      <c r="H278" t="s">
        <v>74</v>
      </c>
      <c r="I278" t="s">
        <v>5738</v>
      </c>
      <c r="J278" t="s">
        <v>3182</v>
      </c>
      <c r="K278" t="s">
        <v>74</v>
      </c>
      <c r="L278" t="s">
        <v>74</v>
      </c>
      <c r="M278" t="s">
        <v>78</v>
      </c>
      <c r="N278" t="s">
        <v>79</v>
      </c>
      <c r="O278" t="s">
        <v>74</v>
      </c>
      <c r="P278" t="s">
        <v>74</v>
      </c>
      <c r="Q278" t="s">
        <v>74</v>
      </c>
      <c r="R278" t="s">
        <v>74</v>
      </c>
      <c r="S278" t="s">
        <v>74</v>
      </c>
      <c r="T278" t="s">
        <v>5739</v>
      </c>
      <c r="U278" t="s">
        <v>5740</v>
      </c>
      <c r="V278" t="s">
        <v>5741</v>
      </c>
      <c r="W278" t="s">
        <v>5742</v>
      </c>
      <c r="X278" t="s">
        <v>5743</v>
      </c>
      <c r="Y278" t="s">
        <v>5744</v>
      </c>
      <c r="Z278" t="s">
        <v>5745</v>
      </c>
      <c r="AA278" t="s">
        <v>74</v>
      </c>
      <c r="AB278" t="s">
        <v>5746</v>
      </c>
      <c r="AC278" t="s">
        <v>5747</v>
      </c>
      <c r="AD278" t="s">
        <v>5748</v>
      </c>
      <c r="AE278" t="s">
        <v>5749</v>
      </c>
      <c r="AF278" t="s">
        <v>74</v>
      </c>
      <c r="AG278">
        <v>28</v>
      </c>
      <c r="AH278">
        <v>26</v>
      </c>
      <c r="AI278">
        <v>31</v>
      </c>
      <c r="AJ278">
        <v>2</v>
      </c>
      <c r="AK278">
        <v>75</v>
      </c>
      <c r="AL278" t="s">
        <v>2162</v>
      </c>
      <c r="AM278" t="s">
        <v>124</v>
      </c>
      <c r="AN278" t="s">
        <v>2163</v>
      </c>
      <c r="AO278" t="s">
        <v>3195</v>
      </c>
      <c r="AP278" t="s">
        <v>3196</v>
      </c>
      <c r="AQ278" t="s">
        <v>74</v>
      </c>
      <c r="AR278" t="s">
        <v>3197</v>
      </c>
      <c r="AS278" t="s">
        <v>3198</v>
      </c>
      <c r="AT278" t="s">
        <v>5750</v>
      </c>
      <c r="AU278">
        <v>2015</v>
      </c>
      <c r="AV278">
        <v>213</v>
      </c>
      <c r="AW278" t="s">
        <v>74</v>
      </c>
      <c r="AX278" t="s">
        <v>74</v>
      </c>
      <c r="AY278" t="s">
        <v>74</v>
      </c>
      <c r="AZ278" t="s">
        <v>74</v>
      </c>
      <c r="BA278" t="s">
        <v>74</v>
      </c>
      <c r="BB278">
        <v>102</v>
      </c>
      <c r="BC278">
        <v>113</v>
      </c>
      <c r="BD278" t="s">
        <v>74</v>
      </c>
      <c r="BE278" t="s">
        <v>5751</v>
      </c>
      <c r="BF278" t="str">
        <f>HYPERLINK("http://dx.doi.org/10.1016/j.agrformet.2015.06.008","http://dx.doi.org/10.1016/j.agrformet.2015.06.008")</f>
        <v>http://dx.doi.org/10.1016/j.agrformet.2015.06.008</v>
      </c>
      <c r="BG278" t="s">
        <v>74</v>
      </c>
      <c r="BH278" t="s">
        <v>74</v>
      </c>
      <c r="BI278">
        <v>12</v>
      </c>
      <c r="BJ278" t="s">
        <v>3201</v>
      </c>
      <c r="BK278" t="s">
        <v>102</v>
      </c>
      <c r="BL278" t="s">
        <v>3202</v>
      </c>
      <c r="BM278" t="s">
        <v>5752</v>
      </c>
      <c r="BN278" t="s">
        <v>74</v>
      </c>
      <c r="BO278" t="s">
        <v>74</v>
      </c>
      <c r="BP278" t="s">
        <v>74</v>
      </c>
      <c r="BQ278" t="s">
        <v>74</v>
      </c>
      <c r="BR278" t="s">
        <v>106</v>
      </c>
      <c r="BS278" t="s">
        <v>5753</v>
      </c>
      <c r="BT278" t="str">
        <f>HYPERLINK("https%3A%2F%2Fwww.webofscience.com%2Fwos%2Fwoscc%2Ffull-record%2FWOS:000361255400010","View Full Record in Web of Science")</f>
        <v>View Full Record in Web of Science</v>
      </c>
    </row>
    <row r="279" spans="1:72" x14ac:dyDescent="0.2">
      <c r="A279" t="s">
        <v>72</v>
      </c>
      <c r="B279" t="s">
        <v>5754</v>
      </c>
      <c r="C279" t="s">
        <v>74</v>
      </c>
      <c r="D279" t="s">
        <v>74</v>
      </c>
      <c r="E279" t="s">
        <v>74</v>
      </c>
      <c r="F279" t="s">
        <v>5755</v>
      </c>
      <c r="G279" t="s">
        <v>74</v>
      </c>
      <c r="H279" t="s">
        <v>74</v>
      </c>
      <c r="I279" t="s">
        <v>5756</v>
      </c>
      <c r="J279" t="s">
        <v>5757</v>
      </c>
      <c r="K279" t="s">
        <v>74</v>
      </c>
      <c r="L279" t="s">
        <v>74</v>
      </c>
      <c r="M279" t="s">
        <v>78</v>
      </c>
      <c r="N279" t="s">
        <v>79</v>
      </c>
      <c r="O279" t="s">
        <v>74</v>
      </c>
      <c r="P279" t="s">
        <v>74</v>
      </c>
      <c r="Q279" t="s">
        <v>74</v>
      </c>
      <c r="R279" t="s">
        <v>74</v>
      </c>
      <c r="S279" t="s">
        <v>74</v>
      </c>
      <c r="T279" t="s">
        <v>5758</v>
      </c>
      <c r="U279" t="s">
        <v>5759</v>
      </c>
      <c r="V279" t="s">
        <v>5760</v>
      </c>
      <c r="W279" t="s">
        <v>5761</v>
      </c>
      <c r="X279" t="s">
        <v>3358</v>
      </c>
      <c r="Y279" t="s">
        <v>5762</v>
      </c>
      <c r="Z279" t="s">
        <v>5763</v>
      </c>
      <c r="AA279" t="s">
        <v>5764</v>
      </c>
      <c r="AB279" t="s">
        <v>5765</v>
      </c>
      <c r="AC279" t="s">
        <v>5766</v>
      </c>
      <c r="AD279" t="s">
        <v>5767</v>
      </c>
      <c r="AE279" t="s">
        <v>5768</v>
      </c>
      <c r="AF279" t="s">
        <v>74</v>
      </c>
      <c r="AG279">
        <v>53</v>
      </c>
      <c r="AH279">
        <v>76</v>
      </c>
      <c r="AI279">
        <v>95</v>
      </c>
      <c r="AJ279">
        <v>5</v>
      </c>
      <c r="AK279">
        <v>176</v>
      </c>
      <c r="AL279" t="s">
        <v>629</v>
      </c>
      <c r="AM279" t="s">
        <v>630</v>
      </c>
      <c r="AN279" t="s">
        <v>631</v>
      </c>
      <c r="AO279" t="s">
        <v>5769</v>
      </c>
      <c r="AP279" t="s">
        <v>5770</v>
      </c>
      <c r="AQ279" t="s">
        <v>74</v>
      </c>
      <c r="AR279" t="s">
        <v>5771</v>
      </c>
      <c r="AS279" t="s">
        <v>5772</v>
      </c>
      <c r="AT279" t="s">
        <v>281</v>
      </c>
      <c r="AU279">
        <v>2016</v>
      </c>
      <c r="AV279">
        <v>44</v>
      </c>
      <c r="AW279" t="s">
        <v>74</v>
      </c>
      <c r="AX279" t="s">
        <v>74</v>
      </c>
      <c r="AY279" t="s">
        <v>74</v>
      </c>
      <c r="AZ279" t="s">
        <v>74</v>
      </c>
      <c r="BA279" t="s">
        <v>74</v>
      </c>
      <c r="BB279">
        <v>158</v>
      </c>
      <c r="BC279">
        <v>170</v>
      </c>
      <c r="BD279" t="s">
        <v>74</v>
      </c>
      <c r="BE279" t="s">
        <v>5773</v>
      </c>
      <c r="BF279" t="str">
        <f>HYPERLINK("http://dx.doi.org/10.1016/j.jes.2015.08.024","http://dx.doi.org/10.1016/j.jes.2015.08.024")</f>
        <v>http://dx.doi.org/10.1016/j.jes.2015.08.024</v>
      </c>
      <c r="BG279" t="s">
        <v>74</v>
      </c>
      <c r="BH279" t="s">
        <v>74</v>
      </c>
      <c r="BI279">
        <v>13</v>
      </c>
      <c r="BJ279" t="s">
        <v>567</v>
      </c>
      <c r="BK279" t="s">
        <v>102</v>
      </c>
      <c r="BL279" t="s">
        <v>568</v>
      </c>
      <c r="BM279" t="s">
        <v>5774</v>
      </c>
      <c r="BN279">
        <v>27266312</v>
      </c>
      <c r="BO279" t="s">
        <v>74</v>
      </c>
      <c r="BP279" t="s">
        <v>74</v>
      </c>
      <c r="BQ279" t="s">
        <v>74</v>
      </c>
      <c r="BR279" t="s">
        <v>106</v>
      </c>
      <c r="BS279" t="s">
        <v>5775</v>
      </c>
      <c r="BT279" t="str">
        <f>HYPERLINK("https%3A%2F%2Fwww.webofscience.com%2Fwos%2Fwoscc%2Ffull-record%2FWOS:000378788100017","View Full Record in Web of Science")</f>
        <v>View Full Record in Web of Science</v>
      </c>
    </row>
    <row r="280" spans="1:72" x14ac:dyDescent="0.2">
      <c r="A280" t="s">
        <v>72</v>
      </c>
      <c r="B280" t="s">
        <v>5776</v>
      </c>
      <c r="C280" t="s">
        <v>74</v>
      </c>
      <c r="D280" t="s">
        <v>74</v>
      </c>
      <c r="E280" t="s">
        <v>74</v>
      </c>
      <c r="F280" t="s">
        <v>5777</v>
      </c>
      <c r="G280" t="s">
        <v>74</v>
      </c>
      <c r="H280" t="s">
        <v>74</v>
      </c>
      <c r="I280" t="s">
        <v>5778</v>
      </c>
      <c r="J280" t="s">
        <v>828</v>
      </c>
      <c r="K280" t="s">
        <v>74</v>
      </c>
      <c r="L280" t="s">
        <v>74</v>
      </c>
      <c r="M280" t="s">
        <v>78</v>
      </c>
      <c r="N280" t="s">
        <v>79</v>
      </c>
      <c r="O280" t="s">
        <v>74</v>
      </c>
      <c r="P280" t="s">
        <v>74</v>
      </c>
      <c r="Q280" t="s">
        <v>74</v>
      </c>
      <c r="R280" t="s">
        <v>74</v>
      </c>
      <c r="S280" t="s">
        <v>74</v>
      </c>
      <c r="T280" t="s">
        <v>5779</v>
      </c>
      <c r="U280" t="s">
        <v>74</v>
      </c>
      <c r="V280" t="s">
        <v>5780</v>
      </c>
      <c r="W280" t="s">
        <v>5781</v>
      </c>
      <c r="X280" t="s">
        <v>5782</v>
      </c>
      <c r="Y280" t="s">
        <v>5783</v>
      </c>
      <c r="Z280" t="s">
        <v>5784</v>
      </c>
      <c r="AA280" t="s">
        <v>5785</v>
      </c>
      <c r="AB280" t="s">
        <v>5786</v>
      </c>
      <c r="AC280" t="s">
        <v>74</v>
      </c>
      <c r="AD280" t="s">
        <v>74</v>
      </c>
      <c r="AE280" t="s">
        <v>74</v>
      </c>
      <c r="AF280" t="s">
        <v>74</v>
      </c>
      <c r="AG280">
        <v>6</v>
      </c>
      <c r="AH280">
        <v>17</v>
      </c>
      <c r="AI280">
        <v>19</v>
      </c>
      <c r="AJ280">
        <v>3</v>
      </c>
      <c r="AK280">
        <v>48</v>
      </c>
      <c r="AL280" t="s">
        <v>835</v>
      </c>
      <c r="AM280" t="s">
        <v>836</v>
      </c>
      <c r="AN280" t="s">
        <v>837</v>
      </c>
      <c r="AO280" t="s">
        <v>838</v>
      </c>
      <c r="AP280" t="s">
        <v>74</v>
      </c>
      <c r="AQ280" t="s">
        <v>74</v>
      </c>
      <c r="AR280" t="s">
        <v>839</v>
      </c>
      <c r="AS280" t="s">
        <v>840</v>
      </c>
      <c r="AT280" t="s">
        <v>5300</v>
      </c>
      <c r="AU280">
        <v>2020</v>
      </c>
      <c r="AV280">
        <v>51</v>
      </c>
      <c r="AW280">
        <v>4</v>
      </c>
      <c r="AX280" t="s">
        <v>74</v>
      </c>
      <c r="AY280" t="s">
        <v>74</v>
      </c>
      <c r="AZ280" t="s">
        <v>74</v>
      </c>
      <c r="BA280" t="s">
        <v>74</v>
      </c>
      <c r="BB280">
        <v>99</v>
      </c>
      <c r="BC280" t="s">
        <v>282</v>
      </c>
      <c r="BD280" t="s">
        <v>74</v>
      </c>
      <c r="BE280" t="s">
        <v>74</v>
      </c>
      <c r="BF280" t="s">
        <v>74</v>
      </c>
      <c r="BG280" t="s">
        <v>74</v>
      </c>
      <c r="BH280" t="s">
        <v>74</v>
      </c>
      <c r="BI280">
        <v>8</v>
      </c>
      <c r="BJ280" t="s">
        <v>842</v>
      </c>
      <c r="BK280" t="s">
        <v>102</v>
      </c>
      <c r="BL280" t="s">
        <v>103</v>
      </c>
      <c r="BM280" t="s">
        <v>5787</v>
      </c>
      <c r="BN280" t="s">
        <v>74</v>
      </c>
      <c r="BO280" t="s">
        <v>74</v>
      </c>
      <c r="BP280" t="s">
        <v>74</v>
      </c>
      <c r="BQ280" t="s">
        <v>74</v>
      </c>
      <c r="BR280" t="s">
        <v>106</v>
      </c>
      <c r="BS280" t="s">
        <v>5788</v>
      </c>
      <c r="BT280" t="str">
        <f>HYPERLINK("https%3A%2F%2Fwww.webofscience.com%2Fwos%2Fwoscc%2Ffull-record%2FWOS:000755820500022","View Full Record in Web of Science")</f>
        <v>View Full Record in Web of Science</v>
      </c>
    </row>
    <row r="281" spans="1:72" x14ac:dyDescent="0.2">
      <c r="A281" t="s">
        <v>72</v>
      </c>
      <c r="B281" t="s">
        <v>5789</v>
      </c>
      <c r="C281" t="s">
        <v>74</v>
      </c>
      <c r="D281" t="s">
        <v>74</v>
      </c>
      <c r="E281" t="s">
        <v>74</v>
      </c>
      <c r="F281" t="s">
        <v>5790</v>
      </c>
      <c r="G281" t="s">
        <v>74</v>
      </c>
      <c r="H281" t="s">
        <v>74</v>
      </c>
      <c r="I281" t="s">
        <v>5791</v>
      </c>
      <c r="J281" t="s">
        <v>828</v>
      </c>
      <c r="K281" t="s">
        <v>74</v>
      </c>
      <c r="L281" t="s">
        <v>74</v>
      </c>
      <c r="M281" t="s">
        <v>78</v>
      </c>
      <c r="N281" t="s">
        <v>79</v>
      </c>
      <c r="O281" t="s">
        <v>74</v>
      </c>
      <c r="P281" t="s">
        <v>74</v>
      </c>
      <c r="Q281" t="s">
        <v>74</v>
      </c>
      <c r="R281" t="s">
        <v>74</v>
      </c>
      <c r="S281" t="s">
        <v>74</v>
      </c>
      <c r="T281" t="s">
        <v>74</v>
      </c>
      <c r="U281" t="s">
        <v>74</v>
      </c>
      <c r="V281" t="s">
        <v>5792</v>
      </c>
      <c r="W281" t="s">
        <v>5793</v>
      </c>
      <c r="X281" t="s">
        <v>74</v>
      </c>
      <c r="Y281" t="s">
        <v>5794</v>
      </c>
      <c r="Z281" t="s">
        <v>5795</v>
      </c>
      <c r="AA281" t="s">
        <v>74</v>
      </c>
      <c r="AB281" t="s">
        <v>74</v>
      </c>
      <c r="AC281" t="s">
        <v>74</v>
      </c>
      <c r="AD281" t="s">
        <v>74</v>
      </c>
      <c r="AE281" t="s">
        <v>74</v>
      </c>
      <c r="AF281" t="s">
        <v>74</v>
      </c>
      <c r="AG281">
        <v>14</v>
      </c>
      <c r="AH281">
        <v>0</v>
      </c>
      <c r="AI281">
        <v>0</v>
      </c>
      <c r="AJ281">
        <v>1</v>
      </c>
      <c r="AK281">
        <v>164</v>
      </c>
      <c r="AL281" t="s">
        <v>835</v>
      </c>
      <c r="AM281" t="s">
        <v>836</v>
      </c>
      <c r="AN281" t="s">
        <v>3254</v>
      </c>
      <c r="AO281" t="s">
        <v>838</v>
      </c>
      <c r="AP281" t="s">
        <v>74</v>
      </c>
      <c r="AQ281" t="s">
        <v>74</v>
      </c>
      <c r="AR281" t="s">
        <v>839</v>
      </c>
      <c r="AS281" t="s">
        <v>840</v>
      </c>
      <c r="AT281" t="s">
        <v>841</v>
      </c>
      <c r="AU281">
        <v>2015</v>
      </c>
      <c r="AV281">
        <v>46</v>
      </c>
      <c r="AW281">
        <v>1</v>
      </c>
      <c r="AX281" t="s">
        <v>74</v>
      </c>
      <c r="AY281" t="s">
        <v>74</v>
      </c>
      <c r="AZ281" t="s">
        <v>74</v>
      </c>
      <c r="BA281" t="s">
        <v>74</v>
      </c>
      <c r="BB281">
        <v>65</v>
      </c>
      <c r="BC281">
        <v>70</v>
      </c>
      <c r="BD281" t="s">
        <v>74</v>
      </c>
      <c r="BE281" t="s">
        <v>74</v>
      </c>
      <c r="BF281" t="s">
        <v>74</v>
      </c>
      <c r="BG281" t="s">
        <v>74</v>
      </c>
      <c r="BH281" t="s">
        <v>74</v>
      </c>
      <c r="BI281">
        <v>6</v>
      </c>
      <c r="BJ281" t="s">
        <v>842</v>
      </c>
      <c r="BK281" t="s">
        <v>102</v>
      </c>
      <c r="BL281" t="s">
        <v>103</v>
      </c>
      <c r="BM281" t="s">
        <v>5796</v>
      </c>
      <c r="BN281" t="s">
        <v>74</v>
      </c>
      <c r="BO281" t="s">
        <v>74</v>
      </c>
      <c r="BP281" t="s">
        <v>74</v>
      </c>
      <c r="BQ281" t="s">
        <v>74</v>
      </c>
      <c r="BR281" t="s">
        <v>106</v>
      </c>
      <c r="BS281" t="s">
        <v>5797</v>
      </c>
      <c r="BT281" t="str">
        <f>HYPERLINK("https%3A%2F%2Fwww.webofscience.com%2Fwos%2Fwoscc%2Ffull-record%2FWOS:000351329200012","View Full Record in Web of Science")</f>
        <v>View Full Record in Web of Science</v>
      </c>
    </row>
    <row r="282" spans="1:72" x14ac:dyDescent="0.2">
      <c r="A282" t="s">
        <v>72</v>
      </c>
      <c r="B282" t="s">
        <v>5798</v>
      </c>
      <c r="C282" t="s">
        <v>74</v>
      </c>
      <c r="D282" t="s">
        <v>74</v>
      </c>
      <c r="E282" t="s">
        <v>74</v>
      </c>
      <c r="F282" t="s">
        <v>5799</v>
      </c>
      <c r="G282" t="s">
        <v>74</v>
      </c>
      <c r="H282" t="s">
        <v>74</v>
      </c>
      <c r="I282" t="s">
        <v>5800</v>
      </c>
      <c r="J282" t="s">
        <v>828</v>
      </c>
      <c r="K282" t="s">
        <v>74</v>
      </c>
      <c r="L282" t="s">
        <v>74</v>
      </c>
      <c r="M282" t="s">
        <v>78</v>
      </c>
      <c r="N282" t="s">
        <v>79</v>
      </c>
      <c r="O282" t="s">
        <v>74</v>
      </c>
      <c r="P282" t="s">
        <v>74</v>
      </c>
      <c r="Q282" t="s">
        <v>74</v>
      </c>
      <c r="R282" t="s">
        <v>74</v>
      </c>
      <c r="S282" t="s">
        <v>74</v>
      </c>
      <c r="T282" t="s">
        <v>74</v>
      </c>
      <c r="U282" t="s">
        <v>74</v>
      </c>
      <c r="V282" t="s">
        <v>5801</v>
      </c>
      <c r="W282" t="s">
        <v>5802</v>
      </c>
      <c r="X282" t="s">
        <v>5803</v>
      </c>
      <c r="Y282" t="s">
        <v>5804</v>
      </c>
      <c r="Z282" t="s">
        <v>74</v>
      </c>
      <c r="AA282" t="s">
        <v>74</v>
      </c>
      <c r="AB282" t="s">
        <v>74</v>
      </c>
      <c r="AC282" t="s">
        <v>74</v>
      </c>
      <c r="AD282" t="s">
        <v>74</v>
      </c>
      <c r="AE282" t="s">
        <v>74</v>
      </c>
      <c r="AF282" t="s">
        <v>74</v>
      </c>
      <c r="AG282">
        <v>96</v>
      </c>
      <c r="AH282">
        <v>21</v>
      </c>
      <c r="AI282">
        <v>27</v>
      </c>
      <c r="AJ282">
        <v>1</v>
      </c>
      <c r="AK282">
        <v>15</v>
      </c>
      <c r="AL282" t="s">
        <v>835</v>
      </c>
      <c r="AM282" t="s">
        <v>836</v>
      </c>
      <c r="AN282" t="s">
        <v>3254</v>
      </c>
      <c r="AO282" t="s">
        <v>838</v>
      </c>
      <c r="AP282" t="s">
        <v>74</v>
      </c>
      <c r="AQ282" t="s">
        <v>74</v>
      </c>
      <c r="AR282" t="s">
        <v>839</v>
      </c>
      <c r="AS282" t="s">
        <v>840</v>
      </c>
      <c r="AT282" t="s">
        <v>3255</v>
      </c>
      <c r="AU282">
        <v>2018</v>
      </c>
      <c r="AV282">
        <v>49</v>
      </c>
      <c r="AW282">
        <v>2</v>
      </c>
      <c r="AX282" t="s">
        <v>74</v>
      </c>
      <c r="AY282" t="s">
        <v>74</v>
      </c>
      <c r="AZ282" t="s">
        <v>1070</v>
      </c>
      <c r="BA282" t="s">
        <v>74</v>
      </c>
      <c r="BB282">
        <v>13</v>
      </c>
      <c r="BC282">
        <v>30</v>
      </c>
      <c r="BD282" t="s">
        <v>74</v>
      </c>
      <c r="BE282" t="s">
        <v>74</v>
      </c>
      <c r="BF282" t="s">
        <v>74</v>
      </c>
      <c r="BG282" t="s">
        <v>74</v>
      </c>
      <c r="BH282" t="s">
        <v>74</v>
      </c>
      <c r="BI282">
        <v>18</v>
      </c>
      <c r="BJ282" t="s">
        <v>842</v>
      </c>
      <c r="BK282" t="s">
        <v>102</v>
      </c>
      <c r="BL282" t="s">
        <v>103</v>
      </c>
      <c r="BM282" t="s">
        <v>3256</v>
      </c>
      <c r="BN282" t="s">
        <v>74</v>
      </c>
      <c r="BO282" t="s">
        <v>74</v>
      </c>
      <c r="BP282" t="s">
        <v>74</v>
      </c>
      <c r="BQ282" t="s">
        <v>74</v>
      </c>
      <c r="BR282" t="s">
        <v>106</v>
      </c>
      <c r="BS282" t="s">
        <v>5805</v>
      </c>
      <c r="BT282" t="str">
        <f>HYPERLINK("https%3A%2F%2Fwww.webofscience.com%2Fwos%2Fwoscc%2Ffull-record%2FWOS:000433525500002","View Full Record in Web of Science")</f>
        <v>View Full Record in Web of Science</v>
      </c>
    </row>
    <row r="283" spans="1:72" x14ac:dyDescent="0.2">
      <c r="A283" t="s">
        <v>72</v>
      </c>
      <c r="B283" t="s">
        <v>5806</v>
      </c>
      <c r="C283" t="s">
        <v>74</v>
      </c>
      <c r="D283" t="s">
        <v>74</v>
      </c>
      <c r="E283" t="s">
        <v>74</v>
      </c>
      <c r="F283" t="s">
        <v>5807</v>
      </c>
      <c r="G283" t="s">
        <v>74</v>
      </c>
      <c r="H283" t="s">
        <v>74</v>
      </c>
      <c r="I283" t="s">
        <v>5808</v>
      </c>
      <c r="J283" t="s">
        <v>5809</v>
      </c>
      <c r="K283" t="s">
        <v>74</v>
      </c>
      <c r="L283" t="s">
        <v>74</v>
      </c>
      <c r="M283" t="s">
        <v>78</v>
      </c>
      <c r="N283" t="s">
        <v>79</v>
      </c>
      <c r="O283" t="s">
        <v>74</v>
      </c>
      <c r="P283" t="s">
        <v>74</v>
      </c>
      <c r="Q283" t="s">
        <v>74</v>
      </c>
      <c r="R283" t="s">
        <v>74</v>
      </c>
      <c r="S283" t="s">
        <v>74</v>
      </c>
      <c r="T283" t="s">
        <v>5810</v>
      </c>
      <c r="U283" t="s">
        <v>5811</v>
      </c>
      <c r="V283" t="s">
        <v>5812</v>
      </c>
      <c r="W283" t="s">
        <v>5813</v>
      </c>
      <c r="X283" t="s">
        <v>5814</v>
      </c>
      <c r="Y283" t="s">
        <v>5815</v>
      </c>
      <c r="Z283" t="s">
        <v>5816</v>
      </c>
      <c r="AA283" t="s">
        <v>5817</v>
      </c>
      <c r="AB283" t="s">
        <v>5818</v>
      </c>
      <c r="AC283" t="s">
        <v>5819</v>
      </c>
      <c r="AD283" t="s">
        <v>5820</v>
      </c>
      <c r="AE283" t="s">
        <v>5821</v>
      </c>
      <c r="AF283" t="s">
        <v>74</v>
      </c>
      <c r="AG283">
        <v>70</v>
      </c>
      <c r="AH283">
        <v>21</v>
      </c>
      <c r="AI283">
        <v>23</v>
      </c>
      <c r="AJ283">
        <v>3</v>
      </c>
      <c r="AK283">
        <v>53</v>
      </c>
      <c r="AL283" t="s">
        <v>2162</v>
      </c>
      <c r="AM283" t="s">
        <v>124</v>
      </c>
      <c r="AN283" t="s">
        <v>2163</v>
      </c>
      <c r="AO283" t="s">
        <v>5822</v>
      </c>
      <c r="AP283" t="s">
        <v>5823</v>
      </c>
      <c r="AQ283" t="s">
        <v>74</v>
      </c>
      <c r="AR283" t="s">
        <v>5824</v>
      </c>
      <c r="AS283" t="s">
        <v>5825</v>
      </c>
      <c r="AT283" t="s">
        <v>2017</v>
      </c>
      <c r="AU283">
        <v>2017</v>
      </c>
      <c r="AV283">
        <v>140</v>
      </c>
      <c r="AW283" t="s">
        <v>74</v>
      </c>
      <c r="AX283" t="s">
        <v>74</v>
      </c>
      <c r="AY283" t="s">
        <v>74</v>
      </c>
      <c r="AZ283" t="s">
        <v>74</v>
      </c>
      <c r="BA283" t="s">
        <v>74</v>
      </c>
      <c r="BB283">
        <v>241</v>
      </c>
      <c r="BC283">
        <v>250</v>
      </c>
      <c r="BD283" t="s">
        <v>74</v>
      </c>
      <c r="BE283" t="s">
        <v>5826</v>
      </c>
      <c r="BF283" t="str">
        <f>HYPERLINK("http://dx.doi.org/10.1016/j.ecolecon.2017.05.018","http://dx.doi.org/10.1016/j.ecolecon.2017.05.018")</f>
        <v>http://dx.doi.org/10.1016/j.ecolecon.2017.05.018</v>
      </c>
      <c r="BG283" t="s">
        <v>74</v>
      </c>
      <c r="BH283" t="s">
        <v>74</v>
      </c>
      <c r="BI283">
        <v>10</v>
      </c>
      <c r="BJ283" t="s">
        <v>5827</v>
      </c>
      <c r="BK283" t="s">
        <v>186</v>
      </c>
      <c r="BL283" t="s">
        <v>5828</v>
      </c>
      <c r="BM283" t="s">
        <v>5829</v>
      </c>
      <c r="BN283" t="s">
        <v>74</v>
      </c>
      <c r="BO283" t="s">
        <v>231</v>
      </c>
      <c r="BP283" t="s">
        <v>74</v>
      </c>
      <c r="BQ283" t="s">
        <v>74</v>
      </c>
      <c r="BR283" t="s">
        <v>106</v>
      </c>
      <c r="BS283" t="s">
        <v>5830</v>
      </c>
      <c r="BT283" t="str">
        <f>HYPERLINK("https%3A%2F%2Fwww.webofscience.com%2Fwos%2Fwoscc%2Ffull-record%2FWOS:000403988100023","View Full Record in Web of Science")</f>
        <v>View Full Record in Web of Science</v>
      </c>
    </row>
    <row r="284" spans="1:72" x14ac:dyDescent="0.2">
      <c r="A284" t="s">
        <v>72</v>
      </c>
      <c r="B284" t="s">
        <v>5831</v>
      </c>
      <c r="C284" t="s">
        <v>74</v>
      </c>
      <c r="D284" t="s">
        <v>74</v>
      </c>
      <c r="E284" t="s">
        <v>74</v>
      </c>
      <c r="F284" t="s">
        <v>5832</v>
      </c>
      <c r="G284" t="s">
        <v>74</v>
      </c>
      <c r="H284" t="s">
        <v>74</v>
      </c>
      <c r="I284" t="s">
        <v>5833</v>
      </c>
      <c r="J284" t="s">
        <v>2149</v>
      </c>
      <c r="K284" t="s">
        <v>74</v>
      </c>
      <c r="L284" t="s">
        <v>74</v>
      </c>
      <c r="M284" t="s">
        <v>78</v>
      </c>
      <c r="N284" t="s">
        <v>79</v>
      </c>
      <c r="O284" t="s">
        <v>74</v>
      </c>
      <c r="P284" t="s">
        <v>74</v>
      </c>
      <c r="Q284" t="s">
        <v>74</v>
      </c>
      <c r="R284" t="s">
        <v>74</v>
      </c>
      <c r="S284" t="s">
        <v>74</v>
      </c>
      <c r="T284" t="s">
        <v>5834</v>
      </c>
      <c r="U284" t="s">
        <v>5835</v>
      </c>
      <c r="V284" t="s">
        <v>5836</v>
      </c>
      <c r="W284" t="s">
        <v>5837</v>
      </c>
      <c r="X284" t="s">
        <v>74</v>
      </c>
      <c r="Y284" t="s">
        <v>5838</v>
      </c>
      <c r="Z284" t="s">
        <v>5839</v>
      </c>
      <c r="AA284" t="s">
        <v>74</v>
      </c>
      <c r="AB284" t="s">
        <v>5840</v>
      </c>
      <c r="AC284" t="s">
        <v>5841</v>
      </c>
      <c r="AD284" t="s">
        <v>5842</v>
      </c>
      <c r="AE284" t="s">
        <v>5843</v>
      </c>
      <c r="AF284" t="s">
        <v>74</v>
      </c>
      <c r="AG284">
        <v>52</v>
      </c>
      <c r="AH284">
        <v>37</v>
      </c>
      <c r="AI284">
        <v>41</v>
      </c>
      <c r="AJ284">
        <v>6</v>
      </c>
      <c r="AK284">
        <v>106</v>
      </c>
      <c r="AL284" t="s">
        <v>123</v>
      </c>
      <c r="AM284" t="s">
        <v>124</v>
      </c>
      <c r="AN284" t="s">
        <v>5844</v>
      </c>
      <c r="AO284" t="s">
        <v>2164</v>
      </c>
      <c r="AP284" t="s">
        <v>2165</v>
      </c>
      <c r="AQ284" t="s">
        <v>74</v>
      </c>
      <c r="AR284" t="s">
        <v>2166</v>
      </c>
      <c r="AS284" t="s">
        <v>2167</v>
      </c>
      <c r="AT284" t="s">
        <v>459</v>
      </c>
      <c r="AU284">
        <v>2020</v>
      </c>
      <c r="AV284">
        <v>196</v>
      </c>
      <c r="AW284" t="s">
        <v>74</v>
      </c>
      <c r="AX284" t="s">
        <v>74</v>
      </c>
      <c r="AY284" t="s">
        <v>74</v>
      </c>
      <c r="AZ284" t="s">
        <v>74</v>
      </c>
      <c r="BA284" t="s">
        <v>74</v>
      </c>
      <c r="BB284" t="s">
        <v>74</v>
      </c>
      <c r="BC284" t="s">
        <v>74</v>
      </c>
      <c r="BD284">
        <v>104472</v>
      </c>
      <c r="BE284" t="s">
        <v>5845</v>
      </c>
      <c r="BF284" t="str">
        <f>HYPERLINK("http://dx.doi.org/10.1016/j.still.2019.104472","http://dx.doi.org/10.1016/j.still.2019.104472")</f>
        <v>http://dx.doi.org/10.1016/j.still.2019.104472</v>
      </c>
      <c r="BG284" t="s">
        <v>74</v>
      </c>
      <c r="BH284" t="s">
        <v>74</v>
      </c>
      <c r="BI284">
        <v>10</v>
      </c>
      <c r="BJ284" t="s">
        <v>256</v>
      </c>
      <c r="BK284" t="s">
        <v>102</v>
      </c>
      <c r="BL284" t="s">
        <v>103</v>
      </c>
      <c r="BM284" t="s">
        <v>4256</v>
      </c>
      <c r="BN284" t="s">
        <v>74</v>
      </c>
      <c r="BO284" t="s">
        <v>74</v>
      </c>
      <c r="BP284" t="s">
        <v>74</v>
      </c>
      <c r="BQ284" t="s">
        <v>74</v>
      </c>
      <c r="BR284" t="s">
        <v>106</v>
      </c>
      <c r="BS284" t="s">
        <v>5846</v>
      </c>
      <c r="BT284" t="str">
        <f>HYPERLINK("https%3A%2F%2Fwww.webofscience.com%2Fwos%2Fwoscc%2Ffull-record%2FWOS:000501416400032","View Full Record in Web of Science")</f>
        <v>View Full Record in Web of Science</v>
      </c>
    </row>
    <row r="285" spans="1:72" x14ac:dyDescent="0.2">
      <c r="A285" t="s">
        <v>72</v>
      </c>
      <c r="B285" t="s">
        <v>5847</v>
      </c>
      <c r="C285" t="s">
        <v>74</v>
      </c>
      <c r="D285" t="s">
        <v>74</v>
      </c>
      <c r="E285" t="s">
        <v>74</v>
      </c>
      <c r="F285" t="s">
        <v>5848</v>
      </c>
      <c r="G285" t="s">
        <v>74</v>
      </c>
      <c r="H285" t="s">
        <v>74</v>
      </c>
      <c r="I285" t="s">
        <v>5849</v>
      </c>
      <c r="J285" t="s">
        <v>5850</v>
      </c>
      <c r="K285" t="s">
        <v>74</v>
      </c>
      <c r="L285" t="s">
        <v>74</v>
      </c>
      <c r="M285" t="s">
        <v>78</v>
      </c>
      <c r="N285" t="s">
        <v>79</v>
      </c>
      <c r="O285" t="s">
        <v>74</v>
      </c>
      <c r="P285" t="s">
        <v>74</v>
      </c>
      <c r="Q285" t="s">
        <v>74</v>
      </c>
      <c r="R285" t="s">
        <v>74</v>
      </c>
      <c r="S285" t="s">
        <v>74</v>
      </c>
      <c r="T285" t="s">
        <v>5851</v>
      </c>
      <c r="U285" t="s">
        <v>5852</v>
      </c>
      <c r="V285" t="s">
        <v>5853</v>
      </c>
      <c r="W285" t="s">
        <v>5854</v>
      </c>
      <c r="X285" t="s">
        <v>5855</v>
      </c>
      <c r="Y285" t="s">
        <v>5856</v>
      </c>
      <c r="Z285" t="s">
        <v>5857</v>
      </c>
      <c r="AA285" t="s">
        <v>5858</v>
      </c>
      <c r="AB285" t="s">
        <v>5859</v>
      </c>
      <c r="AC285" t="s">
        <v>5860</v>
      </c>
      <c r="AD285" t="s">
        <v>1591</v>
      </c>
      <c r="AE285" t="s">
        <v>5861</v>
      </c>
      <c r="AF285" t="s">
        <v>74</v>
      </c>
      <c r="AG285">
        <v>47</v>
      </c>
      <c r="AH285">
        <v>6</v>
      </c>
      <c r="AI285">
        <v>7</v>
      </c>
      <c r="AJ285">
        <v>3</v>
      </c>
      <c r="AK285">
        <v>55</v>
      </c>
      <c r="AL285" t="s">
        <v>5862</v>
      </c>
      <c r="AM285" t="s">
        <v>5863</v>
      </c>
      <c r="AN285" t="s">
        <v>5864</v>
      </c>
      <c r="AO285" t="s">
        <v>5865</v>
      </c>
      <c r="AP285" t="s">
        <v>5866</v>
      </c>
      <c r="AQ285" t="s">
        <v>74</v>
      </c>
      <c r="AR285" t="s">
        <v>5867</v>
      </c>
      <c r="AS285" t="s">
        <v>5868</v>
      </c>
      <c r="AT285" t="s">
        <v>74</v>
      </c>
      <c r="AU285">
        <v>2016</v>
      </c>
      <c r="AV285">
        <v>14</v>
      </c>
      <c r="AW285">
        <v>3</v>
      </c>
      <c r="AX285" t="s">
        <v>74</v>
      </c>
      <c r="AY285" t="s">
        <v>74</v>
      </c>
      <c r="AZ285" t="s">
        <v>74</v>
      </c>
      <c r="BA285" t="s">
        <v>74</v>
      </c>
      <c r="BB285">
        <v>21</v>
      </c>
      <c r="BC285">
        <v>32</v>
      </c>
      <c r="BD285" t="s">
        <v>74</v>
      </c>
      <c r="BE285" t="s">
        <v>5869</v>
      </c>
      <c r="BF285" t="str">
        <f>HYPERLINK("http://dx.doi.org/10.15666/aeer/1403_021032","http://dx.doi.org/10.15666/aeer/1403_021032")</f>
        <v>http://dx.doi.org/10.15666/aeer/1403_021032</v>
      </c>
      <c r="BG285" t="s">
        <v>74</v>
      </c>
      <c r="BH285" t="s">
        <v>74</v>
      </c>
      <c r="BI285">
        <v>12</v>
      </c>
      <c r="BJ285" t="s">
        <v>5870</v>
      </c>
      <c r="BK285" t="s">
        <v>102</v>
      </c>
      <c r="BL285" t="s">
        <v>568</v>
      </c>
      <c r="BM285" t="s">
        <v>5871</v>
      </c>
      <c r="BN285" t="s">
        <v>74</v>
      </c>
      <c r="BO285" t="s">
        <v>3889</v>
      </c>
      <c r="BP285" t="s">
        <v>74</v>
      </c>
      <c r="BQ285" t="s">
        <v>74</v>
      </c>
      <c r="BR285" t="s">
        <v>106</v>
      </c>
      <c r="BS285" t="s">
        <v>5872</v>
      </c>
      <c r="BT285" t="str">
        <f>HYPERLINK("https%3A%2F%2Fwww.webofscience.com%2Fwos%2Fwoscc%2Ffull-record%2FWOS:000383084700002","View Full Record in Web of Science")</f>
        <v>View Full Record in Web of Science</v>
      </c>
    </row>
    <row r="286" spans="1:72" x14ac:dyDescent="0.2">
      <c r="A286" t="s">
        <v>72</v>
      </c>
      <c r="B286" t="s">
        <v>5873</v>
      </c>
      <c r="C286" t="s">
        <v>74</v>
      </c>
      <c r="D286" t="s">
        <v>74</v>
      </c>
      <c r="E286" t="s">
        <v>74</v>
      </c>
      <c r="F286" t="s">
        <v>5874</v>
      </c>
      <c r="G286" t="s">
        <v>74</v>
      </c>
      <c r="H286" t="s">
        <v>74</v>
      </c>
      <c r="I286" t="s">
        <v>5875</v>
      </c>
      <c r="J286" t="s">
        <v>5876</v>
      </c>
      <c r="K286" t="s">
        <v>74</v>
      </c>
      <c r="L286" t="s">
        <v>74</v>
      </c>
      <c r="M286" t="s">
        <v>78</v>
      </c>
      <c r="N286" t="s">
        <v>79</v>
      </c>
      <c r="O286" t="s">
        <v>74</v>
      </c>
      <c r="P286" t="s">
        <v>74</v>
      </c>
      <c r="Q286" t="s">
        <v>74</v>
      </c>
      <c r="R286" t="s">
        <v>74</v>
      </c>
      <c r="S286" t="s">
        <v>74</v>
      </c>
      <c r="T286" t="s">
        <v>5877</v>
      </c>
      <c r="U286" t="s">
        <v>5878</v>
      </c>
      <c r="V286" t="s">
        <v>5879</v>
      </c>
      <c r="W286" t="s">
        <v>5880</v>
      </c>
      <c r="X286" t="s">
        <v>5881</v>
      </c>
      <c r="Y286" t="s">
        <v>5882</v>
      </c>
      <c r="Z286" t="s">
        <v>5883</v>
      </c>
      <c r="AA286" t="s">
        <v>5884</v>
      </c>
      <c r="AB286" t="s">
        <v>74</v>
      </c>
      <c r="AC286" t="s">
        <v>5885</v>
      </c>
      <c r="AD286" t="s">
        <v>5886</v>
      </c>
      <c r="AE286" t="s">
        <v>5887</v>
      </c>
      <c r="AF286" t="s">
        <v>74</v>
      </c>
      <c r="AG286">
        <v>69</v>
      </c>
      <c r="AH286">
        <v>32</v>
      </c>
      <c r="AI286">
        <v>34</v>
      </c>
      <c r="AJ286">
        <v>30</v>
      </c>
      <c r="AK286">
        <v>254</v>
      </c>
      <c r="AL286" t="s">
        <v>123</v>
      </c>
      <c r="AM286" t="s">
        <v>124</v>
      </c>
      <c r="AN286" t="s">
        <v>125</v>
      </c>
      <c r="AO286" t="s">
        <v>5888</v>
      </c>
      <c r="AP286" t="s">
        <v>5889</v>
      </c>
      <c r="AQ286" t="s">
        <v>74</v>
      </c>
      <c r="AR286" t="s">
        <v>5890</v>
      </c>
      <c r="AS286" t="s">
        <v>5891</v>
      </c>
      <c r="AT286" t="s">
        <v>1612</v>
      </c>
      <c r="AU286">
        <v>2023</v>
      </c>
      <c r="AV286">
        <v>301</v>
      </c>
      <c r="AW286" t="s">
        <v>74</v>
      </c>
      <c r="AX286" t="s">
        <v>74</v>
      </c>
      <c r="AY286" t="s">
        <v>74</v>
      </c>
      <c r="AZ286" t="s">
        <v>74</v>
      </c>
      <c r="BA286" t="s">
        <v>74</v>
      </c>
      <c r="BB286" t="s">
        <v>74</v>
      </c>
      <c r="BC286" t="s">
        <v>74</v>
      </c>
      <c r="BD286">
        <v>109035</v>
      </c>
      <c r="BE286" t="s">
        <v>5892</v>
      </c>
      <c r="BF286" t="str">
        <f>HYPERLINK("http://dx.doi.org/10.1016/j.fcr.2023.109035","http://dx.doi.org/10.1016/j.fcr.2023.109035")</f>
        <v>http://dx.doi.org/10.1016/j.fcr.2023.109035</v>
      </c>
      <c r="BG286" t="s">
        <v>74</v>
      </c>
      <c r="BH286" t="s">
        <v>4519</v>
      </c>
      <c r="BI286">
        <v>14</v>
      </c>
      <c r="BJ286" t="s">
        <v>1357</v>
      </c>
      <c r="BK286" t="s">
        <v>102</v>
      </c>
      <c r="BL286" t="s">
        <v>103</v>
      </c>
      <c r="BM286" t="s">
        <v>5893</v>
      </c>
      <c r="BN286" t="s">
        <v>74</v>
      </c>
      <c r="BO286" t="s">
        <v>74</v>
      </c>
      <c r="BP286" t="s">
        <v>74</v>
      </c>
      <c r="BQ286" t="s">
        <v>74</v>
      </c>
      <c r="BR286" t="s">
        <v>106</v>
      </c>
      <c r="BS286" t="s">
        <v>5894</v>
      </c>
      <c r="BT286" t="str">
        <f>HYPERLINK("https%3A%2F%2Fwww.webofscience.com%2Fwos%2Fwoscc%2Ffull-record%2FWOS:001038849800001","View Full Record in Web of Science")</f>
        <v>View Full Record in Web of Science</v>
      </c>
    </row>
    <row r="287" spans="1:72" x14ac:dyDescent="0.2">
      <c r="A287" t="s">
        <v>72</v>
      </c>
      <c r="B287" t="s">
        <v>5895</v>
      </c>
      <c r="C287" t="s">
        <v>74</v>
      </c>
      <c r="D287" t="s">
        <v>74</v>
      </c>
      <c r="E287" t="s">
        <v>74</v>
      </c>
      <c r="F287" t="s">
        <v>5896</v>
      </c>
      <c r="G287" t="s">
        <v>74</v>
      </c>
      <c r="H287" t="s">
        <v>74</v>
      </c>
      <c r="I287" t="s">
        <v>5897</v>
      </c>
      <c r="J287" t="s">
        <v>5898</v>
      </c>
      <c r="K287" t="s">
        <v>74</v>
      </c>
      <c r="L287" t="s">
        <v>74</v>
      </c>
      <c r="M287" t="s">
        <v>78</v>
      </c>
      <c r="N287" t="s">
        <v>79</v>
      </c>
      <c r="O287" t="s">
        <v>74</v>
      </c>
      <c r="P287" t="s">
        <v>74</v>
      </c>
      <c r="Q287" t="s">
        <v>74</v>
      </c>
      <c r="R287" t="s">
        <v>74</v>
      </c>
      <c r="S287" t="s">
        <v>74</v>
      </c>
      <c r="T287" t="s">
        <v>5899</v>
      </c>
      <c r="U287" t="s">
        <v>5900</v>
      </c>
      <c r="V287" t="s">
        <v>5901</v>
      </c>
      <c r="W287" t="s">
        <v>5902</v>
      </c>
      <c r="X287" t="s">
        <v>5903</v>
      </c>
      <c r="Y287" t="s">
        <v>5904</v>
      </c>
      <c r="Z287" t="s">
        <v>5905</v>
      </c>
      <c r="AA287" t="s">
        <v>5906</v>
      </c>
      <c r="AB287" t="s">
        <v>5907</v>
      </c>
      <c r="AC287" t="s">
        <v>5908</v>
      </c>
      <c r="AD287" t="s">
        <v>5909</v>
      </c>
      <c r="AE287" t="s">
        <v>5910</v>
      </c>
      <c r="AF287" t="s">
        <v>74</v>
      </c>
      <c r="AG287">
        <v>40</v>
      </c>
      <c r="AH287">
        <v>38</v>
      </c>
      <c r="AI287">
        <v>38</v>
      </c>
      <c r="AJ287">
        <v>10</v>
      </c>
      <c r="AK287">
        <v>43</v>
      </c>
      <c r="AL287" t="s">
        <v>123</v>
      </c>
      <c r="AM287" t="s">
        <v>124</v>
      </c>
      <c r="AN287" t="s">
        <v>125</v>
      </c>
      <c r="AO287" t="s">
        <v>5911</v>
      </c>
      <c r="AP287" t="s">
        <v>5912</v>
      </c>
      <c r="AQ287" t="s">
        <v>74</v>
      </c>
      <c r="AR287" t="s">
        <v>5913</v>
      </c>
      <c r="AS287" t="s">
        <v>5914</v>
      </c>
      <c r="AT287" t="s">
        <v>2017</v>
      </c>
      <c r="AU287">
        <v>2023</v>
      </c>
      <c r="AV287">
        <v>193</v>
      </c>
      <c r="AW287" t="s">
        <v>74</v>
      </c>
      <c r="AX287" t="s">
        <v>74</v>
      </c>
      <c r="AY287" t="s">
        <v>74</v>
      </c>
      <c r="AZ287" t="s">
        <v>74</v>
      </c>
      <c r="BA287" t="s">
        <v>74</v>
      </c>
      <c r="BB287" t="s">
        <v>74</v>
      </c>
      <c r="BC287" t="s">
        <v>74</v>
      </c>
      <c r="BD287">
        <v>109149</v>
      </c>
      <c r="BE287" t="s">
        <v>5915</v>
      </c>
      <c r="BF287" t="str">
        <f>HYPERLINK("http://dx.doi.org/10.1016/j.microc.2023.109149","http://dx.doi.org/10.1016/j.microc.2023.109149")</f>
        <v>http://dx.doi.org/10.1016/j.microc.2023.109149</v>
      </c>
      <c r="BG287" t="s">
        <v>74</v>
      </c>
      <c r="BH287" t="s">
        <v>1754</v>
      </c>
      <c r="BI287">
        <v>7</v>
      </c>
      <c r="BJ287" t="s">
        <v>5916</v>
      </c>
      <c r="BK287" t="s">
        <v>102</v>
      </c>
      <c r="BL287" t="s">
        <v>2499</v>
      </c>
      <c r="BM287" t="s">
        <v>5917</v>
      </c>
      <c r="BN287" t="s">
        <v>74</v>
      </c>
      <c r="BO287" t="s">
        <v>74</v>
      </c>
      <c r="BP287" t="s">
        <v>74</v>
      </c>
      <c r="BQ287" t="s">
        <v>74</v>
      </c>
      <c r="BR287" t="s">
        <v>106</v>
      </c>
      <c r="BS287" t="s">
        <v>5918</v>
      </c>
      <c r="BT287" t="str">
        <f>HYPERLINK("https%3A%2F%2Fwww.webofscience.com%2Fwos%2Fwoscc%2Ffull-record%2FWOS:001053130300001","View Full Record in Web of Science")</f>
        <v>View Full Record in Web of Science</v>
      </c>
    </row>
    <row r="288" spans="1:72" x14ac:dyDescent="0.2">
      <c r="A288" t="s">
        <v>72</v>
      </c>
      <c r="B288" t="s">
        <v>5919</v>
      </c>
      <c r="C288" t="s">
        <v>74</v>
      </c>
      <c r="D288" t="s">
        <v>74</v>
      </c>
      <c r="E288" t="s">
        <v>74</v>
      </c>
      <c r="F288" t="s">
        <v>5920</v>
      </c>
      <c r="G288" t="s">
        <v>74</v>
      </c>
      <c r="H288" t="s">
        <v>74</v>
      </c>
      <c r="I288" t="s">
        <v>5921</v>
      </c>
      <c r="J288" t="s">
        <v>138</v>
      </c>
      <c r="K288" t="s">
        <v>74</v>
      </c>
      <c r="L288" t="s">
        <v>74</v>
      </c>
      <c r="M288" t="s">
        <v>78</v>
      </c>
      <c r="N288" t="s">
        <v>79</v>
      </c>
      <c r="O288" t="s">
        <v>74</v>
      </c>
      <c r="P288" t="s">
        <v>74</v>
      </c>
      <c r="Q288" t="s">
        <v>74</v>
      </c>
      <c r="R288" t="s">
        <v>74</v>
      </c>
      <c r="S288" t="s">
        <v>74</v>
      </c>
      <c r="T288" t="s">
        <v>74</v>
      </c>
      <c r="U288" t="s">
        <v>5922</v>
      </c>
      <c r="V288" t="s">
        <v>5923</v>
      </c>
      <c r="W288" t="s">
        <v>5924</v>
      </c>
      <c r="X288" t="s">
        <v>5925</v>
      </c>
      <c r="Y288" t="s">
        <v>5926</v>
      </c>
      <c r="Z288" t="s">
        <v>5927</v>
      </c>
      <c r="AA288" t="s">
        <v>5928</v>
      </c>
      <c r="AB288" t="s">
        <v>5929</v>
      </c>
      <c r="AC288" t="s">
        <v>5930</v>
      </c>
      <c r="AD288" t="s">
        <v>5931</v>
      </c>
      <c r="AE288" t="s">
        <v>5932</v>
      </c>
      <c r="AF288" t="s">
        <v>74</v>
      </c>
      <c r="AG288">
        <v>51</v>
      </c>
      <c r="AH288">
        <v>1</v>
      </c>
      <c r="AI288">
        <v>1</v>
      </c>
      <c r="AJ288">
        <v>5</v>
      </c>
      <c r="AK288">
        <v>20</v>
      </c>
      <c r="AL288" t="s">
        <v>150</v>
      </c>
      <c r="AM288" t="s">
        <v>151</v>
      </c>
      <c r="AN288" t="s">
        <v>152</v>
      </c>
      <c r="AO288" t="s">
        <v>153</v>
      </c>
      <c r="AP288" t="s">
        <v>74</v>
      </c>
      <c r="AQ288" t="s">
        <v>74</v>
      </c>
      <c r="AR288" t="s">
        <v>138</v>
      </c>
      <c r="AS288" t="s">
        <v>154</v>
      </c>
      <c r="AT288" t="s">
        <v>5933</v>
      </c>
      <c r="AU288">
        <v>2024</v>
      </c>
      <c r="AV288">
        <v>19</v>
      </c>
      <c r="AW288">
        <v>3</v>
      </c>
      <c r="AX288" t="s">
        <v>74</v>
      </c>
      <c r="AY288" t="s">
        <v>74</v>
      </c>
      <c r="AZ288" t="s">
        <v>74</v>
      </c>
      <c r="BA288" t="s">
        <v>74</v>
      </c>
      <c r="BB288" t="s">
        <v>74</v>
      </c>
      <c r="BC288" t="s">
        <v>74</v>
      </c>
      <c r="BD288" t="s">
        <v>5934</v>
      </c>
      <c r="BE288" t="s">
        <v>5935</v>
      </c>
      <c r="BF288" t="str">
        <f>HYPERLINK("http://dx.doi.org/10.1371/journal.pone.0293120","http://dx.doi.org/10.1371/journal.pone.0293120")</f>
        <v>http://dx.doi.org/10.1371/journal.pone.0293120</v>
      </c>
      <c r="BG288" t="s">
        <v>74</v>
      </c>
      <c r="BH288" t="s">
        <v>74</v>
      </c>
      <c r="BI288">
        <v>21</v>
      </c>
      <c r="BJ288" t="s">
        <v>158</v>
      </c>
      <c r="BK288" t="s">
        <v>102</v>
      </c>
      <c r="BL288" t="s">
        <v>159</v>
      </c>
      <c r="BM288" t="s">
        <v>5936</v>
      </c>
      <c r="BN288">
        <v>38489326</v>
      </c>
      <c r="BO288" t="s">
        <v>161</v>
      </c>
      <c r="BP288" t="s">
        <v>74</v>
      </c>
      <c r="BQ288" t="s">
        <v>74</v>
      </c>
      <c r="BR288" t="s">
        <v>106</v>
      </c>
      <c r="BS288" t="s">
        <v>5937</v>
      </c>
      <c r="BT288" t="str">
        <f>HYPERLINK("https%3A%2F%2Fwww.webofscience.com%2Fwos%2Fwoscc%2Ffull-record%2FWOS:001190798000047","View Full Record in Web of Science")</f>
        <v>View Full Record in Web of Science</v>
      </c>
    </row>
    <row r="289" spans="1:72" x14ac:dyDescent="0.2">
      <c r="A289" t="s">
        <v>72</v>
      </c>
      <c r="B289" t="s">
        <v>5938</v>
      </c>
      <c r="C289" t="s">
        <v>74</v>
      </c>
      <c r="D289" t="s">
        <v>74</v>
      </c>
      <c r="E289" t="s">
        <v>74</v>
      </c>
      <c r="F289" t="s">
        <v>5939</v>
      </c>
      <c r="G289" t="s">
        <v>74</v>
      </c>
      <c r="H289" t="s">
        <v>74</v>
      </c>
      <c r="I289" t="s">
        <v>5940</v>
      </c>
      <c r="J289" t="s">
        <v>1526</v>
      </c>
      <c r="K289" t="s">
        <v>74</v>
      </c>
      <c r="L289" t="s">
        <v>74</v>
      </c>
      <c r="M289" t="s">
        <v>78</v>
      </c>
      <c r="N289" t="s">
        <v>79</v>
      </c>
      <c r="O289" t="s">
        <v>74</v>
      </c>
      <c r="P289" t="s">
        <v>74</v>
      </c>
      <c r="Q289" t="s">
        <v>74</v>
      </c>
      <c r="R289" t="s">
        <v>74</v>
      </c>
      <c r="S289" t="s">
        <v>74</v>
      </c>
      <c r="T289" t="s">
        <v>5941</v>
      </c>
      <c r="U289" t="s">
        <v>5942</v>
      </c>
      <c r="V289" t="s">
        <v>5943</v>
      </c>
      <c r="W289" t="s">
        <v>5944</v>
      </c>
      <c r="X289" t="s">
        <v>5945</v>
      </c>
      <c r="Y289" t="s">
        <v>5946</v>
      </c>
      <c r="Z289" t="s">
        <v>5947</v>
      </c>
      <c r="AA289" t="s">
        <v>5948</v>
      </c>
      <c r="AB289" t="s">
        <v>5949</v>
      </c>
      <c r="AC289" t="s">
        <v>5950</v>
      </c>
      <c r="AD289" t="s">
        <v>5950</v>
      </c>
      <c r="AE289" t="s">
        <v>5951</v>
      </c>
      <c r="AF289" t="s">
        <v>74</v>
      </c>
      <c r="AG289">
        <v>53</v>
      </c>
      <c r="AH289">
        <v>41</v>
      </c>
      <c r="AI289">
        <v>45</v>
      </c>
      <c r="AJ289">
        <v>3</v>
      </c>
      <c r="AK289">
        <v>128</v>
      </c>
      <c r="AL289" t="s">
        <v>176</v>
      </c>
      <c r="AM289" t="s">
        <v>177</v>
      </c>
      <c r="AN289" t="s">
        <v>178</v>
      </c>
      <c r="AO289" t="s">
        <v>1538</v>
      </c>
      <c r="AP289" t="s">
        <v>1539</v>
      </c>
      <c r="AQ289" t="s">
        <v>74</v>
      </c>
      <c r="AR289" t="s">
        <v>1540</v>
      </c>
      <c r="AS289" t="s">
        <v>1541</v>
      </c>
      <c r="AT289" t="s">
        <v>3077</v>
      </c>
      <c r="AU289">
        <v>2014</v>
      </c>
      <c r="AV289">
        <v>73</v>
      </c>
      <c r="AW289" t="s">
        <v>74</v>
      </c>
      <c r="AX289" t="s">
        <v>74</v>
      </c>
      <c r="AY289" t="s">
        <v>74</v>
      </c>
      <c r="AZ289" t="s">
        <v>74</v>
      </c>
      <c r="BA289" t="s">
        <v>74</v>
      </c>
      <c r="BB289">
        <v>31</v>
      </c>
      <c r="BC289">
        <v>39</v>
      </c>
      <c r="BD289" t="s">
        <v>74</v>
      </c>
      <c r="BE289" t="s">
        <v>5952</v>
      </c>
      <c r="BF289" t="str">
        <f>HYPERLINK("http://dx.doi.org/10.1016/j.jclepro.2013.12.027","http://dx.doi.org/10.1016/j.jclepro.2013.12.027")</f>
        <v>http://dx.doi.org/10.1016/j.jclepro.2013.12.027</v>
      </c>
      <c r="BG289" t="s">
        <v>74</v>
      </c>
      <c r="BH289" t="s">
        <v>74</v>
      </c>
      <c r="BI289">
        <v>9</v>
      </c>
      <c r="BJ289" t="s">
        <v>1543</v>
      </c>
      <c r="BK289" t="s">
        <v>102</v>
      </c>
      <c r="BL289" t="s">
        <v>1544</v>
      </c>
      <c r="BM289" t="s">
        <v>5953</v>
      </c>
      <c r="BN289" t="s">
        <v>74</v>
      </c>
      <c r="BO289" t="s">
        <v>74</v>
      </c>
      <c r="BP289" t="s">
        <v>74</v>
      </c>
      <c r="BQ289" t="s">
        <v>74</v>
      </c>
      <c r="BR289" t="s">
        <v>106</v>
      </c>
      <c r="BS289" t="s">
        <v>5954</v>
      </c>
      <c r="BT289" t="str">
        <f>HYPERLINK("https%3A%2F%2Fwww.webofscience.com%2Fwos%2Fwoscc%2Ffull-record%2FWOS:000337852000005","View Full Record in Web of Science")</f>
        <v>View Full Record in Web of Science</v>
      </c>
    </row>
    <row r="290" spans="1:72" x14ac:dyDescent="0.2">
      <c r="A290" t="s">
        <v>72</v>
      </c>
      <c r="B290" t="s">
        <v>5955</v>
      </c>
      <c r="C290" t="s">
        <v>74</v>
      </c>
      <c r="D290" t="s">
        <v>74</v>
      </c>
      <c r="E290" t="s">
        <v>74</v>
      </c>
      <c r="F290" t="s">
        <v>5956</v>
      </c>
      <c r="G290" t="s">
        <v>74</v>
      </c>
      <c r="H290" t="s">
        <v>74</v>
      </c>
      <c r="I290" t="s">
        <v>5957</v>
      </c>
      <c r="J290" t="s">
        <v>4303</v>
      </c>
      <c r="K290" t="s">
        <v>74</v>
      </c>
      <c r="L290" t="s">
        <v>74</v>
      </c>
      <c r="M290" t="s">
        <v>78</v>
      </c>
      <c r="N290" t="s">
        <v>79</v>
      </c>
      <c r="O290" t="s">
        <v>74</v>
      </c>
      <c r="P290" t="s">
        <v>74</v>
      </c>
      <c r="Q290" t="s">
        <v>74</v>
      </c>
      <c r="R290" t="s">
        <v>74</v>
      </c>
      <c r="S290" t="s">
        <v>74</v>
      </c>
      <c r="T290" t="s">
        <v>5958</v>
      </c>
      <c r="U290" t="s">
        <v>5959</v>
      </c>
      <c r="V290" t="s">
        <v>5960</v>
      </c>
      <c r="W290" t="s">
        <v>5961</v>
      </c>
      <c r="X290" t="s">
        <v>5962</v>
      </c>
      <c r="Y290" t="s">
        <v>5963</v>
      </c>
      <c r="Z290" t="s">
        <v>5964</v>
      </c>
      <c r="AA290" t="s">
        <v>5965</v>
      </c>
      <c r="AB290" t="s">
        <v>5966</v>
      </c>
      <c r="AC290" t="s">
        <v>5967</v>
      </c>
      <c r="AD290" t="s">
        <v>5968</v>
      </c>
      <c r="AE290" t="s">
        <v>5969</v>
      </c>
      <c r="AF290" t="s">
        <v>74</v>
      </c>
      <c r="AG290">
        <v>98</v>
      </c>
      <c r="AH290">
        <v>21</v>
      </c>
      <c r="AI290">
        <v>25</v>
      </c>
      <c r="AJ290">
        <v>3</v>
      </c>
      <c r="AK290">
        <v>113</v>
      </c>
      <c r="AL290" t="s">
        <v>629</v>
      </c>
      <c r="AM290" t="s">
        <v>630</v>
      </c>
      <c r="AN290" t="s">
        <v>631</v>
      </c>
      <c r="AO290" t="s">
        <v>4313</v>
      </c>
      <c r="AP290" t="s">
        <v>4314</v>
      </c>
      <c r="AQ290" t="s">
        <v>74</v>
      </c>
      <c r="AR290" t="s">
        <v>4303</v>
      </c>
      <c r="AS290" t="s">
        <v>4315</v>
      </c>
      <c r="AT290" t="s">
        <v>281</v>
      </c>
      <c r="AU290">
        <v>2023</v>
      </c>
      <c r="AV290">
        <v>33</v>
      </c>
      <c r="AW290">
        <v>3</v>
      </c>
      <c r="AX290" t="s">
        <v>74</v>
      </c>
      <c r="AY290" t="s">
        <v>74</v>
      </c>
      <c r="AZ290" t="s">
        <v>74</v>
      </c>
      <c r="BA290" t="s">
        <v>74</v>
      </c>
      <c r="BB290">
        <v>448</v>
      </c>
      <c r="BC290">
        <v>462</v>
      </c>
      <c r="BD290" t="s">
        <v>74</v>
      </c>
      <c r="BE290" t="s">
        <v>5970</v>
      </c>
      <c r="BF290" t="str">
        <f>HYPERLINK("http://dx.doi.org/10.1016/j.pedsph.2022.06.045","http://dx.doi.org/10.1016/j.pedsph.2022.06.045")</f>
        <v>http://dx.doi.org/10.1016/j.pedsph.2022.06.045</v>
      </c>
      <c r="BG290" t="s">
        <v>74</v>
      </c>
      <c r="BH290" t="s">
        <v>5971</v>
      </c>
      <c r="BI290">
        <v>15</v>
      </c>
      <c r="BJ290" t="s">
        <v>256</v>
      </c>
      <c r="BK290" t="s">
        <v>102</v>
      </c>
      <c r="BL290" t="s">
        <v>103</v>
      </c>
      <c r="BM290" t="s">
        <v>5972</v>
      </c>
      <c r="BN290" t="s">
        <v>74</v>
      </c>
      <c r="BO290" t="s">
        <v>74</v>
      </c>
      <c r="BP290" t="s">
        <v>74</v>
      </c>
      <c r="BQ290" t="s">
        <v>74</v>
      </c>
      <c r="BR290" t="s">
        <v>106</v>
      </c>
      <c r="BS290" t="s">
        <v>5973</v>
      </c>
      <c r="BT290" t="str">
        <f>HYPERLINK("https%3A%2F%2Fwww.webofscience.com%2Fwos%2Fwoscc%2Ffull-record%2FWOS:001012041900001","View Full Record in Web of Science")</f>
        <v>View Full Record in Web of Science</v>
      </c>
    </row>
    <row r="291" spans="1:72" x14ac:dyDescent="0.2">
      <c r="A291" t="s">
        <v>72</v>
      </c>
      <c r="B291" t="s">
        <v>5974</v>
      </c>
      <c r="C291" t="s">
        <v>74</v>
      </c>
      <c r="D291" t="s">
        <v>74</v>
      </c>
      <c r="E291" t="s">
        <v>74</v>
      </c>
      <c r="F291" t="s">
        <v>5975</v>
      </c>
      <c r="G291" t="s">
        <v>74</v>
      </c>
      <c r="H291" t="s">
        <v>74</v>
      </c>
      <c r="I291" t="s">
        <v>5976</v>
      </c>
      <c r="J291" t="s">
        <v>5977</v>
      </c>
      <c r="K291" t="s">
        <v>74</v>
      </c>
      <c r="L291" t="s">
        <v>74</v>
      </c>
      <c r="M291" t="s">
        <v>78</v>
      </c>
      <c r="N291" t="s">
        <v>79</v>
      </c>
      <c r="O291" t="s">
        <v>74</v>
      </c>
      <c r="P291" t="s">
        <v>74</v>
      </c>
      <c r="Q291" t="s">
        <v>74</v>
      </c>
      <c r="R291" t="s">
        <v>74</v>
      </c>
      <c r="S291" t="s">
        <v>74</v>
      </c>
      <c r="T291" t="s">
        <v>5978</v>
      </c>
      <c r="U291" t="s">
        <v>5979</v>
      </c>
      <c r="V291" t="s">
        <v>5980</v>
      </c>
      <c r="W291" t="s">
        <v>5981</v>
      </c>
      <c r="X291" t="s">
        <v>5982</v>
      </c>
      <c r="Y291" t="s">
        <v>5983</v>
      </c>
      <c r="Z291" t="s">
        <v>5984</v>
      </c>
      <c r="AA291" t="s">
        <v>74</v>
      </c>
      <c r="AB291" t="s">
        <v>74</v>
      </c>
      <c r="AC291" t="s">
        <v>5985</v>
      </c>
      <c r="AD291" t="s">
        <v>5986</v>
      </c>
      <c r="AE291" t="s">
        <v>5987</v>
      </c>
      <c r="AF291" t="s">
        <v>74</v>
      </c>
      <c r="AG291">
        <v>64</v>
      </c>
      <c r="AH291">
        <v>8</v>
      </c>
      <c r="AI291">
        <v>11</v>
      </c>
      <c r="AJ291">
        <v>3</v>
      </c>
      <c r="AK291">
        <v>97</v>
      </c>
      <c r="AL291" t="s">
        <v>5988</v>
      </c>
      <c r="AM291" t="s">
        <v>93</v>
      </c>
      <c r="AN291" t="s">
        <v>5989</v>
      </c>
      <c r="AO291" t="s">
        <v>5990</v>
      </c>
      <c r="AP291" t="s">
        <v>74</v>
      </c>
      <c r="AQ291" t="s">
        <v>74</v>
      </c>
      <c r="AR291" t="s">
        <v>5977</v>
      </c>
      <c r="AS291" t="s">
        <v>5991</v>
      </c>
      <c r="AT291" t="s">
        <v>5992</v>
      </c>
      <c r="AU291">
        <v>2021</v>
      </c>
      <c r="AV291">
        <v>9</v>
      </c>
      <c r="AW291" t="s">
        <v>74</v>
      </c>
      <c r="AX291" t="s">
        <v>74</v>
      </c>
      <c r="AY291" t="s">
        <v>74</v>
      </c>
      <c r="AZ291" t="s">
        <v>74</v>
      </c>
      <c r="BA291" t="s">
        <v>74</v>
      </c>
      <c r="BB291" t="s">
        <v>74</v>
      </c>
      <c r="BC291" t="s">
        <v>74</v>
      </c>
      <c r="BD291" t="s">
        <v>5993</v>
      </c>
      <c r="BE291" t="s">
        <v>5994</v>
      </c>
      <c r="BF291" t="str">
        <f>HYPERLINK("http://dx.doi.org/10.7717/peerj.11632","http://dx.doi.org/10.7717/peerj.11632")</f>
        <v>http://dx.doi.org/10.7717/peerj.11632</v>
      </c>
      <c r="BG291" t="s">
        <v>74</v>
      </c>
      <c r="BH291" t="s">
        <v>74</v>
      </c>
      <c r="BI291">
        <v>26</v>
      </c>
      <c r="BJ291" t="s">
        <v>158</v>
      </c>
      <c r="BK291" t="s">
        <v>186</v>
      </c>
      <c r="BL291" t="s">
        <v>159</v>
      </c>
      <c r="BM291" t="s">
        <v>5995</v>
      </c>
      <c r="BN291">
        <v>34249498</v>
      </c>
      <c r="BO291" t="s">
        <v>161</v>
      </c>
      <c r="BP291" t="s">
        <v>74</v>
      </c>
      <c r="BQ291" t="s">
        <v>74</v>
      </c>
      <c r="BR291" t="s">
        <v>106</v>
      </c>
      <c r="BS291" t="s">
        <v>5996</v>
      </c>
      <c r="BT291" t="str">
        <f>HYPERLINK("https%3A%2F%2Fwww.webofscience.com%2Fwos%2Fwoscc%2Ffull-record%2FWOS:000668794200004","View Full Record in Web of Science")</f>
        <v>View Full Record in Web of Science</v>
      </c>
    </row>
    <row r="292" spans="1:72" x14ac:dyDescent="0.2">
      <c r="A292" t="s">
        <v>72</v>
      </c>
      <c r="B292" t="s">
        <v>5997</v>
      </c>
      <c r="C292" t="s">
        <v>74</v>
      </c>
      <c r="D292" t="s">
        <v>74</v>
      </c>
      <c r="E292" t="s">
        <v>74</v>
      </c>
      <c r="F292" t="s">
        <v>5998</v>
      </c>
      <c r="G292" t="s">
        <v>74</v>
      </c>
      <c r="H292" t="s">
        <v>74</v>
      </c>
      <c r="I292" t="s">
        <v>5999</v>
      </c>
      <c r="J292" t="s">
        <v>5618</v>
      </c>
      <c r="K292" t="s">
        <v>74</v>
      </c>
      <c r="L292" t="s">
        <v>74</v>
      </c>
      <c r="M292" t="s">
        <v>78</v>
      </c>
      <c r="N292" t="s">
        <v>79</v>
      </c>
      <c r="O292" t="s">
        <v>74</v>
      </c>
      <c r="P292" t="s">
        <v>74</v>
      </c>
      <c r="Q292" t="s">
        <v>74</v>
      </c>
      <c r="R292" t="s">
        <v>74</v>
      </c>
      <c r="S292" t="s">
        <v>74</v>
      </c>
      <c r="T292" t="s">
        <v>6000</v>
      </c>
      <c r="U292" t="s">
        <v>6001</v>
      </c>
      <c r="V292" t="s">
        <v>6002</v>
      </c>
      <c r="W292" t="s">
        <v>6003</v>
      </c>
      <c r="X292" t="s">
        <v>6004</v>
      </c>
      <c r="Y292" t="s">
        <v>6005</v>
      </c>
      <c r="Z292" t="s">
        <v>6006</v>
      </c>
      <c r="AA292" t="s">
        <v>6007</v>
      </c>
      <c r="AB292" t="s">
        <v>6008</v>
      </c>
      <c r="AC292" t="s">
        <v>6009</v>
      </c>
      <c r="AD292" t="s">
        <v>6010</v>
      </c>
      <c r="AE292" t="s">
        <v>6011</v>
      </c>
      <c r="AF292" t="s">
        <v>74</v>
      </c>
      <c r="AG292">
        <v>45</v>
      </c>
      <c r="AH292">
        <v>4</v>
      </c>
      <c r="AI292">
        <v>5</v>
      </c>
      <c r="AJ292">
        <v>11</v>
      </c>
      <c r="AK292">
        <v>48</v>
      </c>
      <c r="AL292" t="s">
        <v>123</v>
      </c>
      <c r="AM292" t="s">
        <v>124</v>
      </c>
      <c r="AN292" t="s">
        <v>125</v>
      </c>
      <c r="AO292" t="s">
        <v>5629</v>
      </c>
      <c r="AP292" t="s">
        <v>5630</v>
      </c>
      <c r="AQ292" t="s">
        <v>74</v>
      </c>
      <c r="AR292" t="s">
        <v>5631</v>
      </c>
      <c r="AS292" t="s">
        <v>5632</v>
      </c>
      <c r="AT292" t="s">
        <v>1752</v>
      </c>
      <c r="AU292">
        <v>2024</v>
      </c>
      <c r="AV292">
        <v>68</v>
      </c>
      <c r="AW292" t="s">
        <v>74</v>
      </c>
      <c r="AX292" t="s">
        <v>74</v>
      </c>
      <c r="AY292" t="s">
        <v>74</v>
      </c>
      <c r="AZ292" t="s">
        <v>74</v>
      </c>
      <c r="BA292" t="s">
        <v>74</v>
      </c>
      <c r="BB292" t="s">
        <v>74</v>
      </c>
      <c r="BC292" t="s">
        <v>74</v>
      </c>
      <c r="BD292">
        <v>103858</v>
      </c>
      <c r="BE292" t="s">
        <v>6012</v>
      </c>
      <c r="BF292" t="str">
        <f>HYPERLINK("http://dx.doi.org/10.1016/j.seta.2024.103858","http://dx.doi.org/10.1016/j.seta.2024.103858")</f>
        <v>http://dx.doi.org/10.1016/j.seta.2024.103858</v>
      </c>
      <c r="BG292" t="s">
        <v>74</v>
      </c>
      <c r="BH292" t="s">
        <v>4236</v>
      </c>
      <c r="BI292">
        <v>9</v>
      </c>
      <c r="BJ292" t="s">
        <v>1496</v>
      </c>
      <c r="BK292" t="s">
        <v>102</v>
      </c>
      <c r="BL292" t="s">
        <v>1497</v>
      </c>
      <c r="BM292" t="s">
        <v>6013</v>
      </c>
      <c r="BN292" t="s">
        <v>74</v>
      </c>
      <c r="BO292" t="s">
        <v>74</v>
      </c>
      <c r="BP292" t="s">
        <v>74</v>
      </c>
      <c r="BQ292" t="s">
        <v>74</v>
      </c>
      <c r="BR292" t="s">
        <v>106</v>
      </c>
      <c r="BS292" t="s">
        <v>6014</v>
      </c>
      <c r="BT292" t="str">
        <f>HYPERLINK("https%3A%2F%2Fwww.webofscience.com%2Fwos%2Fwoscc%2Ffull-record%2FWOS:001257799600001","View Full Record in Web of Science")</f>
        <v>View Full Record in Web of Science</v>
      </c>
    </row>
    <row r="293" spans="1:72" x14ac:dyDescent="0.2">
      <c r="A293" t="s">
        <v>72</v>
      </c>
      <c r="B293" t="s">
        <v>6015</v>
      </c>
      <c r="C293" t="s">
        <v>74</v>
      </c>
      <c r="D293" t="s">
        <v>74</v>
      </c>
      <c r="E293" t="s">
        <v>74</v>
      </c>
      <c r="F293" t="s">
        <v>6016</v>
      </c>
      <c r="G293" t="s">
        <v>74</v>
      </c>
      <c r="H293" t="s">
        <v>74</v>
      </c>
      <c r="I293" t="s">
        <v>6017</v>
      </c>
      <c r="J293" t="s">
        <v>921</v>
      </c>
      <c r="K293" t="s">
        <v>74</v>
      </c>
      <c r="L293" t="s">
        <v>74</v>
      </c>
      <c r="M293" t="s">
        <v>78</v>
      </c>
      <c r="N293" t="s">
        <v>79</v>
      </c>
      <c r="O293" t="s">
        <v>74</v>
      </c>
      <c r="P293" t="s">
        <v>74</v>
      </c>
      <c r="Q293" t="s">
        <v>74</v>
      </c>
      <c r="R293" t="s">
        <v>74</v>
      </c>
      <c r="S293" t="s">
        <v>74</v>
      </c>
      <c r="T293" t="s">
        <v>6018</v>
      </c>
      <c r="U293" t="s">
        <v>6019</v>
      </c>
      <c r="V293" t="s">
        <v>6020</v>
      </c>
      <c r="W293" t="s">
        <v>6021</v>
      </c>
      <c r="X293" t="s">
        <v>6022</v>
      </c>
      <c r="Y293" t="s">
        <v>6023</v>
      </c>
      <c r="Z293" t="s">
        <v>6024</v>
      </c>
      <c r="AA293" t="s">
        <v>6025</v>
      </c>
      <c r="AB293" t="s">
        <v>6026</v>
      </c>
      <c r="AC293" t="s">
        <v>6027</v>
      </c>
      <c r="AD293" t="s">
        <v>6028</v>
      </c>
      <c r="AE293" t="s">
        <v>6029</v>
      </c>
      <c r="AF293" t="s">
        <v>74</v>
      </c>
      <c r="AG293">
        <v>83</v>
      </c>
      <c r="AH293">
        <v>21</v>
      </c>
      <c r="AI293">
        <v>22</v>
      </c>
      <c r="AJ293">
        <v>9</v>
      </c>
      <c r="AK293">
        <v>101</v>
      </c>
      <c r="AL293" t="s">
        <v>934</v>
      </c>
      <c r="AM293" t="s">
        <v>177</v>
      </c>
      <c r="AN293" t="s">
        <v>935</v>
      </c>
      <c r="AO293" t="s">
        <v>936</v>
      </c>
      <c r="AP293" t="s">
        <v>937</v>
      </c>
      <c r="AQ293" t="s">
        <v>74</v>
      </c>
      <c r="AR293" t="s">
        <v>938</v>
      </c>
      <c r="AS293" t="s">
        <v>939</v>
      </c>
      <c r="AT293" t="s">
        <v>1963</v>
      </c>
      <c r="AU293">
        <v>2023</v>
      </c>
      <c r="AV293">
        <v>184</v>
      </c>
      <c r="AW293" t="s">
        <v>74</v>
      </c>
      <c r="AX293" t="s">
        <v>74</v>
      </c>
      <c r="AY293" t="s">
        <v>74</v>
      </c>
      <c r="AZ293" t="s">
        <v>74</v>
      </c>
      <c r="BA293" t="s">
        <v>74</v>
      </c>
      <c r="BB293" t="s">
        <v>74</v>
      </c>
      <c r="BC293" t="s">
        <v>74</v>
      </c>
      <c r="BD293">
        <v>109078</v>
      </c>
      <c r="BE293" t="s">
        <v>6030</v>
      </c>
      <c r="BF293" t="str">
        <f>HYPERLINK("http://dx.doi.org/10.1016/j.soilbio.2023.109078","http://dx.doi.org/10.1016/j.soilbio.2023.109078")</f>
        <v>http://dx.doi.org/10.1016/j.soilbio.2023.109078</v>
      </c>
      <c r="BG293" t="s">
        <v>74</v>
      </c>
      <c r="BH293" t="s">
        <v>6031</v>
      </c>
      <c r="BI293">
        <v>11</v>
      </c>
      <c r="BJ293" t="s">
        <v>256</v>
      </c>
      <c r="BK293" t="s">
        <v>102</v>
      </c>
      <c r="BL293" t="s">
        <v>103</v>
      </c>
      <c r="BM293" t="s">
        <v>6032</v>
      </c>
      <c r="BN293" t="s">
        <v>74</v>
      </c>
      <c r="BO293" t="s">
        <v>161</v>
      </c>
      <c r="BP293" t="s">
        <v>74</v>
      </c>
      <c r="BQ293" t="s">
        <v>74</v>
      </c>
      <c r="BR293" t="s">
        <v>106</v>
      </c>
      <c r="BS293" t="s">
        <v>6033</v>
      </c>
      <c r="BT293" t="str">
        <f>HYPERLINK("https%3A%2F%2Fwww.webofscience.com%2Fwos%2Fwoscc%2Ffull-record%2FWOS:001029025300001","View Full Record in Web of Science")</f>
        <v>View Full Record in Web of Science</v>
      </c>
    </row>
    <row r="294" spans="1:72" x14ac:dyDescent="0.2">
      <c r="A294" t="s">
        <v>72</v>
      </c>
      <c r="B294" t="s">
        <v>6034</v>
      </c>
      <c r="C294" t="s">
        <v>74</v>
      </c>
      <c r="D294" t="s">
        <v>74</v>
      </c>
      <c r="E294" t="s">
        <v>74</v>
      </c>
      <c r="F294" t="s">
        <v>6035</v>
      </c>
      <c r="G294" t="s">
        <v>74</v>
      </c>
      <c r="H294" t="s">
        <v>74</v>
      </c>
      <c r="I294" t="s">
        <v>6036</v>
      </c>
      <c r="J294" t="s">
        <v>2236</v>
      </c>
      <c r="K294" t="s">
        <v>74</v>
      </c>
      <c r="L294" t="s">
        <v>74</v>
      </c>
      <c r="M294" t="s">
        <v>78</v>
      </c>
      <c r="N294" t="s">
        <v>79</v>
      </c>
      <c r="O294" t="s">
        <v>74</v>
      </c>
      <c r="P294" t="s">
        <v>74</v>
      </c>
      <c r="Q294" t="s">
        <v>74</v>
      </c>
      <c r="R294" t="s">
        <v>74</v>
      </c>
      <c r="S294" t="s">
        <v>74</v>
      </c>
      <c r="T294" t="s">
        <v>6037</v>
      </c>
      <c r="U294" t="s">
        <v>6038</v>
      </c>
      <c r="V294" t="s">
        <v>6039</v>
      </c>
      <c r="W294" t="s">
        <v>6040</v>
      </c>
      <c r="X294" t="s">
        <v>6041</v>
      </c>
      <c r="Y294" t="s">
        <v>6042</v>
      </c>
      <c r="Z294" t="s">
        <v>6043</v>
      </c>
      <c r="AA294" t="s">
        <v>6044</v>
      </c>
      <c r="AB294" t="s">
        <v>6045</v>
      </c>
      <c r="AC294" t="s">
        <v>6046</v>
      </c>
      <c r="AD294" t="s">
        <v>6047</v>
      </c>
      <c r="AE294" t="s">
        <v>6048</v>
      </c>
      <c r="AF294" t="s">
        <v>74</v>
      </c>
      <c r="AG294">
        <v>50</v>
      </c>
      <c r="AH294">
        <v>18</v>
      </c>
      <c r="AI294">
        <v>19</v>
      </c>
      <c r="AJ294">
        <v>3</v>
      </c>
      <c r="AK294">
        <v>18</v>
      </c>
      <c r="AL294" t="s">
        <v>176</v>
      </c>
      <c r="AM294" t="s">
        <v>1610</v>
      </c>
      <c r="AN294" t="s">
        <v>1611</v>
      </c>
      <c r="AO294" t="s">
        <v>2248</v>
      </c>
      <c r="AP294" t="s">
        <v>2249</v>
      </c>
      <c r="AQ294" t="s">
        <v>74</v>
      </c>
      <c r="AR294" t="s">
        <v>2250</v>
      </c>
      <c r="AS294" t="s">
        <v>2251</v>
      </c>
      <c r="AT294" t="s">
        <v>1963</v>
      </c>
      <c r="AU294">
        <v>2020</v>
      </c>
      <c r="AV294">
        <v>184</v>
      </c>
      <c r="AW294" t="s">
        <v>74</v>
      </c>
      <c r="AX294" t="s">
        <v>74</v>
      </c>
      <c r="AY294" t="s">
        <v>74</v>
      </c>
      <c r="AZ294" t="s">
        <v>74</v>
      </c>
      <c r="BA294" t="s">
        <v>74</v>
      </c>
      <c r="BB294" t="s">
        <v>74</v>
      </c>
      <c r="BC294" t="s">
        <v>74</v>
      </c>
      <c r="BD294">
        <v>102914</v>
      </c>
      <c r="BE294" t="s">
        <v>6049</v>
      </c>
      <c r="BF294" t="str">
        <f>HYPERLINK("http://dx.doi.org/10.1016/j.agsy.2020.102914","http://dx.doi.org/10.1016/j.agsy.2020.102914")</f>
        <v>http://dx.doi.org/10.1016/j.agsy.2020.102914</v>
      </c>
      <c r="BG294" t="s">
        <v>74</v>
      </c>
      <c r="BH294" t="s">
        <v>74</v>
      </c>
      <c r="BI294">
        <v>10</v>
      </c>
      <c r="BJ294" t="s">
        <v>101</v>
      </c>
      <c r="BK294" t="s">
        <v>186</v>
      </c>
      <c r="BL294" t="s">
        <v>103</v>
      </c>
      <c r="BM294" t="s">
        <v>6050</v>
      </c>
      <c r="BN294" t="s">
        <v>74</v>
      </c>
      <c r="BO294" t="s">
        <v>2296</v>
      </c>
      <c r="BP294" t="s">
        <v>74</v>
      </c>
      <c r="BQ294" t="s">
        <v>74</v>
      </c>
      <c r="BR294" t="s">
        <v>106</v>
      </c>
      <c r="BS294" t="s">
        <v>6051</v>
      </c>
      <c r="BT294" t="str">
        <f>HYPERLINK("https%3A%2F%2Fwww.webofscience.com%2Fwos%2Fwoscc%2Ffull-record%2FWOS:000564756600007","View Full Record in Web of Science")</f>
        <v>View Full Record in Web of Science</v>
      </c>
    </row>
    <row r="295" spans="1:72" x14ac:dyDescent="0.2">
      <c r="A295" t="s">
        <v>72</v>
      </c>
      <c r="B295" t="s">
        <v>6052</v>
      </c>
      <c r="C295" t="s">
        <v>74</v>
      </c>
      <c r="D295" t="s">
        <v>74</v>
      </c>
      <c r="E295" t="s">
        <v>74</v>
      </c>
      <c r="F295" t="s">
        <v>6053</v>
      </c>
      <c r="G295" t="s">
        <v>74</v>
      </c>
      <c r="H295" t="s">
        <v>74</v>
      </c>
      <c r="I295" t="s">
        <v>6054</v>
      </c>
      <c r="J295" t="s">
        <v>6055</v>
      </c>
      <c r="K295" t="s">
        <v>74</v>
      </c>
      <c r="L295" t="s">
        <v>74</v>
      </c>
      <c r="M295" t="s">
        <v>78</v>
      </c>
      <c r="N295" t="s">
        <v>79</v>
      </c>
      <c r="O295" t="s">
        <v>74</v>
      </c>
      <c r="P295" t="s">
        <v>74</v>
      </c>
      <c r="Q295" t="s">
        <v>74</v>
      </c>
      <c r="R295" t="s">
        <v>74</v>
      </c>
      <c r="S295" t="s">
        <v>74</v>
      </c>
      <c r="T295" t="s">
        <v>6056</v>
      </c>
      <c r="U295" t="s">
        <v>74</v>
      </c>
      <c r="V295" t="s">
        <v>6057</v>
      </c>
      <c r="W295" t="s">
        <v>6058</v>
      </c>
      <c r="X295" t="s">
        <v>6041</v>
      </c>
      <c r="Y295" t="s">
        <v>6059</v>
      </c>
      <c r="Z295" t="s">
        <v>6060</v>
      </c>
      <c r="AA295" t="s">
        <v>74</v>
      </c>
      <c r="AB295" t="s">
        <v>74</v>
      </c>
      <c r="AC295" t="s">
        <v>74</v>
      </c>
      <c r="AD295" t="s">
        <v>74</v>
      </c>
      <c r="AE295" t="s">
        <v>74</v>
      </c>
      <c r="AF295" t="s">
        <v>74</v>
      </c>
      <c r="AG295">
        <v>31</v>
      </c>
      <c r="AH295">
        <v>98</v>
      </c>
      <c r="AI295">
        <v>118</v>
      </c>
      <c r="AJ295">
        <v>3</v>
      </c>
      <c r="AK295">
        <v>85</v>
      </c>
      <c r="AL295" t="s">
        <v>6061</v>
      </c>
      <c r="AM295" t="s">
        <v>248</v>
      </c>
      <c r="AN295" t="s">
        <v>249</v>
      </c>
      <c r="AO295" t="s">
        <v>6062</v>
      </c>
      <c r="AP295" t="s">
        <v>6063</v>
      </c>
      <c r="AQ295" t="s">
        <v>74</v>
      </c>
      <c r="AR295" t="s">
        <v>6064</v>
      </c>
      <c r="AS295" t="s">
        <v>4452</v>
      </c>
      <c r="AT295" t="s">
        <v>805</v>
      </c>
      <c r="AU295">
        <v>2015</v>
      </c>
      <c r="AV295">
        <v>46</v>
      </c>
      <c r="AW295" t="s">
        <v>74</v>
      </c>
      <c r="AX295" t="s">
        <v>74</v>
      </c>
      <c r="AY295">
        <v>1</v>
      </c>
      <c r="AZ295" t="s">
        <v>74</v>
      </c>
      <c r="BA295" t="s">
        <v>74</v>
      </c>
      <c r="BB295">
        <v>103</v>
      </c>
      <c r="BC295">
        <v>117</v>
      </c>
      <c r="BD295" t="s">
        <v>74</v>
      </c>
      <c r="BE295" t="s">
        <v>6065</v>
      </c>
      <c r="BF295" t="str">
        <f>HYPERLINK("http://dx.doi.org/10.1111/agec.12201","http://dx.doi.org/10.1111/agec.12201")</f>
        <v>http://dx.doi.org/10.1111/agec.12201</v>
      </c>
      <c r="BG295" t="s">
        <v>74</v>
      </c>
      <c r="BH295" t="s">
        <v>74</v>
      </c>
      <c r="BI295">
        <v>15</v>
      </c>
      <c r="BJ295" t="s">
        <v>1073</v>
      </c>
      <c r="BK295" t="s">
        <v>186</v>
      </c>
      <c r="BL295" t="s">
        <v>1074</v>
      </c>
      <c r="BM295" t="s">
        <v>6066</v>
      </c>
      <c r="BN295" t="s">
        <v>74</v>
      </c>
      <c r="BO295" t="s">
        <v>3889</v>
      </c>
      <c r="BP295" t="s">
        <v>74</v>
      </c>
      <c r="BQ295" t="s">
        <v>74</v>
      </c>
      <c r="BR295" t="s">
        <v>106</v>
      </c>
      <c r="BS295" t="s">
        <v>6067</v>
      </c>
      <c r="BT295" t="str">
        <f>HYPERLINK("https%3A%2F%2Fwww.webofscience.com%2Fwos%2Fwoscc%2Ffull-record%2FWOS:000367554600008","View Full Record in Web of Science")</f>
        <v>View Full Record in Web of Science</v>
      </c>
    </row>
    <row r="296" spans="1:72" x14ac:dyDescent="0.2">
      <c r="A296" t="s">
        <v>72</v>
      </c>
      <c r="B296" t="s">
        <v>6068</v>
      </c>
      <c r="C296" t="s">
        <v>74</v>
      </c>
      <c r="D296" t="s">
        <v>74</v>
      </c>
      <c r="E296" t="s">
        <v>74</v>
      </c>
      <c r="F296" t="s">
        <v>6069</v>
      </c>
      <c r="G296" t="s">
        <v>74</v>
      </c>
      <c r="H296" t="s">
        <v>74</v>
      </c>
      <c r="I296" t="s">
        <v>6070</v>
      </c>
      <c r="J296" t="s">
        <v>1231</v>
      </c>
      <c r="K296" t="s">
        <v>74</v>
      </c>
      <c r="L296" t="s">
        <v>74</v>
      </c>
      <c r="M296" t="s">
        <v>78</v>
      </c>
      <c r="N296" t="s">
        <v>79</v>
      </c>
      <c r="O296" t="s">
        <v>74</v>
      </c>
      <c r="P296" t="s">
        <v>74</v>
      </c>
      <c r="Q296" t="s">
        <v>74</v>
      </c>
      <c r="R296" t="s">
        <v>74</v>
      </c>
      <c r="S296" t="s">
        <v>74</v>
      </c>
      <c r="T296" t="s">
        <v>6071</v>
      </c>
      <c r="U296" t="s">
        <v>6072</v>
      </c>
      <c r="V296" t="s">
        <v>6073</v>
      </c>
      <c r="W296" t="s">
        <v>6074</v>
      </c>
      <c r="X296" t="s">
        <v>6075</v>
      </c>
      <c r="Y296" t="s">
        <v>6076</v>
      </c>
      <c r="Z296" t="s">
        <v>6077</v>
      </c>
      <c r="AA296" t="s">
        <v>74</v>
      </c>
      <c r="AB296" t="s">
        <v>74</v>
      </c>
      <c r="AC296" t="s">
        <v>74</v>
      </c>
      <c r="AD296" t="s">
        <v>74</v>
      </c>
      <c r="AE296" t="s">
        <v>74</v>
      </c>
      <c r="AF296" t="s">
        <v>74</v>
      </c>
      <c r="AG296">
        <v>86</v>
      </c>
      <c r="AH296">
        <v>23</v>
      </c>
      <c r="AI296">
        <v>25</v>
      </c>
      <c r="AJ296">
        <v>11</v>
      </c>
      <c r="AK296">
        <v>106</v>
      </c>
      <c r="AL296" t="s">
        <v>1242</v>
      </c>
      <c r="AM296" t="s">
        <v>1243</v>
      </c>
      <c r="AN296" t="s">
        <v>1244</v>
      </c>
      <c r="AO296" t="s">
        <v>1245</v>
      </c>
      <c r="AP296" t="s">
        <v>1246</v>
      </c>
      <c r="AQ296" t="s">
        <v>74</v>
      </c>
      <c r="AR296" t="s">
        <v>1247</v>
      </c>
      <c r="AS296" t="s">
        <v>1248</v>
      </c>
      <c r="AT296" t="s">
        <v>1963</v>
      </c>
      <c r="AU296">
        <v>2023</v>
      </c>
      <c r="AV296">
        <v>30</v>
      </c>
      <c r="AW296">
        <v>41</v>
      </c>
      <c r="AX296" t="s">
        <v>74</v>
      </c>
      <c r="AY296" t="s">
        <v>74</v>
      </c>
      <c r="AZ296" t="s">
        <v>74</v>
      </c>
      <c r="BA296" t="s">
        <v>74</v>
      </c>
      <c r="BB296">
        <v>94255</v>
      </c>
      <c r="BC296">
        <v>94275</v>
      </c>
      <c r="BD296" t="s">
        <v>74</v>
      </c>
      <c r="BE296" t="s">
        <v>6078</v>
      </c>
      <c r="BF296" t="str">
        <f>HYPERLINK("http://dx.doi.org/10.1007/s11356-023-28891-1","http://dx.doi.org/10.1007/s11356-023-28891-1")</f>
        <v>http://dx.doi.org/10.1007/s11356-023-28891-1</v>
      </c>
      <c r="BG296" t="s">
        <v>74</v>
      </c>
      <c r="BH296" t="s">
        <v>1754</v>
      </c>
      <c r="BI296">
        <v>21</v>
      </c>
      <c r="BJ296" t="s">
        <v>567</v>
      </c>
      <c r="BK296" t="s">
        <v>102</v>
      </c>
      <c r="BL296" t="s">
        <v>568</v>
      </c>
      <c r="BM296" t="s">
        <v>6079</v>
      </c>
      <c r="BN296">
        <v>37531056</v>
      </c>
      <c r="BO296" t="s">
        <v>74</v>
      </c>
      <c r="BP296" t="s">
        <v>74</v>
      </c>
      <c r="BQ296" t="s">
        <v>74</v>
      </c>
      <c r="BR296" t="s">
        <v>106</v>
      </c>
      <c r="BS296" t="s">
        <v>6080</v>
      </c>
      <c r="BT296" t="str">
        <f>HYPERLINK("https%3A%2F%2Fwww.webofscience.com%2Fwos%2Fwoscc%2Ffull-record%2FWOS:001041862000014","View Full Record in Web of Science")</f>
        <v>View Full Record in Web of Science</v>
      </c>
    </row>
    <row r="297" spans="1:72" x14ac:dyDescent="0.2">
      <c r="A297" t="s">
        <v>72</v>
      </c>
      <c r="B297" t="s">
        <v>6081</v>
      </c>
      <c r="C297" t="s">
        <v>74</v>
      </c>
      <c r="D297" t="s">
        <v>74</v>
      </c>
      <c r="E297" t="s">
        <v>74</v>
      </c>
      <c r="F297" t="s">
        <v>6082</v>
      </c>
      <c r="G297" t="s">
        <v>74</v>
      </c>
      <c r="H297" t="s">
        <v>74</v>
      </c>
      <c r="I297" t="s">
        <v>6083</v>
      </c>
      <c r="J297" t="s">
        <v>111</v>
      </c>
      <c r="K297" t="s">
        <v>74</v>
      </c>
      <c r="L297" t="s">
        <v>74</v>
      </c>
      <c r="M297" t="s">
        <v>78</v>
      </c>
      <c r="N297" t="s">
        <v>79</v>
      </c>
      <c r="O297" t="s">
        <v>74</v>
      </c>
      <c r="P297" t="s">
        <v>74</v>
      </c>
      <c r="Q297" t="s">
        <v>74</v>
      </c>
      <c r="R297" t="s">
        <v>74</v>
      </c>
      <c r="S297" t="s">
        <v>74</v>
      </c>
      <c r="T297" t="s">
        <v>6084</v>
      </c>
      <c r="U297" t="s">
        <v>6085</v>
      </c>
      <c r="V297" t="s">
        <v>6086</v>
      </c>
      <c r="W297" t="s">
        <v>6087</v>
      </c>
      <c r="X297" t="s">
        <v>6088</v>
      </c>
      <c r="Y297" t="s">
        <v>6089</v>
      </c>
      <c r="Z297" t="s">
        <v>6090</v>
      </c>
      <c r="AA297" t="s">
        <v>6091</v>
      </c>
      <c r="AB297" t="s">
        <v>6092</v>
      </c>
      <c r="AC297" t="s">
        <v>74</v>
      </c>
      <c r="AD297" t="s">
        <v>74</v>
      </c>
      <c r="AE297" t="s">
        <v>74</v>
      </c>
      <c r="AF297" t="s">
        <v>74</v>
      </c>
      <c r="AG297">
        <v>69</v>
      </c>
      <c r="AH297">
        <v>5</v>
      </c>
      <c r="AI297">
        <v>7</v>
      </c>
      <c r="AJ297">
        <v>4</v>
      </c>
      <c r="AK297">
        <v>33</v>
      </c>
      <c r="AL297" t="s">
        <v>123</v>
      </c>
      <c r="AM297" t="s">
        <v>124</v>
      </c>
      <c r="AN297" t="s">
        <v>125</v>
      </c>
      <c r="AO297" t="s">
        <v>126</v>
      </c>
      <c r="AP297" t="s">
        <v>127</v>
      </c>
      <c r="AQ297" t="s">
        <v>74</v>
      </c>
      <c r="AR297" t="s">
        <v>128</v>
      </c>
      <c r="AS297" t="s">
        <v>129</v>
      </c>
      <c r="AT297" t="s">
        <v>4582</v>
      </c>
      <c r="AU297">
        <v>2021</v>
      </c>
      <c r="AV297">
        <v>480</v>
      </c>
      <c r="AW297" t="s">
        <v>74</v>
      </c>
      <c r="AX297" t="s">
        <v>74</v>
      </c>
      <c r="AY297" t="s">
        <v>74</v>
      </c>
      <c r="AZ297" t="s">
        <v>74</v>
      </c>
      <c r="BA297" t="s">
        <v>74</v>
      </c>
      <c r="BB297" t="s">
        <v>74</v>
      </c>
      <c r="BC297" t="s">
        <v>74</v>
      </c>
      <c r="BD297">
        <v>118668</v>
      </c>
      <c r="BE297" t="s">
        <v>6093</v>
      </c>
      <c r="BF297" t="str">
        <f>HYPERLINK("http://dx.doi.org/10.1016/j.foreco.2020.118668","http://dx.doi.org/10.1016/j.foreco.2020.118668")</f>
        <v>http://dx.doi.org/10.1016/j.foreco.2020.118668</v>
      </c>
      <c r="BG297" t="s">
        <v>74</v>
      </c>
      <c r="BH297" t="s">
        <v>74</v>
      </c>
      <c r="BI297">
        <v>8</v>
      </c>
      <c r="BJ297" t="s">
        <v>132</v>
      </c>
      <c r="BK297" t="s">
        <v>102</v>
      </c>
      <c r="BL297" t="s">
        <v>132</v>
      </c>
      <c r="BM297" t="s">
        <v>6094</v>
      </c>
      <c r="BN297" t="s">
        <v>74</v>
      </c>
      <c r="BO297" t="s">
        <v>74</v>
      </c>
      <c r="BP297" t="s">
        <v>74</v>
      </c>
      <c r="BQ297" t="s">
        <v>74</v>
      </c>
      <c r="BR297" t="s">
        <v>106</v>
      </c>
      <c r="BS297" t="s">
        <v>6095</v>
      </c>
      <c r="BT297" t="str">
        <f>HYPERLINK("https%3A%2F%2Fwww.webofscience.com%2Fwos%2Fwoscc%2Ffull-record%2FWOS:000599342600005","View Full Record in Web of Science")</f>
        <v>View Full Record in Web of Science</v>
      </c>
    </row>
    <row r="298" spans="1:72" x14ac:dyDescent="0.2">
      <c r="A298" t="s">
        <v>72</v>
      </c>
      <c r="B298" t="s">
        <v>6096</v>
      </c>
      <c r="C298" t="s">
        <v>74</v>
      </c>
      <c r="D298" t="s">
        <v>74</v>
      </c>
      <c r="E298" t="s">
        <v>74</v>
      </c>
      <c r="F298" t="s">
        <v>6097</v>
      </c>
      <c r="G298" t="s">
        <v>74</v>
      </c>
      <c r="H298" t="s">
        <v>74</v>
      </c>
      <c r="I298" t="s">
        <v>6098</v>
      </c>
      <c r="J298" t="s">
        <v>6099</v>
      </c>
      <c r="K298" t="s">
        <v>74</v>
      </c>
      <c r="L298" t="s">
        <v>74</v>
      </c>
      <c r="M298" t="s">
        <v>78</v>
      </c>
      <c r="N298" t="s">
        <v>79</v>
      </c>
      <c r="O298" t="s">
        <v>74</v>
      </c>
      <c r="P298" t="s">
        <v>74</v>
      </c>
      <c r="Q298" t="s">
        <v>74</v>
      </c>
      <c r="R298" t="s">
        <v>74</v>
      </c>
      <c r="S298" t="s">
        <v>74</v>
      </c>
      <c r="T298" t="s">
        <v>6100</v>
      </c>
      <c r="U298" t="s">
        <v>6101</v>
      </c>
      <c r="V298" t="s">
        <v>6102</v>
      </c>
      <c r="W298" t="s">
        <v>6103</v>
      </c>
      <c r="X298" t="s">
        <v>6104</v>
      </c>
      <c r="Y298" t="s">
        <v>6105</v>
      </c>
      <c r="Z298" t="s">
        <v>6106</v>
      </c>
      <c r="AA298" t="s">
        <v>6107</v>
      </c>
      <c r="AB298" t="s">
        <v>6108</v>
      </c>
      <c r="AC298" t="s">
        <v>6109</v>
      </c>
      <c r="AD298" t="s">
        <v>6110</v>
      </c>
      <c r="AE298" t="s">
        <v>6111</v>
      </c>
      <c r="AF298" t="s">
        <v>74</v>
      </c>
      <c r="AG298">
        <v>42</v>
      </c>
      <c r="AH298">
        <v>3</v>
      </c>
      <c r="AI298">
        <v>3</v>
      </c>
      <c r="AJ298">
        <v>1</v>
      </c>
      <c r="AK298">
        <v>84</v>
      </c>
      <c r="AL298" t="s">
        <v>6112</v>
      </c>
      <c r="AM298" t="s">
        <v>6113</v>
      </c>
      <c r="AN298" t="s">
        <v>6114</v>
      </c>
      <c r="AO298" t="s">
        <v>6115</v>
      </c>
      <c r="AP298" t="s">
        <v>6116</v>
      </c>
      <c r="AQ298" t="s">
        <v>74</v>
      </c>
      <c r="AR298" t="s">
        <v>6117</v>
      </c>
      <c r="AS298" t="s">
        <v>6118</v>
      </c>
      <c r="AT298" t="s">
        <v>1109</v>
      </c>
      <c r="AU298">
        <v>2018</v>
      </c>
      <c r="AV298">
        <v>181</v>
      </c>
      <c r="AW298">
        <v>6</v>
      </c>
      <c r="AX298" t="s">
        <v>74</v>
      </c>
      <c r="AY298" t="s">
        <v>74</v>
      </c>
      <c r="AZ298" t="s">
        <v>74</v>
      </c>
      <c r="BA298" t="s">
        <v>74</v>
      </c>
      <c r="BB298">
        <v>886</v>
      </c>
      <c r="BC298">
        <v>893</v>
      </c>
      <c r="BD298" t="s">
        <v>74</v>
      </c>
      <c r="BE298" t="s">
        <v>6119</v>
      </c>
      <c r="BF298" t="str">
        <f>HYPERLINK("http://dx.doi.org/10.1002/jpln.201800225","http://dx.doi.org/10.1002/jpln.201800225")</f>
        <v>http://dx.doi.org/10.1002/jpln.201800225</v>
      </c>
      <c r="BG298" t="s">
        <v>74</v>
      </c>
      <c r="BH298" t="s">
        <v>74</v>
      </c>
      <c r="BI298">
        <v>8</v>
      </c>
      <c r="BJ298" t="s">
        <v>5595</v>
      </c>
      <c r="BK298" t="s">
        <v>102</v>
      </c>
      <c r="BL298" t="s">
        <v>462</v>
      </c>
      <c r="BM298" t="s">
        <v>6120</v>
      </c>
      <c r="BN298" t="s">
        <v>74</v>
      </c>
      <c r="BO298" t="s">
        <v>74</v>
      </c>
      <c r="BP298" t="s">
        <v>74</v>
      </c>
      <c r="BQ298" t="s">
        <v>74</v>
      </c>
      <c r="BR298" t="s">
        <v>106</v>
      </c>
      <c r="BS298" t="s">
        <v>6121</v>
      </c>
      <c r="BT298" t="str">
        <f>HYPERLINK("https%3A%2F%2Fwww.webofscience.com%2Fwos%2Fwoscc%2Ffull-record%2FWOS:000451906900010","View Full Record in Web of Science")</f>
        <v>View Full Record in Web of Science</v>
      </c>
    </row>
    <row r="299" spans="1:72" x14ac:dyDescent="0.2">
      <c r="A299" t="s">
        <v>72</v>
      </c>
      <c r="B299" t="s">
        <v>6122</v>
      </c>
      <c r="C299" t="s">
        <v>74</v>
      </c>
      <c r="D299" t="s">
        <v>74</v>
      </c>
      <c r="E299" t="s">
        <v>74</v>
      </c>
      <c r="F299" t="s">
        <v>6123</v>
      </c>
      <c r="G299" t="s">
        <v>74</v>
      </c>
      <c r="H299" t="s">
        <v>74</v>
      </c>
      <c r="I299" t="s">
        <v>6124</v>
      </c>
      <c r="J299" t="s">
        <v>6125</v>
      </c>
      <c r="K299" t="s">
        <v>74</v>
      </c>
      <c r="L299" t="s">
        <v>74</v>
      </c>
      <c r="M299" t="s">
        <v>78</v>
      </c>
      <c r="N299" t="s">
        <v>79</v>
      </c>
      <c r="O299" t="s">
        <v>74</v>
      </c>
      <c r="P299" t="s">
        <v>74</v>
      </c>
      <c r="Q299" t="s">
        <v>74</v>
      </c>
      <c r="R299" t="s">
        <v>74</v>
      </c>
      <c r="S299" t="s">
        <v>74</v>
      </c>
      <c r="T299" t="s">
        <v>74</v>
      </c>
      <c r="U299" t="s">
        <v>74</v>
      </c>
      <c r="V299" t="s">
        <v>6126</v>
      </c>
      <c r="W299" t="s">
        <v>6127</v>
      </c>
      <c r="X299" t="s">
        <v>6128</v>
      </c>
      <c r="Y299" t="s">
        <v>6129</v>
      </c>
      <c r="Z299" t="s">
        <v>6130</v>
      </c>
      <c r="AA299" t="s">
        <v>74</v>
      </c>
      <c r="AB299" t="s">
        <v>6131</v>
      </c>
      <c r="AC299" t="s">
        <v>6132</v>
      </c>
      <c r="AD299" t="s">
        <v>6133</v>
      </c>
      <c r="AE299" t="s">
        <v>6134</v>
      </c>
      <c r="AF299" t="s">
        <v>74</v>
      </c>
      <c r="AG299">
        <v>53</v>
      </c>
      <c r="AH299">
        <v>19</v>
      </c>
      <c r="AI299">
        <v>26</v>
      </c>
      <c r="AJ299">
        <v>5</v>
      </c>
      <c r="AK299">
        <v>164</v>
      </c>
      <c r="AL299" t="s">
        <v>6135</v>
      </c>
      <c r="AM299" t="s">
        <v>93</v>
      </c>
      <c r="AN299" t="s">
        <v>6136</v>
      </c>
      <c r="AO299" t="s">
        <v>6137</v>
      </c>
      <c r="AP299" t="s">
        <v>6138</v>
      </c>
      <c r="AQ299" t="s">
        <v>74</v>
      </c>
      <c r="AR299" t="s">
        <v>6139</v>
      </c>
      <c r="AS299" t="s">
        <v>6140</v>
      </c>
      <c r="AT299" t="s">
        <v>6141</v>
      </c>
      <c r="AU299">
        <v>2020</v>
      </c>
      <c r="AV299">
        <v>2020</v>
      </c>
      <c r="AW299" t="s">
        <v>74</v>
      </c>
      <c r="AX299" t="s">
        <v>74</v>
      </c>
      <c r="AY299" t="s">
        <v>74</v>
      </c>
      <c r="AZ299" t="s">
        <v>74</v>
      </c>
      <c r="BA299" t="s">
        <v>74</v>
      </c>
      <c r="BB299" t="s">
        <v>74</v>
      </c>
      <c r="BC299" t="s">
        <v>74</v>
      </c>
      <c r="BD299">
        <v>6351802</v>
      </c>
      <c r="BE299" t="s">
        <v>6142</v>
      </c>
      <c r="BF299" t="str">
        <f>HYPERLINK("http://dx.doi.org/10.1155/2020/6351802","http://dx.doi.org/10.1155/2020/6351802")</f>
        <v>http://dx.doi.org/10.1155/2020/6351802</v>
      </c>
      <c r="BG299" t="s">
        <v>74</v>
      </c>
      <c r="BH299" t="s">
        <v>74</v>
      </c>
      <c r="BI299">
        <v>17</v>
      </c>
      <c r="BJ299" t="s">
        <v>6143</v>
      </c>
      <c r="BK299" t="s">
        <v>102</v>
      </c>
      <c r="BL299" t="s">
        <v>6144</v>
      </c>
      <c r="BM299" t="s">
        <v>6145</v>
      </c>
      <c r="BN299" t="s">
        <v>74</v>
      </c>
      <c r="BO299" t="s">
        <v>916</v>
      </c>
      <c r="BP299" t="s">
        <v>74</v>
      </c>
      <c r="BQ299" t="s">
        <v>74</v>
      </c>
      <c r="BR299" t="s">
        <v>106</v>
      </c>
      <c r="BS299" t="s">
        <v>6146</v>
      </c>
      <c r="BT299" t="str">
        <f>HYPERLINK("https%3A%2F%2Fwww.webofscience.com%2Fwos%2Fwoscc%2Ffull-record%2FWOS:000570762700007","View Full Record in Web of Science")</f>
        <v>View Full Record in Web of Science</v>
      </c>
    </row>
    <row r="300" spans="1:72" x14ac:dyDescent="0.2">
      <c r="A300" t="s">
        <v>72</v>
      </c>
      <c r="B300" t="s">
        <v>6147</v>
      </c>
      <c r="C300" t="s">
        <v>74</v>
      </c>
      <c r="D300" t="s">
        <v>74</v>
      </c>
      <c r="E300" t="s">
        <v>74</v>
      </c>
      <c r="F300" t="s">
        <v>6148</v>
      </c>
      <c r="G300" t="s">
        <v>74</v>
      </c>
      <c r="H300" t="s">
        <v>74</v>
      </c>
      <c r="I300" t="s">
        <v>6149</v>
      </c>
      <c r="J300" t="s">
        <v>6150</v>
      </c>
      <c r="K300" t="s">
        <v>74</v>
      </c>
      <c r="L300" t="s">
        <v>74</v>
      </c>
      <c r="M300" t="s">
        <v>78</v>
      </c>
      <c r="N300" t="s">
        <v>79</v>
      </c>
      <c r="O300" t="s">
        <v>74</v>
      </c>
      <c r="P300" t="s">
        <v>74</v>
      </c>
      <c r="Q300" t="s">
        <v>74</v>
      </c>
      <c r="R300" t="s">
        <v>74</v>
      </c>
      <c r="S300" t="s">
        <v>74</v>
      </c>
      <c r="T300" t="s">
        <v>6151</v>
      </c>
      <c r="U300" t="s">
        <v>74</v>
      </c>
      <c r="V300" t="s">
        <v>6152</v>
      </c>
      <c r="W300" t="s">
        <v>6153</v>
      </c>
      <c r="X300" t="s">
        <v>74</v>
      </c>
      <c r="Y300" t="s">
        <v>6154</v>
      </c>
      <c r="Z300" t="s">
        <v>6155</v>
      </c>
      <c r="AA300" t="s">
        <v>6156</v>
      </c>
      <c r="AB300" t="s">
        <v>6157</v>
      </c>
      <c r="AC300" t="s">
        <v>6158</v>
      </c>
      <c r="AD300" t="s">
        <v>6159</v>
      </c>
      <c r="AE300" t="s">
        <v>6160</v>
      </c>
      <c r="AF300" t="s">
        <v>74</v>
      </c>
      <c r="AG300">
        <v>34</v>
      </c>
      <c r="AH300">
        <v>8</v>
      </c>
      <c r="AI300">
        <v>9</v>
      </c>
      <c r="AJ300">
        <v>1</v>
      </c>
      <c r="AK300">
        <v>9</v>
      </c>
      <c r="AL300" t="s">
        <v>3724</v>
      </c>
      <c r="AM300" t="s">
        <v>1996</v>
      </c>
      <c r="AN300" t="s">
        <v>3725</v>
      </c>
      <c r="AO300" t="s">
        <v>6161</v>
      </c>
      <c r="AP300" t="s">
        <v>6162</v>
      </c>
      <c r="AQ300" t="s">
        <v>74</v>
      </c>
      <c r="AR300" t="s">
        <v>6163</v>
      </c>
      <c r="AS300" t="s">
        <v>6164</v>
      </c>
      <c r="AT300" t="s">
        <v>1752</v>
      </c>
      <c r="AU300">
        <v>2021</v>
      </c>
      <c r="AV300">
        <v>36</v>
      </c>
      <c r="AW300">
        <v>4</v>
      </c>
      <c r="AX300" t="s">
        <v>74</v>
      </c>
      <c r="AY300" t="s">
        <v>74</v>
      </c>
      <c r="AZ300" t="s">
        <v>74</v>
      </c>
      <c r="BA300" t="s">
        <v>74</v>
      </c>
      <c r="BB300">
        <v>396</v>
      </c>
      <c r="BC300">
        <v>404</v>
      </c>
      <c r="BD300" t="s">
        <v>74</v>
      </c>
      <c r="BE300" t="s">
        <v>6165</v>
      </c>
      <c r="BF300" t="str">
        <f>HYPERLINK("http://dx.doi.org/10.1017/S1742170521000016","http://dx.doi.org/10.1017/S1742170521000016")</f>
        <v>http://dx.doi.org/10.1017/S1742170521000016</v>
      </c>
      <c r="BG300" t="s">
        <v>74</v>
      </c>
      <c r="BH300" t="s">
        <v>74</v>
      </c>
      <c r="BI300">
        <v>9</v>
      </c>
      <c r="BJ300" t="s">
        <v>101</v>
      </c>
      <c r="BK300" t="s">
        <v>102</v>
      </c>
      <c r="BL300" t="s">
        <v>103</v>
      </c>
      <c r="BM300" t="s">
        <v>6166</v>
      </c>
      <c r="BN300" t="s">
        <v>74</v>
      </c>
      <c r="BO300" t="s">
        <v>2296</v>
      </c>
      <c r="BP300" t="s">
        <v>74</v>
      </c>
      <c r="BQ300" t="s">
        <v>74</v>
      </c>
      <c r="BR300" t="s">
        <v>106</v>
      </c>
      <c r="BS300" t="s">
        <v>6167</v>
      </c>
      <c r="BT300" t="str">
        <f>HYPERLINK("https%3A%2F%2Fwww.webofscience.com%2Fwos%2Fwoscc%2Ffull-record%2FWOS:000779405200009","View Full Record in Web of Science")</f>
        <v>View Full Record in Web of Science</v>
      </c>
    </row>
    <row r="301" spans="1:72" x14ac:dyDescent="0.2">
      <c r="A301" t="s">
        <v>72</v>
      </c>
      <c r="B301" t="s">
        <v>6168</v>
      </c>
      <c r="C301" t="s">
        <v>74</v>
      </c>
      <c r="D301" t="s">
        <v>74</v>
      </c>
      <c r="E301" t="s">
        <v>74</v>
      </c>
      <c r="F301" t="s">
        <v>6169</v>
      </c>
      <c r="G301" t="s">
        <v>74</v>
      </c>
      <c r="H301" t="s">
        <v>74</v>
      </c>
      <c r="I301" t="s">
        <v>6170</v>
      </c>
      <c r="J301" t="s">
        <v>995</v>
      </c>
      <c r="K301" t="s">
        <v>74</v>
      </c>
      <c r="L301" t="s">
        <v>74</v>
      </c>
      <c r="M301" t="s">
        <v>78</v>
      </c>
      <c r="N301" t="s">
        <v>79</v>
      </c>
      <c r="O301" t="s">
        <v>74</v>
      </c>
      <c r="P301" t="s">
        <v>74</v>
      </c>
      <c r="Q301" t="s">
        <v>74</v>
      </c>
      <c r="R301" t="s">
        <v>74</v>
      </c>
      <c r="S301" t="s">
        <v>74</v>
      </c>
      <c r="T301" t="s">
        <v>74</v>
      </c>
      <c r="U301" t="s">
        <v>6171</v>
      </c>
      <c r="V301" t="s">
        <v>6172</v>
      </c>
      <c r="W301" t="s">
        <v>6173</v>
      </c>
      <c r="X301" t="s">
        <v>6174</v>
      </c>
      <c r="Y301" t="s">
        <v>6175</v>
      </c>
      <c r="Z301" t="s">
        <v>6176</v>
      </c>
      <c r="AA301" t="s">
        <v>6177</v>
      </c>
      <c r="AB301" t="s">
        <v>6178</v>
      </c>
      <c r="AC301" t="s">
        <v>6179</v>
      </c>
      <c r="AD301" t="s">
        <v>6180</v>
      </c>
      <c r="AE301" t="s">
        <v>6181</v>
      </c>
      <c r="AF301" t="s">
        <v>74</v>
      </c>
      <c r="AG301">
        <v>70</v>
      </c>
      <c r="AH301">
        <v>9</v>
      </c>
      <c r="AI301">
        <v>10</v>
      </c>
      <c r="AJ301">
        <v>19</v>
      </c>
      <c r="AK301">
        <v>96</v>
      </c>
      <c r="AL301" t="s">
        <v>123</v>
      </c>
      <c r="AM301" t="s">
        <v>124</v>
      </c>
      <c r="AN301" t="s">
        <v>125</v>
      </c>
      <c r="AO301" t="s">
        <v>1008</v>
      </c>
      <c r="AP301" t="s">
        <v>1009</v>
      </c>
      <c r="AQ301" t="s">
        <v>74</v>
      </c>
      <c r="AR301" t="s">
        <v>1010</v>
      </c>
      <c r="AS301" t="s">
        <v>1011</v>
      </c>
      <c r="AT301" t="s">
        <v>3199</v>
      </c>
      <c r="AU301">
        <v>2024</v>
      </c>
      <c r="AV301">
        <v>923</v>
      </c>
      <c r="AW301" t="s">
        <v>74</v>
      </c>
      <c r="AX301" t="s">
        <v>74</v>
      </c>
      <c r="AY301" t="s">
        <v>74</v>
      </c>
      <c r="AZ301" t="s">
        <v>74</v>
      </c>
      <c r="BA301" t="s">
        <v>74</v>
      </c>
      <c r="BB301" t="s">
        <v>74</v>
      </c>
      <c r="BC301" t="s">
        <v>74</v>
      </c>
      <c r="BD301" t="s">
        <v>74</v>
      </c>
      <c r="BE301" t="s">
        <v>6182</v>
      </c>
      <c r="BF301" t="str">
        <f>HYPERLINK("http://dx.doi.org/10.1016/j.scitotenv.2024.171419","http://dx.doi.org/10.1016/j.scitotenv.2024.171419")</f>
        <v>http://dx.doi.org/10.1016/j.scitotenv.2024.171419</v>
      </c>
      <c r="BG301" t="s">
        <v>74</v>
      </c>
      <c r="BH301" t="s">
        <v>5349</v>
      </c>
      <c r="BI301">
        <v>9</v>
      </c>
      <c r="BJ301" t="s">
        <v>567</v>
      </c>
      <c r="BK301" t="s">
        <v>102</v>
      </c>
      <c r="BL301" t="s">
        <v>568</v>
      </c>
      <c r="BM301" t="s">
        <v>6183</v>
      </c>
      <c r="BN301">
        <v>38442752</v>
      </c>
      <c r="BO301" t="s">
        <v>74</v>
      </c>
      <c r="BP301" t="s">
        <v>74</v>
      </c>
      <c r="BQ301" t="s">
        <v>74</v>
      </c>
      <c r="BR301" t="s">
        <v>106</v>
      </c>
      <c r="BS301" t="s">
        <v>6184</v>
      </c>
      <c r="BT301" t="str">
        <f>HYPERLINK("https%3A%2F%2Fwww.webofscience.com%2Fwos%2Fwoscc%2Ffull-record%2FWOS:001218216400001","View Full Record in Web of Science")</f>
        <v>View Full Record in Web of Science</v>
      </c>
    </row>
    <row r="302" spans="1:72" x14ac:dyDescent="0.2">
      <c r="A302" t="s">
        <v>72</v>
      </c>
      <c r="B302" t="s">
        <v>6185</v>
      </c>
      <c r="C302" t="s">
        <v>74</v>
      </c>
      <c r="D302" t="s">
        <v>74</v>
      </c>
      <c r="E302" t="s">
        <v>74</v>
      </c>
      <c r="F302" t="s">
        <v>6186</v>
      </c>
      <c r="G302" t="s">
        <v>74</v>
      </c>
      <c r="H302" t="s">
        <v>74</v>
      </c>
      <c r="I302" t="s">
        <v>6187</v>
      </c>
      <c r="J302" t="s">
        <v>1385</v>
      </c>
      <c r="K302" t="s">
        <v>74</v>
      </c>
      <c r="L302" t="s">
        <v>74</v>
      </c>
      <c r="M302" t="s">
        <v>78</v>
      </c>
      <c r="N302" t="s">
        <v>79</v>
      </c>
      <c r="O302" t="s">
        <v>74</v>
      </c>
      <c r="P302" t="s">
        <v>74</v>
      </c>
      <c r="Q302" t="s">
        <v>74</v>
      </c>
      <c r="R302" t="s">
        <v>74</v>
      </c>
      <c r="S302" t="s">
        <v>74</v>
      </c>
      <c r="T302" t="s">
        <v>6188</v>
      </c>
      <c r="U302" t="s">
        <v>6189</v>
      </c>
      <c r="V302" t="s">
        <v>6190</v>
      </c>
      <c r="W302" t="s">
        <v>6191</v>
      </c>
      <c r="X302" t="s">
        <v>745</v>
      </c>
      <c r="Y302" t="s">
        <v>6192</v>
      </c>
      <c r="Z302" t="s">
        <v>6193</v>
      </c>
      <c r="AA302" t="s">
        <v>6194</v>
      </c>
      <c r="AB302" t="s">
        <v>74</v>
      </c>
      <c r="AC302" t="s">
        <v>74</v>
      </c>
      <c r="AD302" t="s">
        <v>74</v>
      </c>
      <c r="AE302" t="s">
        <v>74</v>
      </c>
      <c r="AF302" t="s">
        <v>74</v>
      </c>
      <c r="AG302">
        <v>33</v>
      </c>
      <c r="AH302">
        <v>1</v>
      </c>
      <c r="AI302">
        <v>1</v>
      </c>
      <c r="AJ302">
        <v>1</v>
      </c>
      <c r="AK302">
        <v>1</v>
      </c>
      <c r="AL302" t="s">
        <v>934</v>
      </c>
      <c r="AM302" t="s">
        <v>177</v>
      </c>
      <c r="AN302" t="s">
        <v>935</v>
      </c>
      <c r="AO302" t="s">
        <v>1397</v>
      </c>
      <c r="AP302" t="s">
        <v>1398</v>
      </c>
      <c r="AQ302" t="s">
        <v>74</v>
      </c>
      <c r="AR302" t="s">
        <v>1399</v>
      </c>
      <c r="AS302" t="s">
        <v>1400</v>
      </c>
      <c r="AT302" t="s">
        <v>1109</v>
      </c>
      <c r="AU302">
        <v>2025</v>
      </c>
      <c r="AV302">
        <v>203</v>
      </c>
      <c r="AW302" t="s">
        <v>74</v>
      </c>
      <c r="AX302" t="s">
        <v>74</v>
      </c>
      <c r="AY302" t="s">
        <v>74</v>
      </c>
      <c r="AZ302" t="s">
        <v>74</v>
      </c>
      <c r="BA302" t="s">
        <v>74</v>
      </c>
      <c r="BB302" t="s">
        <v>74</v>
      </c>
      <c r="BC302" t="s">
        <v>74</v>
      </c>
      <c r="BD302">
        <v>108234</v>
      </c>
      <c r="BE302" t="s">
        <v>6195</v>
      </c>
      <c r="BF302" t="str">
        <f>HYPERLINK("http://dx.doi.org/10.1016/j.biombioe.2025.108234","http://dx.doi.org/10.1016/j.biombioe.2025.108234")</f>
        <v>http://dx.doi.org/10.1016/j.biombioe.2025.108234</v>
      </c>
      <c r="BG302" t="s">
        <v>74</v>
      </c>
      <c r="BH302" t="s">
        <v>513</v>
      </c>
      <c r="BI302">
        <v>12</v>
      </c>
      <c r="BJ302" t="s">
        <v>1402</v>
      </c>
      <c r="BK302" t="s">
        <v>102</v>
      </c>
      <c r="BL302" t="s">
        <v>890</v>
      </c>
      <c r="BM302" t="s">
        <v>6196</v>
      </c>
      <c r="BN302" t="s">
        <v>74</v>
      </c>
      <c r="BO302" t="s">
        <v>74</v>
      </c>
      <c r="BP302" t="s">
        <v>74</v>
      </c>
      <c r="BQ302" t="s">
        <v>74</v>
      </c>
      <c r="BR302" t="s">
        <v>106</v>
      </c>
      <c r="BS302" t="s">
        <v>6197</v>
      </c>
      <c r="BT302" t="str">
        <f>HYPERLINK("https%3A%2F%2Fwww.webofscience.com%2Fwos%2Fwoscc%2Ffull-record%2FWOS:001559370500001","View Full Record in Web of Science")</f>
        <v>View Full Record in Web of Science</v>
      </c>
    </row>
    <row r="303" spans="1:72" x14ac:dyDescent="0.2">
      <c r="A303" t="s">
        <v>72</v>
      </c>
      <c r="B303" t="s">
        <v>6198</v>
      </c>
      <c r="C303" t="s">
        <v>74</v>
      </c>
      <c r="D303" t="s">
        <v>74</v>
      </c>
      <c r="E303" t="s">
        <v>74</v>
      </c>
      <c r="F303" t="s">
        <v>6199</v>
      </c>
      <c r="G303" t="s">
        <v>74</v>
      </c>
      <c r="H303" t="s">
        <v>74</v>
      </c>
      <c r="I303" t="s">
        <v>6200</v>
      </c>
      <c r="J303" t="s">
        <v>491</v>
      </c>
      <c r="K303" t="s">
        <v>74</v>
      </c>
      <c r="L303" t="s">
        <v>74</v>
      </c>
      <c r="M303" t="s">
        <v>78</v>
      </c>
      <c r="N303" t="s">
        <v>492</v>
      </c>
      <c r="O303" t="s">
        <v>74</v>
      </c>
      <c r="P303" t="s">
        <v>74</v>
      </c>
      <c r="Q303" t="s">
        <v>74</v>
      </c>
      <c r="R303" t="s">
        <v>74</v>
      </c>
      <c r="S303" t="s">
        <v>74</v>
      </c>
      <c r="T303" t="s">
        <v>6201</v>
      </c>
      <c r="U303" t="s">
        <v>6202</v>
      </c>
      <c r="V303" t="s">
        <v>6203</v>
      </c>
      <c r="W303" t="s">
        <v>6204</v>
      </c>
      <c r="X303" t="s">
        <v>6205</v>
      </c>
      <c r="Y303" t="s">
        <v>6206</v>
      </c>
      <c r="Z303" t="s">
        <v>6207</v>
      </c>
      <c r="AA303" t="s">
        <v>74</v>
      </c>
      <c r="AB303" t="s">
        <v>74</v>
      </c>
      <c r="AC303" t="s">
        <v>6208</v>
      </c>
      <c r="AD303" t="s">
        <v>6209</v>
      </c>
      <c r="AE303" t="s">
        <v>6210</v>
      </c>
      <c r="AF303" t="s">
        <v>74</v>
      </c>
      <c r="AG303">
        <v>82</v>
      </c>
      <c r="AH303">
        <v>0</v>
      </c>
      <c r="AI303">
        <v>0</v>
      </c>
      <c r="AJ303">
        <v>6</v>
      </c>
      <c r="AK303">
        <v>6</v>
      </c>
      <c r="AL303" t="s">
        <v>504</v>
      </c>
      <c r="AM303" t="s">
        <v>505</v>
      </c>
      <c r="AN303" t="s">
        <v>506</v>
      </c>
      <c r="AO303" t="s">
        <v>507</v>
      </c>
      <c r="AP303" t="s">
        <v>508</v>
      </c>
      <c r="AQ303" t="s">
        <v>74</v>
      </c>
      <c r="AR303" t="s">
        <v>509</v>
      </c>
      <c r="AS303" t="s">
        <v>510</v>
      </c>
      <c r="AT303" t="s">
        <v>6211</v>
      </c>
      <c r="AU303">
        <v>2025</v>
      </c>
      <c r="AV303" t="s">
        <v>74</v>
      </c>
      <c r="AW303" t="s">
        <v>74</v>
      </c>
      <c r="AX303" t="s">
        <v>74</v>
      </c>
      <c r="AY303" t="s">
        <v>74</v>
      </c>
      <c r="AZ303" t="s">
        <v>74</v>
      </c>
      <c r="BA303" t="s">
        <v>74</v>
      </c>
      <c r="BB303" t="s">
        <v>74</v>
      </c>
      <c r="BC303" t="s">
        <v>74</v>
      </c>
      <c r="BD303" t="s">
        <v>74</v>
      </c>
      <c r="BE303" t="s">
        <v>6212</v>
      </c>
      <c r="BF303" t="str">
        <f>HYPERLINK("http://dx.doi.org/10.1007/s10668-025-06776-2","http://dx.doi.org/10.1007/s10668-025-06776-2")</f>
        <v>http://dx.doi.org/10.1007/s10668-025-06776-2</v>
      </c>
      <c r="BG303" t="s">
        <v>74</v>
      </c>
      <c r="BH303" t="s">
        <v>2319</v>
      </c>
      <c r="BI303">
        <v>24</v>
      </c>
      <c r="BJ303" t="s">
        <v>514</v>
      </c>
      <c r="BK303" t="s">
        <v>102</v>
      </c>
      <c r="BL303" t="s">
        <v>485</v>
      </c>
      <c r="BM303" t="s">
        <v>6213</v>
      </c>
      <c r="BN303" t="s">
        <v>74</v>
      </c>
      <c r="BO303" t="s">
        <v>3889</v>
      </c>
      <c r="BP303" t="s">
        <v>74</v>
      </c>
      <c r="BQ303" t="s">
        <v>74</v>
      </c>
      <c r="BR303" t="s">
        <v>106</v>
      </c>
      <c r="BS303" t="s">
        <v>6214</v>
      </c>
      <c r="BT303" t="str">
        <f>HYPERLINK("https%3A%2F%2Fwww.webofscience.com%2Fwos%2Fwoscc%2Ffull-record%2FWOS:001592178000001","View Full Record in Web of Science")</f>
        <v>View Full Record in Web of Science</v>
      </c>
    </row>
    <row r="304" spans="1:72" x14ac:dyDescent="0.2">
      <c r="A304" t="s">
        <v>72</v>
      </c>
      <c r="B304" t="s">
        <v>6215</v>
      </c>
      <c r="C304" t="s">
        <v>74</v>
      </c>
      <c r="D304" t="s">
        <v>74</v>
      </c>
      <c r="E304" t="s">
        <v>74</v>
      </c>
      <c r="F304" t="s">
        <v>6216</v>
      </c>
      <c r="G304" t="s">
        <v>74</v>
      </c>
      <c r="H304" t="s">
        <v>74</v>
      </c>
      <c r="I304" t="s">
        <v>6217</v>
      </c>
      <c r="J304" t="s">
        <v>5578</v>
      </c>
      <c r="K304" t="s">
        <v>74</v>
      </c>
      <c r="L304" t="s">
        <v>74</v>
      </c>
      <c r="M304" t="s">
        <v>78</v>
      </c>
      <c r="N304" t="s">
        <v>79</v>
      </c>
      <c r="O304" t="s">
        <v>74</v>
      </c>
      <c r="P304" t="s">
        <v>74</v>
      </c>
      <c r="Q304" t="s">
        <v>74</v>
      </c>
      <c r="R304" t="s">
        <v>74</v>
      </c>
      <c r="S304" t="s">
        <v>74</v>
      </c>
      <c r="T304" t="s">
        <v>6218</v>
      </c>
      <c r="U304" t="s">
        <v>6219</v>
      </c>
      <c r="V304" t="s">
        <v>6220</v>
      </c>
      <c r="W304" t="s">
        <v>6221</v>
      </c>
      <c r="X304" t="s">
        <v>2652</v>
      </c>
      <c r="Y304" t="s">
        <v>6222</v>
      </c>
      <c r="Z304" t="s">
        <v>6223</v>
      </c>
      <c r="AA304" t="s">
        <v>6224</v>
      </c>
      <c r="AB304" t="s">
        <v>74</v>
      </c>
      <c r="AC304" t="s">
        <v>6225</v>
      </c>
      <c r="AD304" t="s">
        <v>6226</v>
      </c>
      <c r="AE304" t="s">
        <v>6227</v>
      </c>
      <c r="AF304" t="s">
        <v>74</v>
      </c>
      <c r="AG304">
        <v>59</v>
      </c>
      <c r="AH304">
        <v>2</v>
      </c>
      <c r="AI304">
        <v>3</v>
      </c>
      <c r="AJ304">
        <v>32</v>
      </c>
      <c r="AK304">
        <v>32</v>
      </c>
      <c r="AL304" t="s">
        <v>504</v>
      </c>
      <c r="AM304" t="s">
        <v>505</v>
      </c>
      <c r="AN304" t="s">
        <v>506</v>
      </c>
      <c r="AO304" t="s">
        <v>5589</v>
      </c>
      <c r="AP304" t="s">
        <v>5590</v>
      </c>
      <c r="AQ304" t="s">
        <v>74</v>
      </c>
      <c r="AR304" t="s">
        <v>5591</v>
      </c>
      <c r="AS304" t="s">
        <v>5592</v>
      </c>
      <c r="AT304" t="s">
        <v>2017</v>
      </c>
      <c r="AU304">
        <v>2025</v>
      </c>
      <c r="AV304">
        <v>515</v>
      </c>
      <c r="AW304">
        <v>1</v>
      </c>
      <c r="AX304" t="s">
        <v>74</v>
      </c>
      <c r="AY304" t="s">
        <v>74</v>
      </c>
      <c r="AZ304" t="s">
        <v>74</v>
      </c>
      <c r="BA304" t="s">
        <v>74</v>
      </c>
      <c r="BB304">
        <v>613</v>
      </c>
      <c r="BC304">
        <v>627</v>
      </c>
      <c r="BD304" t="s">
        <v>74</v>
      </c>
      <c r="BE304" t="s">
        <v>6228</v>
      </c>
      <c r="BF304" t="str">
        <f>HYPERLINK("http://dx.doi.org/10.1007/s11104-025-07608-y","http://dx.doi.org/10.1007/s11104-025-07608-y")</f>
        <v>http://dx.doi.org/10.1007/s11104-025-07608-y</v>
      </c>
      <c r="BG304" t="s">
        <v>74</v>
      </c>
      <c r="BH304" t="s">
        <v>413</v>
      </c>
      <c r="BI304">
        <v>15</v>
      </c>
      <c r="BJ304" t="s">
        <v>5595</v>
      </c>
      <c r="BK304" t="s">
        <v>102</v>
      </c>
      <c r="BL304" t="s">
        <v>462</v>
      </c>
      <c r="BM304" t="s">
        <v>6229</v>
      </c>
      <c r="BN304" t="s">
        <v>74</v>
      </c>
      <c r="BO304" t="s">
        <v>74</v>
      </c>
      <c r="BP304" t="s">
        <v>74</v>
      </c>
      <c r="BQ304" t="s">
        <v>74</v>
      </c>
      <c r="BR304" t="s">
        <v>106</v>
      </c>
      <c r="BS304" t="s">
        <v>6230</v>
      </c>
      <c r="BT304" t="str">
        <f>HYPERLINK("https%3A%2F%2Fwww.webofscience.com%2Fwos%2Fwoscc%2Ffull-record%2FWOS:001503460300001","View Full Record in Web of Science")</f>
        <v>View Full Record in Web of Science</v>
      </c>
    </row>
    <row r="305" spans="1:72" x14ac:dyDescent="0.2">
      <c r="A305" t="s">
        <v>72</v>
      </c>
      <c r="B305" t="s">
        <v>6231</v>
      </c>
      <c r="C305" t="s">
        <v>74</v>
      </c>
      <c r="D305" t="s">
        <v>74</v>
      </c>
      <c r="E305" t="s">
        <v>74</v>
      </c>
      <c r="F305" t="s">
        <v>6232</v>
      </c>
      <c r="G305" t="s">
        <v>74</v>
      </c>
      <c r="H305" t="s">
        <v>74</v>
      </c>
      <c r="I305" t="s">
        <v>6233</v>
      </c>
      <c r="J305" t="s">
        <v>5006</v>
      </c>
      <c r="K305" t="s">
        <v>74</v>
      </c>
      <c r="L305" t="s">
        <v>74</v>
      </c>
      <c r="M305" t="s">
        <v>78</v>
      </c>
      <c r="N305" t="s">
        <v>79</v>
      </c>
      <c r="O305" t="s">
        <v>74</v>
      </c>
      <c r="P305" t="s">
        <v>74</v>
      </c>
      <c r="Q305" t="s">
        <v>74</v>
      </c>
      <c r="R305" t="s">
        <v>74</v>
      </c>
      <c r="S305" t="s">
        <v>74</v>
      </c>
      <c r="T305" t="s">
        <v>6234</v>
      </c>
      <c r="U305" t="s">
        <v>6235</v>
      </c>
      <c r="V305" t="s">
        <v>6236</v>
      </c>
      <c r="W305" t="s">
        <v>6237</v>
      </c>
      <c r="X305" t="s">
        <v>6238</v>
      </c>
      <c r="Y305" t="s">
        <v>6239</v>
      </c>
      <c r="Z305" t="s">
        <v>6240</v>
      </c>
      <c r="AA305" t="s">
        <v>6241</v>
      </c>
      <c r="AB305" t="s">
        <v>6242</v>
      </c>
      <c r="AC305" t="s">
        <v>6243</v>
      </c>
      <c r="AD305" t="s">
        <v>6244</v>
      </c>
      <c r="AE305" t="s">
        <v>6245</v>
      </c>
      <c r="AF305" t="s">
        <v>74</v>
      </c>
      <c r="AG305">
        <v>57</v>
      </c>
      <c r="AH305">
        <v>5</v>
      </c>
      <c r="AI305">
        <v>6</v>
      </c>
      <c r="AJ305">
        <v>5</v>
      </c>
      <c r="AK305">
        <v>13</v>
      </c>
      <c r="AL305" t="s">
        <v>123</v>
      </c>
      <c r="AM305" t="s">
        <v>124</v>
      </c>
      <c r="AN305" t="s">
        <v>125</v>
      </c>
      <c r="AO305" t="s">
        <v>5019</v>
      </c>
      <c r="AP305" t="s">
        <v>74</v>
      </c>
      <c r="AQ305" t="s">
        <v>74</v>
      </c>
      <c r="AR305" t="s">
        <v>5020</v>
      </c>
      <c r="AS305" t="s">
        <v>5021</v>
      </c>
      <c r="AT305" t="s">
        <v>99</v>
      </c>
      <c r="AU305">
        <v>2024</v>
      </c>
      <c r="AV305">
        <v>36</v>
      </c>
      <c r="AW305" t="s">
        <v>74</v>
      </c>
      <c r="AX305" t="s">
        <v>74</v>
      </c>
      <c r="AY305" t="s">
        <v>74</v>
      </c>
      <c r="AZ305" t="s">
        <v>74</v>
      </c>
      <c r="BA305" t="s">
        <v>74</v>
      </c>
      <c r="BB305" t="s">
        <v>74</v>
      </c>
      <c r="BC305" t="s">
        <v>74</v>
      </c>
      <c r="BD305" t="s">
        <v>6246</v>
      </c>
      <c r="BE305" t="s">
        <v>6247</v>
      </c>
      <c r="BF305" t="str">
        <f>HYPERLINK("http://dx.doi.org/10.1016/j.geodrs.2024.e00761","http://dx.doi.org/10.1016/j.geodrs.2024.e00761")</f>
        <v>http://dx.doi.org/10.1016/j.geodrs.2024.e00761</v>
      </c>
      <c r="BG305" t="s">
        <v>74</v>
      </c>
      <c r="BH305" t="s">
        <v>2430</v>
      </c>
      <c r="BI305">
        <v>8</v>
      </c>
      <c r="BJ305" t="s">
        <v>256</v>
      </c>
      <c r="BK305" t="s">
        <v>102</v>
      </c>
      <c r="BL305" t="s">
        <v>103</v>
      </c>
      <c r="BM305" t="s">
        <v>6248</v>
      </c>
      <c r="BN305" t="s">
        <v>74</v>
      </c>
      <c r="BO305" t="s">
        <v>74</v>
      </c>
      <c r="BP305" t="s">
        <v>74</v>
      </c>
      <c r="BQ305" t="s">
        <v>74</v>
      </c>
      <c r="BR305" t="s">
        <v>106</v>
      </c>
      <c r="BS305" t="s">
        <v>6249</v>
      </c>
      <c r="BT305" t="str">
        <f>HYPERLINK("https%3A%2F%2Fwww.webofscience.com%2Fwos%2Fwoscc%2Ffull-record%2FWOS:001178801900001","View Full Record in Web of Science")</f>
        <v>View Full Record in Web of Science</v>
      </c>
    </row>
    <row r="306" spans="1:72" x14ac:dyDescent="0.2">
      <c r="A306" t="s">
        <v>72</v>
      </c>
      <c r="B306" t="s">
        <v>6250</v>
      </c>
      <c r="C306" t="s">
        <v>74</v>
      </c>
      <c r="D306" t="s">
        <v>74</v>
      </c>
      <c r="E306" t="s">
        <v>74</v>
      </c>
      <c r="F306" t="s">
        <v>6251</v>
      </c>
      <c r="G306" t="s">
        <v>74</v>
      </c>
      <c r="H306" t="s">
        <v>74</v>
      </c>
      <c r="I306" t="s">
        <v>6252</v>
      </c>
      <c r="J306" t="s">
        <v>6253</v>
      </c>
      <c r="K306" t="s">
        <v>74</v>
      </c>
      <c r="L306" t="s">
        <v>74</v>
      </c>
      <c r="M306" t="s">
        <v>78</v>
      </c>
      <c r="N306" t="s">
        <v>79</v>
      </c>
      <c r="O306" t="s">
        <v>74</v>
      </c>
      <c r="P306" t="s">
        <v>74</v>
      </c>
      <c r="Q306" t="s">
        <v>74</v>
      </c>
      <c r="R306" t="s">
        <v>74</v>
      </c>
      <c r="S306" t="s">
        <v>74</v>
      </c>
      <c r="T306" t="s">
        <v>6254</v>
      </c>
      <c r="U306" t="s">
        <v>6255</v>
      </c>
      <c r="V306" t="s">
        <v>6256</v>
      </c>
      <c r="W306" t="s">
        <v>6257</v>
      </c>
      <c r="X306" t="s">
        <v>6258</v>
      </c>
      <c r="Y306" t="s">
        <v>6259</v>
      </c>
      <c r="Z306" t="s">
        <v>6260</v>
      </c>
      <c r="AA306" t="s">
        <v>6261</v>
      </c>
      <c r="AB306" t="s">
        <v>6262</v>
      </c>
      <c r="AC306" t="s">
        <v>6263</v>
      </c>
      <c r="AD306" t="s">
        <v>6264</v>
      </c>
      <c r="AE306" t="s">
        <v>6265</v>
      </c>
      <c r="AF306" t="s">
        <v>74</v>
      </c>
      <c r="AG306">
        <v>76</v>
      </c>
      <c r="AH306">
        <v>14</v>
      </c>
      <c r="AI306">
        <v>15</v>
      </c>
      <c r="AJ306">
        <v>17</v>
      </c>
      <c r="AK306">
        <v>83</v>
      </c>
      <c r="AL306" t="s">
        <v>123</v>
      </c>
      <c r="AM306" t="s">
        <v>124</v>
      </c>
      <c r="AN306" t="s">
        <v>125</v>
      </c>
      <c r="AO306" t="s">
        <v>6266</v>
      </c>
      <c r="AP306" t="s">
        <v>74</v>
      </c>
      <c r="AQ306" t="s">
        <v>74</v>
      </c>
      <c r="AR306" t="s">
        <v>6267</v>
      </c>
      <c r="AS306" t="s">
        <v>6268</v>
      </c>
      <c r="AT306" t="s">
        <v>912</v>
      </c>
      <c r="AU306">
        <v>2024</v>
      </c>
      <c r="AV306">
        <v>55</v>
      </c>
      <c r="AW306" t="s">
        <v>74</v>
      </c>
      <c r="AX306" t="s">
        <v>74</v>
      </c>
      <c r="AY306" t="s">
        <v>74</v>
      </c>
      <c r="AZ306" t="s">
        <v>74</v>
      </c>
      <c r="BA306" t="s">
        <v>74</v>
      </c>
      <c r="BB306" t="s">
        <v>74</v>
      </c>
      <c r="BC306" t="s">
        <v>74</v>
      </c>
      <c r="BD306">
        <v>101974</v>
      </c>
      <c r="BE306" t="s">
        <v>6269</v>
      </c>
      <c r="BF306" t="str">
        <f>HYPERLINK("http://dx.doi.org/10.1016/j.uclim.2024.101974","http://dx.doi.org/10.1016/j.uclim.2024.101974")</f>
        <v>http://dx.doi.org/10.1016/j.uclim.2024.101974</v>
      </c>
      <c r="BG306" t="s">
        <v>74</v>
      </c>
      <c r="BH306" t="s">
        <v>566</v>
      </c>
      <c r="BI306">
        <v>23</v>
      </c>
      <c r="BJ306" t="s">
        <v>782</v>
      </c>
      <c r="BK306" t="s">
        <v>102</v>
      </c>
      <c r="BL306" t="s">
        <v>783</v>
      </c>
      <c r="BM306" t="s">
        <v>6270</v>
      </c>
      <c r="BN306" t="s">
        <v>74</v>
      </c>
      <c r="BO306" t="s">
        <v>74</v>
      </c>
      <c r="BP306" t="s">
        <v>74</v>
      </c>
      <c r="BQ306" t="s">
        <v>74</v>
      </c>
      <c r="BR306" t="s">
        <v>106</v>
      </c>
      <c r="BS306" t="s">
        <v>6271</v>
      </c>
      <c r="BT306" t="str">
        <f>HYPERLINK("https%3A%2F%2Fwww.webofscience.com%2Fwos%2Fwoscc%2Ffull-record%2FWOS:001292479900001","View Full Record in Web of Science")</f>
        <v>View Full Record in Web of Science</v>
      </c>
    </row>
    <row r="307" spans="1:72" x14ac:dyDescent="0.2">
      <c r="A307" t="s">
        <v>72</v>
      </c>
      <c r="B307" t="s">
        <v>6272</v>
      </c>
      <c r="C307" t="s">
        <v>74</v>
      </c>
      <c r="D307" t="s">
        <v>74</v>
      </c>
      <c r="E307" t="s">
        <v>74</v>
      </c>
      <c r="F307" t="s">
        <v>6273</v>
      </c>
      <c r="G307" t="s">
        <v>74</v>
      </c>
      <c r="H307" t="s">
        <v>74</v>
      </c>
      <c r="I307" t="s">
        <v>6274</v>
      </c>
      <c r="J307" t="s">
        <v>468</v>
      </c>
      <c r="K307" t="s">
        <v>74</v>
      </c>
      <c r="L307" t="s">
        <v>74</v>
      </c>
      <c r="M307" t="s">
        <v>78</v>
      </c>
      <c r="N307" t="s">
        <v>79</v>
      </c>
      <c r="O307" t="s">
        <v>74</v>
      </c>
      <c r="P307" t="s">
        <v>74</v>
      </c>
      <c r="Q307" t="s">
        <v>74</v>
      </c>
      <c r="R307" t="s">
        <v>74</v>
      </c>
      <c r="S307" t="s">
        <v>74</v>
      </c>
      <c r="T307" t="s">
        <v>6275</v>
      </c>
      <c r="U307" t="s">
        <v>6276</v>
      </c>
      <c r="V307" t="s">
        <v>6277</v>
      </c>
      <c r="W307" t="s">
        <v>6278</v>
      </c>
      <c r="X307" t="s">
        <v>6279</v>
      </c>
      <c r="Y307" t="s">
        <v>6280</v>
      </c>
      <c r="Z307" t="s">
        <v>6281</v>
      </c>
      <c r="AA307" t="s">
        <v>6282</v>
      </c>
      <c r="AB307" t="s">
        <v>6283</v>
      </c>
      <c r="AC307" t="s">
        <v>6284</v>
      </c>
      <c r="AD307" t="s">
        <v>6285</v>
      </c>
      <c r="AE307" t="s">
        <v>6286</v>
      </c>
      <c r="AF307" t="s">
        <v>74</v>
      </c>
      <c r="AG307">
        <v>71</v>
      </c>
      <c r="AH307">
        <v>45</v>
      </c>
      <c r="AI307">
        <v>50</v>
      </c>
      <c r="AJ307">
        <v>7</v>
      </c>
      <c r="AK307">
        <v>135</v>
      </c>
      <c r="AL307" t="s">
        <v>222</v>
      </c>
      <c r="AM307" t="s">
        <v>223</v>
      </c>
      <c r="AN307" t="s">
        <v>224</v>
      </c>
      <c r="AO307" t="s">
        <v>479</v>
      </c>
      <c r="AP307" t="s">
        <v>74</v>
      </c>
      <c r="AQ307" t="s">
        <v>74</v>
      </c>
      <c r="AR307" t="s">
        <v>480</v>
      </c>
      <c r="AS307" t="s">
        <v>481</v>
      </c>
      <c r="AT307" t="s">
        <v>281</v>
      </c>
      <c r="AU307">
        <v>2018</v>
      </c>
      <c r="AV307">
        <v>10</v>
      </c>
      <c r="AW307">
        <v>6</v>
      </c>
      <c r="AX307" t="s">
        <v>74</v>
      </c>
      <c r="AY307" t="s">
        <v>74</v>
      </c>
      <c r="AZ307" t="s">
        <v>74</v>
      </c>
      <c r="BA307" t="s">
        <v>74</v>
      </c>
      <c r="BB307" t="s">
        <v>74</v>
      </c>
      <c r="BC307" t="s">
        <v>74</v>
      </c>
      <c r="BD307">
        <v>1932</v>
      </c>
      <c r="BE307" t="s">
        <v>6287</v>
      </c>
      <c r="BF307" t="str">
        <f>HYPERLINK("http://dx.doi.org/10.3390/su10061932","http://dx.doi.org/10.3390/su10061932")</f>
        <v>http://dx.doi.org/10.3390/su10061932</v>
      </c>
      <c r="BG307" t="s">
        <v>74</v>
      </c>
      <c r="BH307" t="s">
        <v>74</v>
      </c>
      <c r="BI307">
        <v>32</v>
      </c>
      <c r="BJ307" t="s">
        <v>484</v>
      </c>
      <c r="BK307" t="s">
        <v>186</v>
      </c>
      <c r="BL307" t="s">
        <v>485</v>
      </c>
      <c r="BM307" t="s">
        <v>6288</v>
      </c>
      <c r="BN307" t="s">
        <v>74</v>
      </c>
      <c r="BO307" t="s">
        <v>161</v>
      </c>
      <c r="BP307" t="s">
        <v>74</v>
      </c>
      <c r="BQ307" t="s">
        <v>74</v>
      </c>
      <c r="BR307" t="s">
        <v>106</v>
      </c>
      <c r="BS307" t="s">
        <v>6289</v>
      </c>
      <c r="BT307" t="str">
        <f>HYPERLINK("https%3A%2F%2Fwww.webofscience.com%2Fwos%2Fwoscc%2Ffull-record%2FWOS:000436570100244","View Full Record in Web of Science")</f>
        <v>View Full Record in Web of Science</v>
      </c>
    </row>
    <row r="308" spans="1:72" x14ac:dyDescent="0.2">
      <c r="A308" t="s">
        <v>72</v>
      </c>
      <c r="B308" t="s">
        <v>6290</v>
      </c>
      <c r="C308" t="s">
        <v>74</v>
      </c>
      <c r="D308" t="s">
        <v>74</v>
      </c>
      <c r="E308" t="s">
        <v>74</v>
      </c>
      <c r="F308" t="s">
        <v>6291</v>
      </c>
      <c r="G308" t="s">
        <v>74</v>
      </c>
      <c r="H308" t="s">
        <v>74</v>
      </c>
      <c r="I308" t="s">
        <v>6292</v>
      </c>
      <c r="J308" t="s">
        <v>897</v>
      </c>
      <c r="K308" t="s">
        <v>74</v>
      </c>
      <c r="L308" t="s">
        <v>74</v>
      </c>
      <c r="M308" t="s">
        <v>78</v>
      </c>
      <c r="N308" t="s">
        <v>79</v>
      </c>
      <c r="O308" t="s">
        <v>74</v>
      </c>
      <c r="P308" t="s">
        <v>74</v>
      </c>
      <c r="Q308" t="s">
        <v>74</v>
      </c>
      <c r="R308" t="s">
        <v>74</v>
      </c>
      <c r="S308" t="s">
        <v>74</v>
      </c>
      <c r="T308" t="s">
        <v>74</v>
      </c>
      <c r="U308" t="s">
        <v>6293</v>
      </c>
      <c r="V308" t="s">
        <v>6294</v>
      </c>
      <c r="W308" t="s">
        <v>6295</v>
      </c>
      <c r="X308" t="s">
        <v>6296</v>
      </c>
      <c r="Y308" t="s">
        <v>6297</v>
      </c>
      <c r="Z308" t="s">
        <v>6298</v>
      </c>
      <c r="AA308" t="s">
        <v>6299</v>
      </c>
      <c r="AB308" t="s">
        <v>6300</v>
      </c>
      <c r="AC308" t="s">
        <v>6301</v>
      </c>
      <c r="AD308" t="s">
        <v>6302</v>
      </c>
      <c r="AE308" t="s">
        <v>6303</v>
      </c>
      <c r="AF308" t="s">
        <v>74</v>
      </c>
      <c r="AG308">
        <v>43</v>
      </c>
      <c r="AH308">
        <v>60</v>
      </c>
      <c r="AI308">
        <v>69</v>
      </c>
      <c r="AJ308">
        <v>7</v>
      </c>
      <c r="AK308">
        <v>223</v>
      </c>
      <c r="AL308" t="s">
        <v>504</v>
      </c>
      <c r="AM308" t="s">
        <v>505</v>
      </c>
      <c r="AN308" t="s">
        <v>506</v>
      </c>
      <c r="AO308" t="s">
        <v>909</v>
      </c>
      <c r="AP308" t="s">
        <v>910</v>
      </c>
      <c r="AQ308" t="s">
        <v>74</v>
      </c>
      <c r="AR308" t="s">
        <v>897</v>
      </c>
      <c r="AS308" t="s">
        <v>911</v>
      </c>
      <c r="AT308" t="s">
        <v>227</v>
      </c>
      <c r="AU308">
        <v>2015</v>
      </c>
      <c r="AV308">
        <v>128</v>
      </c>
      <c r="AW308" t="s">
        <v>913</v>
      </c>
      <c r="AX308" t="s">
        <v>74</v>
      </c>
      <c r="AY308" t="s">
        <v>74</v>
      </c>
      <c r="AZ308" t="s">
        <v>74</v>
      </c>
      <c r="BA308" t="s">
        <v>74</v>
      </c>
      <c r="BB308">
        <v>57</v>
      </c>
      <c r="BC308">
        <v>70</v>
      </c>
      <c r="BD308" t="s">
        <v>74</v>
      </c>
      <c r="BE308" t="s">
        <v>6304</v>
      </c>
      <c r="BF308" t="str">
        <f>HYPERLINK("http://dx.doi.org/10.1007/s10584-014-1289-7","http://dx.doi.org/10.1007/s10584-014-1289-7")</f>
        <v>http://dx.doi.org/10.1007/s10584-014-1289-7</v>
      </c>
      <c r="BG308" t="s">
        <v>74</v>
      </c>
      <c r="BH308" t="s">
        <v>74</v>
      </c>
      <c r="BI308">
        <v>14</v>
      </c>
      <c r="BJ308" t="s">
        <v>782</v>
      </c>
      <c r="BK308" t="s">
        <v>102</v>
      </c>
      <c r="BL308" t="s">
        <v>783</v>
      </c>
      <c r="BM308" t="s">
        <v>6305</v>
      </c>
      <c r="BN308" t="s">
        <v>74</v>
      </c>
      <c r="BO308" t="s">
        <v>541</v>
      </c>
      <c r="BP308" t="s">
        <v>74</v>
      </c>
      <c r="BQ308" t="s">
        <v>74</v>
      </c>
      <c r="BR308" t="s">
        <v>106</v>
      </c>
      <c r="BS308" t="s">
        <v>6306</v>
      </c>
      <c r="BT308" t="str">
        <f>HYPERLINK("https%3A%2F%2Fwww.webofscience.com%2Fwos%2Fwoscc%2Ffull-record%2FWOS:000346236800004","View Full Record in Web of Science")</f>
        <v>View Full Record in Web of Science</v>
      </c>
    </row>
    <row r="309" spans="1:72" x14ac:dyDescent="0.2">
      <c r="A309" t="s">
        <v>72</v>
      </c>
      <c r="B309" t="s">
        <v>6307</v>
      </c>
      <c r="C309" t="s">
        <v>74</v>
      </c>
      <c r="D309" t="s">
        <v>74</v>
      </c>
      <c r="E309" t="s">
        <v>74</v>
      </c>
      <c r="F309" t="s">
        <v>6308</v>
      </c>
      <c r="G309" t="s">
        <v>74</v>
      </c>
      <c r="H309" t="s">
        <v>74</v>
      </c>
      <c r="I309" t="s">
        <v>6309</v>
      </c>
      <c r="J309" t="s">
        <v>2923</v>
      </c>
      <c r="K309" t="s">
        <v>74</v>
      </c>
      <c r="L309" t="s">
        <v>74</v>
      </c>
      <c r="M309" t="s">
        <v>78</v>
      </c>
      <c r="N309" t="s">
        <v>79</v>
      </c>
      <c r="O309" t="s">
        <v>74</v>
      </c>
      <c r="P309" t="s">
        <v>74</v>
      </c>
      <c r="Q309" t="s">
        <v>74</v>
      </c>
      <c r="R309" t="s">
        <v>74</v>
      </c>
      <c r="S309" t="s">
        <v>74</v>
      </c>
      <c r="T309" t="s">
        <v>6310</v>
      </c>
      <c r="U309" t="s">
        <v>6311</v>
      </c>
      <c r="V309" t="s">
        <v>6312</v>
      </c>
      <c r="W309" t="s">
        <v>6313</v>
      </c>
      <c r="X309" t="s">
        <v>6314</v>
      </c>
      <c r="Y309" t="s">
        <v>6315</v>
      </c>
      <c r="Z309" t="s">
        <v>6316</v>
      </c>
      <c r="AA309" t="s">
        <v>6317</v>
      </c>
      <c r="AB309" t="s">
        <v>6318</v>
      </c>
      <c r="AC309" t="s">
        <v>6319</v>
      </c>
      <c r="AD309" t="s">
        <v>6320</v>
      </c>
      <c r="AE309" t="s">
        <v>6321</v>
      </c>
      <c r="AF309" t="s">
        <v>74</v>
      </c>
      <c r="AG309">
        <v>65</v>
      </c>
      <c r="AH309">
        <v>28</v>
      </c>
      <c r="AI309">
        <v>31</v>
      </c>
      <c r="AJ309">
        <v>12</v>
      </c>
      <c r="AK309">
        <v>240</v>
      </c>
      <c r="AL309" t="s">
        <v>222</v>
      </c>
      <c r="AM309" t="s">
        <v>223</v>
      </c>
      <c r="AN309" t="s">
        <v>478</v>
      </c>
      <c r="AO309" t="s">
        <v>74</v>
      </c>
      <c r="AP309" t="s">
        <v>2935</v>
      </c>
      <c r="AQ309" t="s">
        <v>74</v>
      </c>
      <c r="AR309" t="s">
        <v>2936</v>
      </c>
      <c r="AS309" t="s">
        <v>2937</v>
      </c>
      <c r="AT309" t="s">
        <v>227</v>
      </c>
      <c r="AU309">
        <v>2021</v>
      </c>
      <c r="AV309">
        <v>18</v>
      </c>
      <c r="AW309">
        <v>2</v>
      </c>
      <c r="AX309" t="s">
        <v>74</v>
      </c>
      <c r="AY309" t="s">
        <v>74</v>
      </c>
      <c r="AZ309" t="s">
        <v>74</v>
      </c>
      <c r="BA309" t="s">
        <v>74</v>
      </c>
      <c r="BB309" t="s">
        <v>74</v>
      </c>
      <c r="BC309" t="s">
        <v>74</v>
      </c>
      <c r="BD309">
        <v>705</v>
      </c>
      <c r="BE309" t="s">
        <v>6322</v>
      </c>
      <c r="BF309" t="str">
        <f>HYPERLINK("http://dx.doi.org/10.3390/ijerph18020705","http://dx.doi.org/10.3390/ijerph18020705")</f>
        <v>http://dx.doi.org/10.3390/ijerph18020705</v>
      </c>
      <c r="BG309" t="s">
        <v>74</v>
      </c>
      <c r="BH309" t="s">
        <v>74</v>
      </c>
      <c r="BI309">
        <v>20</v>
      </c>
      <c r="BJ309" t="s">
        <v>1042</v>
      </c>
      <c r="BK309" t="s">
        <v>186</v>
      </c>
      <c r="BL309" t="s">
        <v>1043</v>
      </c>
      <c r="BM309" t="s">
        <v>6323</v>
      </c>
      <c r="BN309">
        <v>33467543</v>
      </c>
      <c r="BO309" t="s">
        <v>161</v>
      </c>
      <c r="BP309" t="s">
        <v>74</v>
      </c>
      <c r="BQ309" t="s">
        <v>74</v>
      </c>
      <c r="BR309" t="s">
        <v>106</v>
      </c>
      <c r="BS309" t="s">
        <v>6324</v>
      </c>
      <c r="BT309" t="str">
        <f>HYPERLINK("https%3A%2F%2Fwww.webofscience.com%2Fwos%2Fwoscc%2Ffull-record%2FWOS:000611273200001","View Full Record in Web of Science")</f>
        <v>View Full Record in Web of Science</v>
      </c>
    </row>
    <row r="310" spans="1:72" x14ac:dyDescent="0.2">
      <c r="A310" t="s">
        <v>72</v>
      </c>
      <c r="B310" t="s">
        <v>6325</v>
      </c>
      <c r="C310" t="s">
        <v>74</v>
      </c>
      <c r="D310" t="s">
        <v>74</v>
      </c>
      <c r="E310" t="s">
        <v>74</v>
      </c>
      <c r="F310" t="s">
        <v>6326</v>
      </c>
      <c r="G310" t="s">
        <v>74</v>
      </c>
      <c r="H310" t="s">
        <v>74</v>
      </c>
      <c r="I310" t="s">
        <v>6327</v>
      </c>
      <c r="J310" t="s">
        <v>468</v>
      </c>
      <c r="K310" t="s">
        <v>74</v>
      </c>
      <c r="L310" t="s">
        <v>74</v>
      </c>
      <c r="M310" t="s">
        <v>78</v>
      </c>
      <c r="N310" t="s">
        <v>79</v>
      </c>
      <c r="O310" t="s">
        <v>74</v>
      </c>
      <c r="P310" t="s">
        <v>74</v>
      </c>
      <c r="Q310" t="s">
        <v>74</v>
      </c>
      <c r="R310" t="s">
        <v>74</v>
      </c>
      <c r="S310" t="s">
        <v>74</v>
      </c>
      <c r="T310" t="s">
        <v>6328</v>
      </c>
      <c r="U310" t="s">
        <v>6329</v>
      </c>
      <c r="V310" t="s">
        <v>6330</v>
      </c>
      <c r="W310" t="s">
        <v>6331</v>
      </c>
      <c r="X310" t="s">
        <v>6332</v>
      </c>
      <c r="Y310" t="s">
        <v>6333</v>
      </c>
      <c r="Z310" t="s">
        <v>6334</v>
      </c>
      <c r="AA310" t="s">
        <v>6335</v>
      </c>
      <c r="AB310" t="s">
        <v>6336</v>
      </c>
      <c r="AC310" t="s">
        <v>6337</v>
      </c>
      <c r="AD310" t="s">
        <v>6338</v>
      </c>
      <c r="AE310" t="s">
        <v>6339</v>
      </c>
      <c r="AF310" t="s">
        <v>74</v>
      </c>
      <c r="AG310">
        <v>42</v>
      </c>
      <c r="AH310">
        <v>44</v>
      </c>
      <c r="AI310">
        <v>49</v>
      </c>
      <c r="AJ310">
        <v>11</v>
      </c>
      <c r="AK310">
        <v>236</v>
      </c>
      <c r="AL310" t="s">
        <v>222</v>
      </c>
      <c r="AM310" t="s">
        <v>223</v>
      </c>
      <c r="AN310" t="s">
        <v>478</v>
      </c>
      <c r="AO310" t="s">
        <v>74</v>
      </c>
      <c r="AP310" t="s">
        <v>479</v>
      </c>
      <c r="AQ310" t="s">
        <v>74</v>
      </c>
      <c r="AR310" t="s">
        <v>480</v>
      </c>
      <c r="AS310" t="s">
        <v>481</v>
      </c>
      <c r="AT310" t="s">
        <v>1109</v>
      </c>
      <c r="AU310">
        <v>2021</v>
      </c>
      <c r="AV310">
        <v>13</v>
      </c>
      <c r="AW310">
        <v>23</v>
      </c>
      <c r="AX310" t="s">
        <v>74</v>
      </c>
      <c r="AY310" t="s">
        <v>74</v>
      </c>
      <c r="AZ310" t="s">
        <v>74</v>
      </c>
      <c r="BA310" t="s">
        <v>74</v>
      </c>
      <c r="BB310" t="s">
        <v>74</v>
      </c>
      <c r="BC310" t="s">
        <v>74</v>
      </c>
      <c r="BD310">
        <v>12984</v>
      </c>
      <c r="BE310" t="s">
        <v>6340</v>
      </c>
      <c r="BF310" t="str">
        <f>HYPERLINK("http://dx.doi.org/10.3390/su132312984","http://dx.doi.org/10.3390/su132312984")</f>
        <v>http://dx.doi.org/10.3390/su132312984</v>
      </c>
      <c r="BG310" t="s">
        <v>74</v>
      </c>
      <c r="BH310" t="s">
        <v>74</v>
      </c>
      <c r="BI310">
        <v>16</v>
      </c>
      <c r="BJ310" t="s">
        <v>484</v>
      </c>
      <c r="BK310" t="s">
        <v>186</v>
      </c>
      <c r="BL310" t="s">
        <v>485</v>
      </c>
      <c r="BM310" t="s">
        <v>6341</v>
      </c>
      <c r="BN310" t="s">
        <v>74</v>
      </c>
      <c r="BO310" t="s">
        <v>161</v>
      </c>
      <c r="BP310" t="s">
        <v>74</v>
      </c>
      <c r="BQ310" t="s">
        <v>74</v>
      </c>
      <c r="BR310" t="s">
        <v>106</v>
      </c>
      <c r="BS310" t="s">
        <v>6342</v>
      </c>
      <c r="BT310" t="str">
        <f>HYPERLINK("https%3A%2F%2Fwww.webofscience.com%2Fwos%2Fwoscc%2Ffull-record%2FWOS:000734699700001","View Full Record in Web of Science")</f>
        <v>View Full Record in Web of Science</v>
      </c>
    </row>
    <row r="311" spans="1:72" x14ac:dyDescent="0.2">
      <c r="A311" t="s">
        <v>72</v>
      </c>
      <c r="B311" t="s">
        <v>6343</v>
      </c>
      <c r="C311" t="s">
        <v>74</v>
      </c>
      <c r="D311" t="s">
        <v>74</v>
      </c>
      <c r="E311" t="s">
        <v>74</v>
      </c>
      <c r="F311" t="s">
        <v>6344</v>
      </c>
      <c r="G311" t="s">
        <v>74</v>
      </c>
      <c r="H311" t="s">
        <v>74</v>
      </c>
      <c r="I311" t="s">
        <v>6345</v>
      </c>
      <c r="J311" t="s">
        <v>1385</v>
      </c>
      <c r="K311" t="s">
        <v>74</v>
      </c>
      <c r="L311" t="s">
        <v>74</v>
      </c>
      <c r="M311" t="s">
        <v>78</v>
      </c>
      <c r="N311" t="s">
        <v>79</v>
      </c>
      <c r="O311" t="s">
        <v>74</v>
      </c>
      <c r="P311" t="s">
        <v>74</v>
      </c>
      <c r="Q311" t="s">
        <v>74</v>
      </c>
      <c r="R311" t="s">
        <v>74</v>
      </c>
      <c r="S311" t="s">
        <v>74</v>
      </c>
      <c r="T311" t="s">
        <v>6346</v>
      </c>
      <c r="U311" t="s">
        <v>6347</v>
      </c>
      <c r="V311" t="s">
        <v>6348</v>
      </c>
      <c r="W311" t="s">
        <v>6349</v>
      </c>
      <c r="X311" t="s">
        <v>6350</v>
      </c>
      <c r="Y311" t="s">
        <v>6351</v>
      </c>
      <c r="Z311" t="s">
        <v>6352</v>
      </c>
      <c r="AA311" t="s">
        <v>6353</v>
      </c>
      <c r="AB311" t="s">
        <v>6354</v>
      </c>
      <c r="AC311" t="s">
        <v>74</v>
      </c>
      <c r="AD311" t="s">
        <v>74</v>
      </c>
      <c r="AE311" t="s">
        <v>74</v>
      </c>
      <c r="AF311" t="s">
        <v>74</v>
      </c>
      <c r="AG311">
        <v>49</v>
      </c>
      <c r="AH311">
        <v>40</v>
      </c>
      <c r="AI311">
        <v>42</v>
      </c>
      <c r="AJ311">
        <v>2</v>
      </c>
      <c r="AK311">
        <v>62</v>
      </c>
      <c r="AL311" t="s">
        <v>934</v>
      </c>
      <c r="AM311" t="s">
        <v>177</v>
      </c>
      <c r="AN311" t="s">
        <v>935</v>
      </c>
      <c r="AO311" t="s">
        <v>1397</v>
      </c>
      <c r="AP311" t="s">
        <v>1398</v>
      </c>
      <c r="AQ311" t="s">
        <v>74</v>
      </c>
      <c r="AR311" t="s">
        <v>1399</v>
      </c>
      <c r="AS311" t="s">
        <v>1400</v>
      </c>
      <c r="AT311" t="s">
        <v>227</v>
      </c>
      <c r="AU311">
        <v>2019</v>
      </c>
      <c r="AV311">
        <v>120</v>
      </c>
      <c r="AW311" t="s">
        <v>74</v>
      </c>
      <c r="AX311" t="s">
        <v>74</v>
      </c>
      <c r="AY311" t="s">
        <v>74</v>
      </c>
      <c r="AZ311" t="s">
        <v>74</v>
      </c>
      <c r="BA311" t="s">
        <v>74</v>
      </c>
      <c r="BB311">
        <v>281</v>
      </c>
      <c r="BC311">
        <v>290</v>
      </c>
      <c r="BD311" t="s">
        <v>74</v>
      </c>
      <c r="BE311" t="s">
        <v>6355</v>
      </c>
      <c r="BF311" t="str">
        <f>HYPERLINK("http://dx.doi.org/10.1016/j.biombioe.2018.11.019","http://dx.doi.org/10.1016/j.biombioe.2018.11.019")</f>
        <v>http://dx.doi.org/10.1016/j.biombioe.2018.11.019</v>
      </c>
      <c r="BG311" t="s">
        <v>74</v>
      </c>
      <c r="BH311" t="s">
        <v>74</v>
      </c>
      <c r="BI311">
        <v>10</v>
      </c>
      <c r="BJ311" t="s">
        <v>1402</v>
      </c>
      <c r="BK311" t="s">
        <v>102</v>
      </c>
      <c r="BL311" t="s">
        <v>890</v>
      </c>
      <c r="BM311" t="s">
        <v>6356</v>
      </c>
      <c r="BN311" t="s">
        <v>74</v>
      </c>
      <c r="BO311" t="s">
        <v>74</v>
      </c>
      <c r="BP311" t="s">
        <v>74</v>
      </c>
      <c r="BQ311" t="s">
        <v>74</v>
      </c>
      <c r="BR311" t="s">
        <v>106</v>
      </c>
      <c r="BS311" t="s">
        <v>6357</v>
      </c>
      <c r="BT311" t="str">
        <f>HYPERLINK("https%3A%2F%2Fwww.webofscience.com%2Fwos%2Fwoscc%2Ffull-record%2FWOS:000454887700029","View Full Record in Web of Science")</f>
        <v>View Full Record in Web of Science</v>
      </c>
    </row>
    <row r="312" spans="1:72" x14ac:dyDescent="0.2">
      <c r="A312" t="s">
        <v>72</v>
      </c>
      <c r="B312" t="s">
        <v>6358</v>
      </c>
      <c r="C312" t="s">
        <v>74</v>
      </c>
      <c r="D312" t="s">
        <v>74</v>
      </c>
      <c r="E312" t="s">
        <v>74</v>
      </c>
      <c r="F312" t="s">
        <v>6359</v>
      </c>
      <c r="G312" t="s">
        <v>74</v>
      </c>
      <c r="H312" t="s">
        <v>74</v>
      </c>
      <c r="I312" t="s">
        <v>6360</v>
      </c>
      <c r="J312" t="s">
        <v>6361</v>
      </c>
      <c r="K312" t="s">
        <v>74</v>
      </c>
      <c r="L312" t="s">
        <v>74</v>
      </c>
      <c r="M312" t="s">
        <v>78</v>
      </c>
      <c r="N312" t="s">
        <v>79</v>
      </c>
      <c r="O312" t="s">
        <v>74</v>
      </c>
      <c r="P312" t="s">
        <v>74</v>
      </c>
      <c r="Q312" t="s">
        <v>74</v>
      </c>
      <c r="R312" t="s">
        <v>74</v>
      </c>
      <c r="S312" t="s">
        <v>74</v>
      </c>
      <c r="T312" t="s">
        <v>6362</v>
      </c>
      <c r="U312" t="s">
        <v>6363</v>
      </c>
      <c r="V312" t="s">
        <v>6364</v>
      </c>
      <c r="W312" t="s">
        <v>6365</v>
      </c>
      <c r="X312" t="s">
        <v>74</v>
      </c>
      <c r="Y312" t="s">
        <v>6366</v>
      </c>
      <c r="Z312" t="s">
        <v>6367</v>
      </c>
      <c r="AA312" t="s">
        <v>6368</v>
      </c>
      <c r="AB312" t="s">
        <v>6369</v>
      </c>
      <c r="AC312" t="s">
        <v>6370</v>
      </c>
      <c r="AD312" t="s">
        <v>6371</v>
      </c>
      <c r="AE312" t="s">
        <v>6372</v>
      </c>
      <c r="AF312" t="s">
        <v>74</v>
      </c>
      <c r="AG312">
        <v>49</v>
      </c>
      <c r="AH312">
        <v>7</v>
      </c>
      <c r="AI312">
        <v>10</v>
      </c>
      <c r="AJ312">
        <v>0</v>
      </c>
      <c r="AK312">
        <v>18</v>
      </c>
      <c r="AL312" t="s">
        <v>247</v>
      </c>
      <c r="AM312" t="s">
        <v>248</v>
      </c>
      <c r="AN312" t="s">
        <v>249</v>
      </c>
      <c r="AO312" t="s">
        <v>6373</v>
      </c>
      <c r="AP312" t="s">
        <v>6374</v>
      </c>
      <c r="AQ312" t="s">
        <v>74</v>
      </c>
      <c r="AR312" t="s">
        <v>6361</v>
      </c>
      <c r="AS312" t="s">
        <v>6375</v>
      </c>
      <c r="AT312" t="s">
        <v>183</v>
      </c>
      <c r="AU312">
        <v>2023</v>
      </c>
      <c r="AV312">
        <v>39</v>
      </c>
      <c r="AW312">
        <v>3</v>
      </c>
      <c r="AX312" t="s">
        <v>74</v>
      </c>
      <c r="AY312" t="s">
        <v>74</v>
      </c>
      <c r="AZ312" t="s">
        <v>74</v>
      </c>
      <c r="BA312" t="s">
        <v>74</v>
      </c>
      <c r="BB312">
        <v>854</v>
      </c>
      <c r="BC312">
        <v>874</v>
      </c>
      <c r="BD312" t="s">
        <v>74</v>
      </c>
      <c r="BE312" t="s">
        <v>6376</v>
      </c>
      <c r="BF312" t="str">
        <f>HYPERLINK("http://dx.doi.org/10.1002/agr.21801","http://dx.doi.org/10.1002/agr.21801")</f>
        <v>http://dx.doi.org/10.1002/agr.21801</v>
      </c>
      <c r="BG312" t="s">
        <v>74</v>
      </c>
      <c r="BH312" t="s">
        <v>1250</v>
      </c>
      <c r="BI312">
        <v>21</v>
      </c>
      <c r="BJ312" t="s">
        <v>6377</v>
      </c>
      <c r="BK312" t="s">
        <v>186</v>
      </c>
      <c r="BL312" t="s">
        <v>6378</v>
      </c>
      <c r="BM312" t="s">
        <v>6379</v>
      </c>
      <c r="BN312" t="s">
        <v>74</v>
      </c>
      <c r="BO312" t="s">
        <v>2296</v>
      </c>
      <c r="BP312" t="s">
        <v>74</v>
      </c>
      <c r="BQ312" t="s">
        <v>74</v>
      </c>
      <c r="BR312" t="s">
        <v>106</v>
      </c>
      <c r="BS312" t="s">
        <v>6380</v>
      </c>
      <c r="BT312" t="str">
        <f>HYPERLINK("https%3A%2F%2Fwww.webofscience.com%2Fwos%2Fwoscc%2Ffull-record%2FWOS:000944364800001","View Full Record in Web of Science")</f>
        <v>View Full Record in Web of Science</v>
      </c>
    </row>
    <row r="313" spans="1:72" x14ac:dyDescent="0.2">
      <c r="A313" t="s">
        <v>72</v>
      </c>
      <c r="B313" t="s">
        <v>6381</v>
      </c>
      <c r="C313" t="s">
        <v>74</v>
      </c>
      <c r="D313" t="s">
        <v>74</v>
      </c>
      <c r="E313" t="s">
        <v>74</v>
      </c>
      <c r="F313" t="s">
        <v>6382</v>
      </c>
      <c r="G313" t="s">
        <v>74</v>
      </c>
      <c r="H313" t="s">
        <v>74</v>
      </c>
      <c r="I313" t="s">
        <v>6383</v>
      </c>
      <c r="J313" t="s">
        <v>6384</v>
      </c>
      <c r="K313" t="s">
        <v>74</v>
      </c>
      <c r="L313" t="s">
        <v>74</v>
      </c>
      <c r="M313" t="s">
        <v>78</v>
      </c>
      <c r="N313" t="s">
        <v>79</v>
      </c>
      <c r="O313" t="s">
        <v>74</v>
      </c>
      <c r="P313" t="s">
        <v>74</v>
      </c>
      <c r="Q313" t="s">
        <v>74</v>
      </c>
      <c r="R313" t="s">
        <v>74</v>
      </c>
      <c r="S313" t="s">
        <v>74</v>
      </c>
      <c r="T313" t="s">
        <v>6385</v>
      </c>
      <c r="U313" t="s">
        <v>6386</v>
      </c>
      <c r="V313" t="s">
        <v>6387</v>
      </c>
      <c r="W313" t="s">
        <v>6388</v>
      </c>
      <c r="X313" t="s">
        <v>6389</v>
      </c>
      <c r="Y313" t="s">
        <v>6390</v>
      </c>
      <c r="Z313" t="s">
        <v>6391</v>
      </c>
      <c r="AA313" t="s">
        <v>6392</v>
      </c>
      <c r="AB313" t="s">
        <v>6393</v>
      </c>
      <c r="AC313" t="s">
        <v>74</v>
      </c>
      <c r="AD313" t="s">
        <v>74</v>
      </c>
      <c r="AE313" t="s">
        <v>74</v>
      </c>
      <c r="AF313" t="s">
        <v>74</v>
      </c>
      <c r="AG313">
        <v>40</v>
      </c>
      <c r="AH313">
        <v>11</v>
      </c>
      <c r="AI313">
        <v>13</v>
      </c>
      <c r="AJ313">
        <v>0</v>
      </c>
      <c r="AK313">
        <v>15</v>
      </c>
      <c r="AL313" t="s">
        <v>247</v>
      </c>
      <c r="AM313" t="s">
        <v>248</v>
      </c>
      <c r="AN313" t="s">
        <v>249</v>
      </c>
      <c r="AO313" t="s">
        <v>6394</v>
      </c>
      <c r="AP313" t="s">
        <v>6395</v>
      </c>
      <c r="AQ313" t="s">
        <v>74</v>
      </c>
      <c r="AR313" t="s">
        <v>6396</v>
      </c>
      <c r="AS313" t="s">
        <v>6397</v>
      </c>
      <c r="AT313" t="s">
        <v>99</v>
      </c>
      <c r="AU313">
        <v>2021</v>
      </c>
      <c r="AV313">
        <v>40</v>
      </c>
      <c r="AW313">
        <v>2</v>
      </c>
      <c r="AX313" t="s">
        <v>74</v>
      </c>
      <c r="AY313" t="s">
        <v>74</v>
      </c>
      <c r="AZ313" t="s">
        <v>74</v>
      </c>
      <c r="BA313" t="s">
        <v>74</v>
      </c>
      <c r="BB313" t="s">
        <v>74</v>
      </c>
      <c r="BC313" t="s">
        <v>74</v>
      </c>
      <c r="BD313" t="s">
        <v>6398</v>
      </c>
      <c r="BE313" t="s">
        <v>6399</v>
      </c>
      <c r="BF313" t="str">
        <f>HYPERLINK("http://dx.doi.org/10.1002/ep.13505","http://dx.doi.org/10.1002/ep.13505")</f>
        <v>http://dx.doi.org/10.1002/ep.13505</v>
      </c>
      <c r="BG313" t="s">
        <v>74</v>
      </c>
      <c r="BH313" t="s">
        <v>6400</v>
      </c>
      <c r="BI313">
        <v>12</v>
      </c>
      <c r="BJ313" t="s">
        <v>6401</v>
      </c>
      <c r="BK313" t="s">
        <v>102</v>
      </c>
      <c r="BL313" t="s">
        <v>1544</v>
      </c>
      <c r="BM313" t="s">
        <v>6402</v>
      </c>
      <c r="BN313" t="s">
        <v>74</v>
      </c>
      <c r="BO313" t="s">
        <v>74</v>
      </c>
      <c r="BP313" t="s">
        <v>74</v>
      </c>
      <c r="BQ313" t="s">
        <v>74</v>
      </c>
      <c r="BR313" t="s">
        <v>106</v>
      </c>
      <c r="BS313" t="s">
        <v>6403</v>
      </c>
      <c r="BT313" t="str">
        <f>HYPERLINK("https%3A%2F%2Fwww.webofscience.com%2Fwos%2Fwoscc%2Ffull-record%2FWOS:000559472400001","View Full Record in Web of Science")</f>
        <v>View Full Record in Web of Science</v>
      </c>
    </row>
    <row r="314" spans="1:72" x14ac:dyDescent="0.2">
      <c r="A314" t="s">
        <v>72</v>
      </c>
      <c r="B314" t="s">
        <v>6404</v>
      </c>
      <c r="C314" t="s">
        <v>74</v>
      </c>
      <c r="D314" t="s">
        <v>74</v>
      </c>
      <c r="E314" t="s">
        <v>74</v>
      </c>
      <c r="F314" t="s">
        <v>6405</v>
      </c>
      <c r="G314" t="s">
        <v>74</v>
      </c>
      <c r="H314" t="s">
        <v>74</v>
      </c>
      <c r="I314" t="s">
        <v>6406</v>
      </c>
      <c r="J314" t="s">
        <v>6407</v>
      </c>
      <c r="K314" t="s">
        <v>74</v>
      </c>
      <c r="L314" t="s">
        <v>74</v>
      </c>
      <c r="M314" t="s">
        <v>78</v>
      </c>
      <c r="N314" t="s">
        <v>79</v>
      </c>
      <c r="O314" t="s">
        <v>74</v>
      </c>
      <c r="P314" t="s">
        <v>74</v>
      </c>
      <c r="Q314" t="s">
        <v>74</v>
      </c>
      <c r="R314" t="s">
        <v>74</v>
      </c>
      <c r="S314" t="s">
        <v>74</v>
      </c>
      <c r="T314" t="s">
        <v>6408</v>
      </c>
      <c r="U314" t="s">
        <v>6409</v>
      </c>
      <c r="V314" t="s">
        <v>6410</v>
      </c>
      <c r="W314" t="s">
        <v>6411</v>
      </c>
      <c r="X314" t="s">
        <v>6412</v>
      </c>
      <c r="Y314" t="s">
        <v>6413</v>
      </c>
      <c r="Z314" t="s">
        <v>6414</v>
      </c>
      <c r="AA314" t="s">
        <v>6415</v>
      </c>
      <c r="AB314" t="s">
        <v>6416</v>
      </c>
      <c r="AC314" t="s">
        <v>6417</v>
      </c>
      <c r="AD314" t="s">
        <v>6418</v>
      </c>
      <c r="AE314" t="s">
        <v>6419</v>
      </c>
      <c r="AF314" t="s">
        <v>74</v>
      </c>
      <c r="AG314">
        <v>63</v>
      </c>
      <c r="AH314">
        <v>4</v>
      </c>
      <c r="AI314">
        <v>4</v>
      </c>
      <c r="AJ314">
        <v>11</v>
      </c>
      <c r="AK314">
        <v>15</v>
      </c>
      <c r="AL314" t="s">
        <v>123</v>
      </c>
      <c r="AM314" t="s">
        <v>124</v>
      </c>
      <c r="AN314" t="s">
        <v>125</v>
      </c>
      <c r="AO314" t="s">
        <v>6420</v>
      </c>
      <c r="AP314" t="s">
        <v>6421</v>
      </c>
      <c r="AQ314" t="s">
        <v>74</v>
      </c>
      <c r="AR314" t="s">
        <v>6422</v>
      </c>
      <c r="AS314" t="s">
        <v>6423</v>
      </c>
      <c r="AT314" t="s">
        <v>4495</v>
      </c>
      <c r="AU314">
        <v>2025</v>
      </c>
      <c r="AV314">
        <v>719</v>
      </c>
      <c r="AW314" t="s">
        <v>74</v>
      </c>
      <c r="AX314" t="s">
        <v>74</v>
      </c>
      <c r="AY314" t="s">
        <v>74</v>
      </c>
      <c r="AZ314" t="s">
        <v>74</v>
      </c>
      <c r="BA314" t="s">
        <v>74</v>
      </c>
      <c r="BB314" t="s">
        <v>74</v>
      </c>
      <c r="BC314" t="s">
        <v>74</v>
      </c>
      <c r="BD314">
        <v>136997</v>
      </c>
      <c r="BE314" t="s">
        <v>6424</v>
      </c>
      <c r="BF314" t="str">
        <f>HYPERLINK("http://dx.doi.org/10.1016/j.colsurfa.2025.136997","http://dx.doi.org/10.1016/j.colsurfa.2025.136997")</f>
        <v>http://dx.doi.org/10.1016/j.colsurfa.2025.136997</v>
      </c>
      <c r="BG314" t="s">
        <v>74</v>
      </c>
      <c r="BH314" t="s">
        <v>1870</v>
      </c>
      <c r="BI314">
        <v>16</v>
      </c>
      <c r="BJ314" t="s">
        <v>6425</v>
      </c>
      <c r="BK314" t="s">
        <v>102</v>
      </c>
      <c r="BL314" t="s">
        <v>2499</v>
      </c>
      <c r="BM314" t="s">
        <v>6426</v>
      </c>
      <c r="BN314" t="s">
        <v>74</v>
      </c>
      <c r="BO314" t="s">
        <v>74</v>
      </c>
      <c r="BP314" t="s">
        <v>74</v>
      </c>
      <c r="BQ314" t="s">
        <v>74</v>
      </c>
      <c r="BR314" t="s">
        <v>106</v>
      </c>
      <c r="BS314" t="s">
        <v>6427</v>
      </c>
      <c r="BT314" t="str">
        <f>HYPERLINK("https%3A%2F%2Fwww.webofscience.com%2Fwos%2Fwoscc%2Ffull-record%2FWOS:001482323100001","View Full Record in Web of Science")</f>
        <v>View Full Record in Web of Science</v>
      </c>
    </row>
    <row r="315" spans="1:72" x14ac:dyDescent="0.2">
      <c r="A315" t="s">
        <v>72</v>
      </c>
      <c r="B315" t="s">
        <v>6428</v>
      </c>
      <c r="C315" t="s">
        <v>74</v>
      </c>
      <c r="D315" t="s">
        <v>74</v>
      </c>
      <c r="E315" t="s">
        <v>74</v>
      </c>
      <c r="F315" t="s">
        <v>6429</v>
      </c>
      <c r="G315" t="s">
        <v>74</v>
      </c>
      <c r="H315" t="s">
        <v>74</v>
      </c>
      <c r="I315" t="s">
        <v>6430</v>
      </c>
      <c r="J315" t="s">
        <v>1833</v>
      </c>
      <c r="K315" t="s">
        <v>74</v>
      </c>
      <c r="L315" t="s">
        <v>74</v>
      </c>
      <c r="M315" t="s">
        <v>78</v>
      </c>
      <c r="N315" t="s">
        <v>79</v>
      </c>
      <c r="O315" t="s">
        <v>74</v>
      </c>
      <c r="P315" t="s">
        <v>74</v>
      </c>
      <c r="Q315" t="s">
        <v>74</v>
      </c>
      <c r="R315" t="s">
        <v>74</v>
      </c>
      <c r="S315" t="s">
        <v>74</v>
      </c>
      <c r="T315" t="s">
        <v>6431</v>
      </c>
      <c r="U315" t="s">
        <v>6432</v>
      </c>
      <c r="V315" t="s">
        <v>6433</v>
      </c>
      <c r="W315" t="s">
        <v>6434</v>
      </c>
      <c r="X315" t="s">
        <v>6435</v>
      </c>
      <c r="Y315" t="s">
        <v>6436</v>
      </c>
      <c r="Z315" t="s">
        <v>6437</v>
      </c>
      <c r="AA315" t="s">
        <v>6438</v>
      </c>
      <c r="AB315" t="s">
        <v>74</v>
      </c>
      <c r="AC315" t="s">
        <v>6439</v>
      </c>
      <c r="AD315" t="s">
        <v>6439</v>
      </c>
      <c r="AE315" t="s">
        <v>6440</v>
      </c>
      <c r="AF315" t="s">
        <v>74</v>
      </c>
      <c r="AG315">
        <v>23</v>
      </c>
      <c r="AH315">
        <v>12</v>
      </c>
      <c r="AI315">
        <v>13</v>
      </c>
      <c r="AJ315">
        <v>0</v>
      </c>
      <c r="AK315">
        <v>44</v>
      </c>
      <c r="AL315" t="s">
        <v>585</v>
      </c>
      <c r="AM315" t="s">
        <v>306</v>
      </c>
      <c r="AN315" t="s">
        <v>6441</v>
      </c>
      <c r="AO315" t="s">
        <v>1841</v>
      </c>
      <c r="AP315" t="s">
        <v>1842</v>
      </c>
      <c r="AQ315" t="s">
        <v>74</v>
      </c>
      <c r="AR315" t="s">
        <v>1843</v>
      </c>
      <c r="AS315" t="s">
        <v>1844</v>
      </c>
      <c r="AT315" t="s">
        <v>4478</v>
      </c>
      <c r="AU315">
        <v>2014</v>
      </c>
      <c r="AV315">
        <v>12</v>
      </c>
      <c r="AW315">
        <v>1</v>
      </c>
      <c r="AX315" t="s">
        <v>74</v>
      </c>
      <c r="AY315" t="s">
        <v>74</v>
      </c>
      <c r="AZ315" t="s">
        <v>74</v>
      </c>
      <c r="BA315" t="s">
        <v>74</v>
      </c>
      <c r="BB315">
        <v>54</v>
      </c>
      <c r="BC315">
        <v>70</v>
      </c>
      <c r="BD315" t="s">
        <v>74</v>
      </c>
      <c r="BE315" t="s">
        <v>6442</v>
      </c>
      <c r="BF315" t="str">
        <f>HYPERLINK("http://dx.doi.org/10.1080/14735903.2013.798896","http://dx.doi.org/10.1080/14735903.2013.798896")</f>
        <v>http://dx.doi.org/10.1080/14735903.2013.798896</v>
      </c>
      <c r="BG315" t="s">
        <v>74</v>
      </c>
      <c r="BH315" t="s">
        <v>74</v>
      </c>
      <c r="BI315">
        <v>17</v>
      </c>
      <c r="BJ315" t="s">
        <v>1846</v>
      </c>
      <c r="BK315" t="s">
        <v>102</v>
      </c>
      <c r="BL315" t="s">
        <v>1847</v>
      </c>
      <c r="BM315" t="s">
        <v>6443</v>
      </c>
      <c r="BN315" t="s">
        <v>74</v>
      </c>
      <c r="BO315" t="s">
        <v>74</v>
      </c>
      <c r="BP315" t="s">
        <v>74</v>
      </c>
      <c r="BQ315" t="s">
        <v>74</v>
      </c>
      <c r="BR315" t="s">
        <v>106</v>
      </c>
      <c r="BS315" t="s">
        <v>6444</v>
      </c>
      <c r="BT315" t="str">
        <f>HYPERLINK("https%3A%2F%2Fwww.webofscience.com%2Fwos%2Fwoscc%2Ffull-record%2FWOS:000332060400004","View Full Record in Web of Science")</f>
        <v>View Full Record in Web of Science</v>
      </c>
    </row>
    <row r="316" spans="1:72" x14ac:dyDescent="0.2">
      <c r="A316" t="s">
        <v>72</v>
      </c>
      <c r="B316" t="s">
        <v>6445</v>
      </c>
      <c r="C316" t="s">
        <v>74</v>
      </c>
      <c r="D316" t="s">
        <v>74</v>
      </c>
      <c r="E316" t="s">
        <v>74</v>
      </c>
      <c r="F316" t="s">
        <v>6446</v>
      </c>
      <c r="G316" t="s">
        <v>74</v>
      </c>
      <c r="H316" t="s">
        <v>74</v>
      </c>
      <c r="I316" t="s">
        <v>6447</v>
      </c>
      <c r="J316" t="s">
        <v>1526</v>
      </c>
      <c r="K316" t="s">
        <v>74</v>
      </c>
      <c r="L316" t="s">
        <v>74</v>
      </c>
      <c r="M316" t="s">
        <v>78</v>
      </c>
      <c r="N316" t="s">
        <v>79</v>
      </c>
      <c r="O316" t="s">
        <v>74</v>
      </c>
      <c r="P316" t="s">
        <v>74</v>
      </c>
      <c r="Q316" t="s">
        <v>74</v>
      </c>
      <c r="R316" t="s">
        <v>74</v>
      </c>
      <c r="S316" t="s">
        <v>74</v>
      </c>
      <c r="T316" t="s">
        <v>6448</v>
      </c>
      <c r="U316" t="s">
        <v>6449</v>
      </c>
      <c r="V316" t="s">
        <v>6450</v>
      </c>
      <c r="W316" t="s">
        <v>6451</v>
      </c>
      <c r="X316" t="s">
        <v>6452</v>
      </c>
      <c r="Y316" t="s">
        <v>6453</v>
      </c>
      <c r="Z316" t="s">
        <v>6454</v>
      </c>
      <c r="AA316" t="s">
        <v>74</v>
      </c>
      <c r="AB316" t="s">
        <v>74</v>
      </c>
      <c r="AC316" t="s">
        <v>6455</v>
      </c>
      <c r="AD316" t="s">
        <v>6456</v>
      </c>
      <c r="AE316" t="s">
        <v>6457</v>
      </c>
      <c r="AF316" t="s">
        <v>74</v>
      </c>
      <c r="AG316">
        <v>61</v>
      </c>
      <c r="AH316">
        <v>14</v>
      </c>
      <c r="AI316">
        <v>24</v>
      </c>
      <c r="AJ316">
        <v>3</v>
      </c>
      <c r="AK316">
        <v>119</v>
      </c>
      <c r="AL316" t="s">
        <v>176</v>
      </c>
      <c r="AM316" t="s">
        <v>177</v>
      </c>
      <c r="AN316" t="s">
        <v>178</v>
      </c>
      <c r="AO316" t="s">
        <v>1538</v>
      </c>
      <c r="AP316" t="s">
        <v>1539</v>
      </c>
      <c r="AQ316" t="s">
        <v>74</v>
      </c>
      <c r="AR316" t="s">
        <v>1540</v>
      </c>
      <c r="AS316" t="s">
        <v>1541</v>
      </c>
      <c r="AT316" t="s">
        <v>3826</v>
      </c>
      <c r="AU316">
        <v>2018</v>
      </c>
      <c r="AV316">
        <v>190</v>
      </c>
      <c r="AW316" t="s">
        <v>74</v>
      </c>
      <c r="AX316" t="s">
        <v>74</v>
      </c>
      <c r="AY316" t="s">
        <v>74</v>
      </c>
      <c r="AZ316" t="s">
        <v>74</v>
      </c>
      <c r="BA316" t="s">
        <v>74</v>
      </c>
      <c r="BB316">
        <v>838</v>
      </c>
      <c r="BC316">
        <v>846</v>
      </c>
      <c r="BD316" t="s">
        <v>74</v>
      </c>
      <c r="BE316" t="s">
        <v>6458</v>
      </c>
      <c r="BF316" t="str">
        <f>HYPERLINK("http://dx.doi.org/10.1016/j.jclepro.2018.04.111","http://dx.doi.org/10.1016/j.jclepro.2018.04.111")</f>
        <v>http://dx.doi.org/10.1016/j.jclepro.2018.04.111</v>
      </c>
      <c r="BG316" t="s">
        <v>74</v>
      </c>
      <c r="BH316" t="s">
        <v>74</v>
      </c>
      <c r="BI316">
        <v>9</v>
      </c>
      <c r="BJ316" t="s">
        <v>1543</v>
      </c>
      <c r="BK316" t="s">
        <v>186</v>
      </c>
      <c r="BL316" t="s">
        <v>1544</v>
      </c>
      <c r="BM316" t="s">
        <v>6459</v>
      </c>
      <c r="BN316" t="s">
        <v>74</v>
      </c>
      <c r="BO316" t="s">
        <v>74</v>
      </c>
      <c r="BP316" t="s">
        <v>74</v>
      </c>
      <c r="BQ316" t="s">
        <v>74</v>
      </c>
      <c r="BR316" t="s">
        <v>106</v>
      </c>
      <c r="BS316" t="s">
        <v>6460</v>
      </c>
      <c r="BT316" t="str">
        <f>HYPERLINK("https%3A%2F%2Fwww.webofscience.com%2Fwos%2Fwoscc%2Ffull-record%2FWOS:000433650600072","View Full Record in Web of Science")</f>
        <v>View Full Record in Web of Science</v>
      </c>
    </row>
    <row r="317" spans="1:72" x14ac:dyDescent="0.2">
      <c r="A317" t="s">
        <v>72</v>
      </c>
      <c r="B317" t="s">
        <v>6461</v>
      </c>
      <c r="C317" t="s">
        <v>74</v>
      </c>
      <c r="D317" t="s">
        <v>74</v>
      </c>
      <c r="E317" t="s">
        <v>74</v>
      </c>
      <c r="F317" t="s">
        <v>6462</v>
      </c>
      <c r="G317" t="s">
        <v>74</v>
      </c>
      <c r="H317" t="s">
        <v>74</v>
      </c>
      <c r="I317" t="s">
        <v>6463</v>
      </c>
      <c r="J317" t="s">
        <v>1344</v>
      </c>
      <c r="K317" t="s">
        <v>74</v>
      </c>
      <c r="L317" t="s">
        <v>74</v>
      </c>
      <c r="M317" t="s">
        <v>78</v>
      </c>
      <c r="N317" t="s">
        <v>79</v>
      </c>
      <c r="O317" t="s">
        <v>74</v>
      </c>
      <c r="P317" t="s">
        <v>74</v>
      </c>
      <c r="Q317" t="s">
        <v>74</v>
      </c>
      <c r="R317" t="s">
        <v>74</v>
      </c>
      <c r="S317" t="s">
        <v>74</v>
      </c>
      <c r="T317" t="s">
        <v>6464</v>
      </c>
      <c r="U317" t="s">
        <v>74</v>
      </c>
      <c r="V317" t="s">
        <v>6465</v>
      </c>
      <c r="W317" t="s">
        <v>6466</v>
      </c>
      <c r="X317" t="s">
        <v>6467</v>
      </c>
      <c r="Y317" t="s">
        <v>6468</v>
      </c>
      <c r="Z317" t="s">
        <v>6469</v>
      </c>
      <c r="AA317" t="s">
        <v>74</v>
      </c>
      <c r="AB317" t="s">
        <v>74</v>
      </c>
      <c r="AC317" t="s">
        <v>6470</v>
      </c>
      <c r="AD317" t="s">
        <v>6471</v>
      </c>
      <c r="AE317" t="s">
        <v>6472</v>
      </c>
      <c r="AF317" t="s">
        <v>74</v>
      </c>
      <c r="AG317">
        <v>41</v>
      </c>
      <c r="AH317">
        <v>0</v>
      </c>
      <c r="AI317">
        <v>0</v>
      </c>
      <c r="AJ317">
        <v>0</v>
      </c>
      <c r="AK317">
        <v>0</v>
      </c>
      <c r="AL317" t="s">
        <v>222</v>
      </c>
      <c r="AM317" t="s">
        <v>223</v>
      </c>
      <c r="AN317" t="s">
        <v>478</v>
      </c>
      <c r="AO317" t="s">
        <v>74</v>
      </c>
      <c r="AP317" t="s">
        <v>1354</v>
      </c>
      <c r="AQ317" t="s">
        <v>74</v>
      </c>
      <c r="AR317" t="s">
        <v>1344</v>
      </c>
      <c r="AS317" t="s">
        <v>1355</v>
      </c>
      <c r="AT317" t="s">
        <v>6473</v>
      </c>
      <c r="AU317">
        <v>2025</v>
      </c>
      <c r="AV317">
        <v>15</v>
      </c>
      <c r="AW317">
        <v>22</v>
      </c>
      <c r="AX317" t="s">
        <v>74</v>
      </c>
      <c r="AY317" t="s">
        <v>74</v>
      </c>
      <c r="AZ317" t="s">
        <v>74</v>
      </c>
      <c r="BA317" t="s">
        <v>74</v>
      </c>
      <c r="BB317" t="s">
        <v>74</v>
      </c>
      <c r="BC317" t="s">
        <v>74</v>
      </c>
      <c r="BD317">
        <v>2326</v>
      </c>
      <c r="BE317" t="s">
        <v>6474</v>
      </c>
      <c r="BF317" t="str">
        <f>HYPERLINK("http://dx.doi.org/10.3390/agriculture15222326","http://dx.doi.org/10.3390/agriculture15222326")</f>
        <v>http://dx.doi.org/10.3390/agriculture15222326</v>
      </c>
      <c r="BG317" t="s">
        <v>74</v>
      </c>
      <c r="BH317" t="s">
        <v>74</v>
      </c>
      <c r="BI317">
        <v>23</v>
      </c>
      <c r="BJ317" t="s">
        <v>1357</v>
      </c>
      <c r="BK317" t="s">
        <v>102</v>
      </c>
      <c r="BL317" t="s">
        <v>103</v>
      </c>
      <c r="BM317" t="s">
        <v>6475</v>
      </c>
      <c r="BN317" t="s">
        <v>74</v>
      </c>
      <c r="BO317" t="s">
        <v>231</v>
      </c>
      <c r="BP317" t="s">
        <v>74</v>
      </c>
      <c r="BQ317" t="s">
        <v>74</v>
      </c>
      <c r="BR317" t="s">
        <v>106</v>
      </c>
      <c r="BS317" t="s">
        <v>6476</v>
      </c>
      <c r="BT317" t="str">
        <f>HYPERLINK("https%3A%2F%2Fwww.webofscience.com%2Fwos%2Fwoscc%2Ffull-record%2FWOS:001625483600001","View Full Record in Web of Science")</f>
        <v>View Full Record in Web of Science</v>
      </c>
    </row>
    <row r="318" spans="1:72" x14ac:dyDescent="0.2">
      <c r="A318" t="s">
        <v>72</v>
      </c>
      <c r="B318" t="s">
        <v>6477</v>
      </c>
      <c r="C318" t="s">
        <v>74</v>
      </c>
      <c r="D318" t="s">
        <v>74</v>
      </c>
      <c r="E318" t="s">
        <v>74</v>
      </c>
      <c r="F318" t="s">
        <v>6478</v>
      </c>
      <c r="G318" t="s">
        <v>74</v>
      </c>
      <c r="H318" t="s">
        <v>74</v>
      </c>
      <c r="I318" t="s">
        <v>6479</v>
      </c>
      <c r="J318" t="s">
        <v>3716</v>
      </c>
      <c r="K318" t="s">
        <v>74</v>
      </c>
      <c r="L318" t="s">
        <v>74</v>
      </c>
      <c r="M318" t="s">
        <v>78</v>
      </c>
      <c r="N318" t="s">
        <v>79</v>
      </c>
      <c r="O318" t="s">
        <v>74</v>
      </c>
      <c r="P318" t="s">
        <v>74</v>
      </c>
      <c r="Q318" t="s">
        <v>74</v>
      </c>
      <c r="R318" t="s">
        <v>74</v>
      </c>
      <c r="S318" t="s">
        <v>74</v>
      </c>
      <c r="T318" t="s">
        <v>74</v>
      </c>
      <c r="U318" t="s">
        <v>6480</v>
      </c>
      <c r="V318" t="s">
        <v>6481</v>
      </c>
      <c r="W318" t="s">
        <v>6482</v>
      </c>
      <c r="X318" t="s">
        <v>6483</v>
      </c>
      <c r="Y318" t="s">
        <v>6484</v>
      </c>
      <c r="Z318" t="s">
        <v>6485</v>
      </c>
      <c r="AA318" t="s">
        <v>74</v>
      </c>
      <c r="AB318" t="s">
        <v>74</v>
      </c>
      <c r="AC318" t="s">
        <v>6486</v>
      </c>
      <c r="AD318" t="s">
        <v>6487</v>
      </c>
      <c r="AE318" t="s">
        <v>6488</v>
      </c>
      <c r="AF318" t="s">
        <v>74</v>
      </c>
      <c r="AG318">
        <v>60</v>
      </c>
      <c r="AH318">
        <v>4</v>
      </c>
      <c r="AI318">
        <v>5</v>
      </c>
      <c r="AJ318">
        <v>12</v>
      </c>
      <c r="AK318">
        <v>69</v>
      </c>
      <c r="AL318" t="s">
        <v>3724</v>
      </c>
      <c r="AM318" t="s">
        <v>676</v>
      </c>
      <c r="AN318" t="s">
        <v>4388</v>
      </c>
      <c r="AO318" t="s">
        <v>3726</v>
      </c>
      <c r="AP318" t="s">
        <v>3727</v>
      </c>
      <c r="AQ318" t="s">
        <v>74</v>
      </c>
      <c r="AR318" t="s">
        <v>3728</v>
      </c>
      <c r="AS318" t="s">
        <v>3729</v>
      </c>
      <c r="AT318" t="s">
        <v>2017</v>
      </c>
      <c r="AU318">
        <v>2014</v>
      </c>
      <c r="AV318">
        <v>50</v>
      </c>
      <c r="AW318">
        <v>4</v>
      </c>
      <c r="AX318" t="s">
        <v>74</v>
      </c>
      <c r="AY318" t="s">
        <v>74</v>
      </c>
      <c r="AZ318" t="s">
        <v>74</v>
      </c>
      <c r="BA318" t="s">
        <v>74</v>
      </c>
      <c r="BB318">
        <v>625</v>
      </c>
      <c r="BC318">
        <v>643</v>
      </c>
      <c r="BD318" t="s">
        <v>74</v>
      </c>
      <c r="BE318" t="s">
        <v>6489</v>
      </c>
      <c r="BF318" t="str">
        <f>HYPERLINK("http://dx.doi.org/10.1017/S0014479714000118","http://dx.doi.org/10.1017/S0014479714000118")</f>
        <v>http://dx.doi.org/10.1017/S0014479714000118</v>
      </c>
      <c r="BG318" t="s">
        <v>74</v>
      </c>
      <c r="BH318" t="s">
        <v>74</v>
      </c>
      <c r="BI318">
        <v>19</v>
      </c>
      <c r="BJ318" t="s">
        <v>1357</v>
      </c>
      <c r="BK318" t="s">
        <v>102</v>
      </c>
      <c r="BL318" t="s">
        <v>103</v>
      </c>
      <c r="BM318" t="s">
        <v>6490</v>
      </c>
      <c r="BN318" t="s">
        <v>74</v>
      </c>
      <c r="BO318" t="s">
        <v>74</v>
      </c>
      <c r="BP318" t="s">
        <v>74</v>
      </c>
      <c r="BQ318" t="s">
        <v>74</v>
      </c>
      <c r="BR318" t="s">
        <v>106</v>
      </c>
      <c r="BS318" t="s">
        <v>6491</v>
      </c>
      <c r="BT318" t="str">
        <f>HYPERLINK("https%3A%2F%2Fwww.webofscience.com%2Fwos%2Fwoscc%2Ffull-record%2FWOS:000345692400010","View Full Record in Web of Science")</f>
        <v>View Full Record in Web of Science</v>
      </c>
    </row>
    <row r="319" spans="1:72" x14ac:dyDescent="0.2">
      <c r="A319" t="s">
        <v>72</v>
      </c>
      <c r="B319" t="s">
        <v>6492</v>
      </c>
      <c r="C319" t="s">
        <v>74</v>
      </c>
      <c r="D319" t="s">
        <v>74</v>
      </c>
      <c r="E319" t="s">
        <v>74</v>
      </c>
      <c r="F319" t="s">
        <v>6493</v>
      </c>
      <c r="G319" t="s">
        <v>74</v>
      </c>
      <c r="H319" t="s">
        <v>74</v>
      </c>
      <c r="I319" t="s">
        <v>6494</v>
      </c>
      <c r="J319" t="s">
        <v>2923</v>
      </c>
      <c r="K319" t="s">
        <v>74</v>
      </c>
      <c r="L319" t="s">
        <v>74</v>
      </c>
      <c r="M319" t="s">
        <v>78</v>
      </c>
      <c r="N319" t="s">
        <v>79</v>
      </c>
      <c r="O319" t="s">
        <v>74</v>
      </c>
      <c r="P319" t="s">
        <v>74</v>
      </c>
      <c r="Q319" t="s">
        <v>74</v>
      </c>
      <c r="R319" t="s">
        <v>74</v>
      </c>
      <c r="S319" t="s">
        <v>74</v>
      </c>
      <c r="T319" t="s">
        <v>6495</v>
      </c>
      <c r="U319" t="s">
        <v>6496</v>
      </c>
      <c r="V319" t="s">
        <v>6497</v>
      </c>
      <c r="W319" t="s">
        <v>6498</v>
      </c>
      <c r="X319" t="s">
        <v>6499</v>
      </c>
      <c r="Y319" t="s">
        <v>6500</v>
      </c>
      <c r="Z319" t="s">
        <v>6501</v>
      </c>
      <c r="AA319" t="s">
        <v>6502</v>
      </c>
      <c r="AB319" t="s">
        <v>6503</v>
      </c>
      <c r="AC319" t="s">
        <v>6504</v>
      </c>
      <c r="AD319" t="s">
        <v>6505</v>
      </c>
      <c r="AE319" t="s">
        <v>6506</v>
      </c>
      <c r="AF319" t="s">
        <v>74</v>
      </c>
      <c r="AG319">
        <v>58</v>
      </c>
      <c r="AH319">
        <v>24</v>
      </c>
      <c r="AI319">
        <v>29</v>
      </c>
      <c r="AJ319">
        <v>5</v>
      </c>
      <c r="AK319">
        <v>157</v>
      </c>
      <c r="AL319" t="s">
        <v>222</v>
      </c>
      <c r="AM319" t="s">
        <v>223</v>
      </c>
      <c r="AN319" t="s">
        <v>478</v>
      </c>
      <c r="AO319" t="s">
        <v>74</v>
      </c>
      <c r="AP319" t="s">
        <v>2935</v>
      </c>
      <c r="AQ319" t="s">
        <v>74</v>
      </c>
      <c r="AR319" t="s">
        <v>2936</v>
      </c>
      <c r="AS319" t="s">
        <v>2937</v>
      </c>
      <c r="AT319" t="s">
        <v>1963</v>
      </c>
      <c r="AU319">
        <v>2022</v>
      </c>
      <c r="AV319">
        <v>19</v>
      </c>
      <c r="AW319">
        <v>17</v>
      </c>
      <c r="AX319" t="s">
        <v>74</v>
      </c>
      <c r="AY319" t="s">
        <v>74</v>
      </c>
      <c r="AZ319" t="s">
        <v>74</v>
      </c>
      <c r="BA319" t="s">
        <v>74</v>
      </c>
      <c r="BB319" t="s">
        <v>74</v>
      </c>
      <c r="BC319" t="s">
        <v>74</v>
      </c>
      <c r="BD319">
        <v>10922</v>
      </c>
      <c r="BE319" t="s">
        <v>6507</v>
      </c>
      <c r="BF319" t="str">
        <f>HYPERLINK("http://dx.doi.org/10.3390/ijerph191710922","http://dx.doi.org/10.3390/ijerph191710922")</f>
        <v>http://dx.doi.org/10.3390/ijerph191710922</v>
      </c>
      <c r="BG319" t="s">
        <v>74</v>
      </c>
      <c r="BH319" t="s">
        <v>74</v>
      </c>
      <c r="BI319">
        <v>18</v>
      </c>
      <c r="BJ319" t="s">
        <v>1042</v>
      </c>
      <c r="BK319" t="s">
        <v>186</v>
      </c>
      <c r="BL319" t="s">
        <v>1043</v>
      </c>
      <c r="BM319" t="s">
        <v>6508</v>
      </c>
      <c r="BN319">
        <v>36078643</v>
      </c>
      <c r="BO319" t="s">
        <v>161</v>
      </c>
      <c r="BP319" t="s">
        <v>74</v>
      </c>
      <c r="BQ319" t="s">
        <v>74</v>
      </c>
      <c r="BR319" t="s">
        <v>106</v>
      </c>
      <c r="BS319" t="s">
        <v>6509</v>
      </c>
      <c r="BT319" t="str">
        <f>HYPERLINK("https%3A%2F%2Fwww.webofscience.com%2Fwos%2Fwoscc%2Ffull-record%2FWOS:000851168600001","View Full Record in Web of Science")</f>
        <v>View Full Record in Web of Science</v>
      </c>
    </row>
    <row r="320" spans="1:72" x14ac:dyDescent="0.2">
      <c r="A320" t="s">
        <v>72</v>
      </c>
      <c r="B320" t="s">
        <v>6510</v>
      </c>
      <c r="C320" t="s">
        <v>74</v>
      </c>
      <c r="D320" t="s">
        <v>74</v>
      </c>
      <c r="E320" t="s">
        <v>74</v>
      </c>
      <c r="F320" t="s">
        <v>6511</v>
      </c>
      <c r="G320" t="s">
        <v>74</v>
      </c>
      <c r="H320" t="s">
        <v>74</v>
      </c>
      <c r="I320" t="s">
        <v>6512</v>
      </c>
      <c r="J320" t="s">
        <v>828</v>
      </c>
      <c r="K320" t="s">
        <v>74</v>
      </c>
      <c r="L320" t="s">
        <v>74</v>
      </c>
      <c r="M320" t="s">
        <v>78</v>
      </c>
      <c r="N320" t="s">
        <v>79</v>
      </c>
      <c r="O320" t="s">
        <v>74</v>
      </c>
      <c r="P320" t="s">
        <v>74</v>
      </c>
      <c r="Q320" t="s">
        <v>74</v>
      </c>
      <c r="R320" t="s">
        <v>74</v>
      </c>
      <c r="S320" t="s">
        <v>74</v>
      </c>
      <c r="T320" t="s">
        <v>6513</v>
      </c>
      <c r="U320" t="s">
        <v>74</v>
      </c>
      <c r="V320" t="s">
        <v>6514</v>
      </c>
      <c r="W320" t="s">
        <v>6515</v>
      </c>
      <c r="X320" t="s">
        <v>6516</v>
      </c>
      <c r="Y320" t="s">
        <v>6517</v>
      </c>
      <c r="Z320" t="s">
        <v>6518</v>
      </c>
      <c r="AA320" t="s">
        <v>74</v>
      </c>
      <c r="AB320" t="s">
        <v>74</v>
      </c>
      <c r="AC320" t="s">
        <v>74</v>
      </c>
      <c r="AD320" t="s">
        <v>74</v>
      </c>
      <c r="AE320" t="s">
        <v>74</v>
      </c>
      <c r="AF320" t="s">
        <v>74</v>
      </c>
      <c r="AG320">
        <v>11</v>
      </c>
      <c r="AH320">
        <v>0</v>
      </c>
      <c r="AI320">
        <v>1</v>
      </c>
      <c r="AJ320">
        <v>1</v>
      </c>
      <c r="AK320">
        <v>12</v>
      </c>
      <c r="AL320" t="s">
        <v>835</v>
      </c>
      <c r="AM320" t="s">
        <v>836</v>
      </c>
      <c r="AN320" t="s">
        <v>3254</v>
      </c>
      <c r="AO320" t="s">
        <v>838</v>
      </c>
      <c r="AP320" t="s">
        <v>74</v>
      </c>
      <c r="AQ320" t="s">
        <v>74</v>
      </c>
      <c r="AR320" t="s">
        <v>839</v>
      </c>
      <c r="AS320" t="s">
        <v>840</v>
      </c>
      <c r="AT320" t="s">
        <v>3255</v>
      </c>
      <c r="AU320">
        <v>2019</v>
      </c>
      <c r="AV320">
        <v>50</v>
      </c>
      <c r="AW320">
        <v>2</v>
      </c>
      <c r="AX320" t="s">
        <v>74</v>
      </c>
      <c r="AY320" t="s">
        <v>74</v>
      </c>
      <c r="AZ320" t="s">
        <v>74</v>
      </c>
      <c r="BA320" t="s">
        <v>74</v>
      </c>
      <c r="BB320">
        <v>40</v>
      </c>
      <c r="BC320">
        <v>45</v>
      </c>
      <c r="BD320" t="s">
        <v>74</v>
      </c>
      <c r="BE320" t="s">
        <v>74</v>
      </c>
      <c r="BF320" t="s">
        <v>74</v>
      </c>
      <c r="BG320" t="s">
        <v>74</v>
      </c>
      <c r="BH320" t="s">
        <v>74</v>
      </c>
      <c r="BI320">
        <v>6</v>
      </c>
      <c r="BJ320" t="s">
        <v>842</v>
      </c>
      <c r="BK320" t="s">
        <v>102</v>
      </c>
      <c r="BL320" t="s">
        <v>103</v>
      </c>
      <c r="BM320" t="s">
        <v>6519</v>
      </c>
      <c r="BN320" t="s">
        <v>74</v>
      </c>
      <c r="BO320" t="s">
        <v>74</v>
      </c>
      <c r="BP320" t="s">
        <v>74</v>
      </c>
      <c r="BQ320" t="s">
        <v>74</v>
      </c>
      <c r="BR320" t="s">
        <v>106</v>
      </c>
      <c r="BS320" t="s">
        <v>6520</v>
      </c>
      <c r="BT320" t="str">
        <f>HYPERLINK("https%3A%2F%2Fwww.webofscience.com%2Fwos%2Fwoscc%2Ffull-record%2FWOS:000481561000006","View Full Record in Web of Science")</f>
        <v>View Full Record in Web of Science</v>
      </c>
    </row>
    <row r="321" spans="1:72" x14ac:dyDescent="0.2">
      <c r="A321" t="s">
        <v>72</v>
      </c>
      <c r="B321" t="s">
        <v>6521</v>
      </c>
      <c r="C321" t="s">
        <v>74</v>
      </c>
      <c r="D321" t="s">
        <v>74</v>
      </c>
      <c r="E321" t="s">
        <v>74</v>
      </c>
      <c r="F321" t="s">
        <v>6522</v>
      </c>
      <c r="G321" t="s">
        <v>74</v>
      </c>
      <c r="H321" t="s">
        <v>74</v>
      </c>
      <c r="I321" t="s">
        <v>6523</v>
      </c>
      <c r="J321" t="s">
        <v>446</v>
      </c>
      <c r="K321" t="s">
        <v>74</v>
      </c>
      <c r="L321" t="s">
        <v>74</v>
      </c>
      <c r="M321" t="s">
        <v>78</v>
      </c>
      <c r="N321" t="s">
        <v>79</v>
      </c>
      <c r="O321" t="s">
        <v>74</v>
      </c>
      <c r="P321" t="s">
        <v>74</v>
      </c>
      <c r="Q321" t="s">
        <v>74</v>
      </c>
      <c r="R321" t="s">
        <v>74</v>
      </c>
      <c r="S321" t="s">
        <v>74</v>
      </c>
      <c r="T321" t="s">
        <v>6524</v>
      </c>
      <c r="U321" t="s">
        <v>6525</v>
      </c>
      <c r="V321" t="s">
        <v>6526</v>
      </c>
      <c r="W321" t="s">
        <v>6527</v>
      </c>
      <c r="X321" t="s">
        <v>6528</v>
      </c>
      <c r="Y321" t="s">
        <v>6529</v>
      </c>
      <c r="Z321" t="s">
        <v>6530</v>
      </c>
      <c r="AA321" t="s">
        <v>74</v>
      </c>
      <c r="AB321" t="s">
        <v>6531</v>
      </c>
      <c r="AC321" t="s">
        <v>4844</v>
      </c>
      <c r="AD321" t="s">
        <v>1591</v>
      </c>
      <c r="AE321" t="s">
        <v>6532</v>
      </c>
      <c r="AF321" t="s">
        <v>74</v>
      </c>
      <c r="AG321">
        <v>43</v>
      </c>
      <c r="AH321">
        <v>0</v>
      </c>
      <c r="AI321">
        <v>0</v>
      </c>
      <c r="AJ321">
        <v>2</v>
      </c>
      <c r="AK321">
        <v>18</v>
      </c>
      <c r="AL321" t="s">
        <v>222</v>
      </c>
      <c r="AM321" t="s">
        <v>223</v>
      </c>
      <c r="AN321" t="s">
        <v>224</v>
      </c>
      <c r="AO321" t="s">
        <v>74</v>
      </c>
      <c r="AP321" t="s">
        <v>457</v>
      </c>
      <c r="AQ321" t="s">
        <v>74</v>
      </c>
      <c r="AR321" t="s">
        <v>446</v>
      </c>
      <c r="AS321" t="s">
        <v>458</v>
      </c>
      <c r="AT321" t="s">
        <v>227</v>
      </c>
      <c r="AU321">
        <v>2024</v>
      </c>
      <c r="AV321">
        <v>14</v>
      </c>
      <c r="AW321">
        <v>1</v>
      </c>
      <c r="AX321" t="s">
        <v>74</v>
      </c>
      <c r="AY321" t="s">
        <v>74</v>
      </c>
      <c r="AZ321" t="s">
        <v>74</v>
      </c>
      <c r="BA321" t="s">
        <v>74</v>
      </c>
      <c r="BB321" t="s">
        <v>74</v>
      </c>
      <c r="BC321" t="s">
        <v>74</v>
      </c>
      <c r="BD321">
        <v>68</v>
      </c>
      <c r="BE321" t="s">
        <v>6533</v>
      </c>
      <c r="BF321" t="str">
        <f>HYPERLINK("http://dx.doi.org/10.3390/agronomy14010068","http://dx.doi.org/10.3390/agronomy14010068")</f>
        <v>http://dx.doi.org/10.3390/agronomy14010068</v>
      </c>
      <c r="BG321" t="s">
        <v>74</v>
      </c>
      <c r="BH321" t="s">
        <v>74</v>
      </c>
      <c r="BI321">
        <v>17</v>
      </c>
      <c r="BJ321" t="s">
        <v>461</v>
      </c>
      <c r="BK321" t="s">
        <v>102</v>
      </c>
      <c r="BL321" t="s">
        <v>462</v>
      </c>
      <c r="BM321" t="s">
        <v>6534</v>
      </c>
      <c r="BN321" t="s">
        <v>74</v>
      </c>
      <c r="BO321" t="s">
        <v>231</v>
      </c>
      <c r="BP321" t="s">
        <v>74</v>
      </c>
      <c r="BQ321" t="s">
        <v>74</v>
      </c>
      <c r="BR321" t="s">
        <v>106</v>
      </c>
      <c r="BS321" t="s">
        <v>6535</v>
      </c>
      <c r="BT321" t="str">
        <f>HYPERLINK("https%3A%2F%2Fwww.webofscience.com%2Fwos%2Fwoscc%2Ffull-record%2FWOS:001149249000001","View Full Record in Web of Science")</f>
        <v>View Full Record in Web of Science</v>
      </c>
    </row>
    <row r="322" spans="1:72" x14ac:dyDescent="0.2">
      <c r="A322" t="s">
        <v>72</v>
      </c>
      <c r="B322" t="s">
        <v>6536</v>
      </c>
      <c r="C322" t="s">
        <v>74</v>
      </c>
      <c r="D322" t="s">
        <v>74</v>
      </c>
      <c r="E322" t="s">
        <v>74</v>
      </c>
      <c r="F322" t="s">
        <v>6537</v>
      </c>
      <c r="G322" t="s">
        <v>74</v>
      </c>
      <c r="H322" t="s">
        <v>74</v>
      </c>
      <c r="I322" t="s">
        <v>6538</v>
      </c>
      <c r="J322" t="s">
        <v>6539</v>
      </c>
      <c r="K322" t="s">
        <v>74</v>
      </c>
      <c r="L322" t="s">
        <v>74</v>
      </c>
      <c r="M322" t="s">
        <v>78</v>
      </c>
      <c r="N322" t="s">
        <v>79</v>
      </c>
      <c r="O322" t="s">
        <v>74</v>
      </c>
      <c r="P322" t="s">
        <v>74</v>
      </c>
      <c r="Q322" t="s">
        <v>74</v>
      </c>
      <c r="R322" t="s">
        <v>74</v>
      </c>
      <c r="S322" t="s">
        <v>74</v>
      </c>
      <c r="T322" t="s">
        <v>6540</v>
      </c>
      <c r="U322" t="s">
        <v>6541</v>
      </c>
      <c r="V322" t="s">
        <v>6542</v>
      </c>
      <c r="W322" t="s">
        <v>6543</v>
      </c>
      <c r="X322" t="s">
        <v>6544</v>
      </c>
      <c r="Y322" t="s">
        <v>6545</v>
      </c>
      <c r="Z322" t="s">
        <v>6546</v>
      </c>
      <c r="AA322" t="s">
        <v>6547</v>
      </c>
      <c r="AB322" t="s">
        <v>6548</v>
      </c>
      <c r="AC322" t="s">
        <v>6549</v>
      </c>
      <c r="AD322" t="s">
        <v>6550</v>
      </c>
      <c r="AE322" t="s">
        <v>6551</v>
      </c>
      <c r="AF322" t="s">
        <v>74</v>
      </c>
      <c r="AG322">
        <v>55</v>
      </c>
      <c r="AH322">
        <v>24</v>
      </c>
      <c r="AI322">
        <v>25</v>
      </c>
      <c r="AJ322">
        <v>8</v>
      </c>
      <c r="AK322">
        <v>32</v>
      </c>
      <c r="AL322" t="s">
        <v>123</v>
      </c>
      <c r="AM322" t="s">
        <v>124</v>
      </c>
      <c r="AN322" t="s">
        <v>125</v>
      </c>
      <c r="AO322" t="s">
        <v>6552</v>
      </c>
      <c r="AP322" t="s">
        <v>6553</v>
      </c>
      <c r="AQ322" t="s">
        <v>74</v>
      </c>
      <c r="AR322" t="s">
        <v>6554</v>
      </c>
      <c r="AS322" t="s">
        <v>6555</v>
      </c>
      <c r="AT322" t="s">
        <v>281</v>
      </c>
      <c r="AU322">
        <v>2024</v>
      </c>
      <c r="AV322">
        <v>130</v>
      </c>
      <c r="AW322" t="s">
        <v>74</v>
      </c>
      <c r="AX322" t="s">
        <v>74</v>
      </c>
      <c r="AY322" t="s">
        <v>74</v>
      </c>
      <c r="AZ322" t="s">
        <v>74</v>
      </c>
      <c r="BA322" t="s">
        <v>74</v>
      </c>
      <c r="BB322" t="s">
        <v>74</v>
      </c>
      <c r="BC322" t="s">
        <v>74</v>
      </c>
      <c r="BD322">
        <v>103902</v>
      </c>
      <c r="BE322" t="s">
        <v>6556</v>
      </c>
      <c r="BF322" t="str">
        <f>HYPERLINK("http://dx.doi.org/10.1016/j.jag.2024.103902","http://dx.doi.org/10.1016/j.jag.2024.103902")</f>
        <v>http://dx.doi.org/10.1016/j.jag.2024.103902</v>
      </c>
      <c r="BG322" t="s">
        <v>74</v>
      </c>
      <c r="BH322" t="s">
        <v>566</v>
      </c>
      <c r="BI322">
        <v>13</v>
      </c>
      <c r="BJ322" t="s">
        <v>6557</v>
      </c>
      <c r="BK322" t="s">
        <v>102</v>
      </c>
      <c r="BL322" t="s">
        <v>6557</v>
      </c>
      <c r="BM322" t="s">
        <v>6558</v>
      </c>
      <c r="BN322" t="s">
        <v>74</v>
      </c>
      <c r="BO322" t="s">
        <v>231</v>
      </c>
      <c r="BP322" t="s">
        <v>74</v>
      </c>
      <c r="BQ322" t="s">
        <v>74</v>
      </c>
      <c r="BR322" t="s">
        <v>106</v>
      </c>
      <c r="BS322" t="s">
        <v>6559</v>
      </c>
      <c r="BT322" t="str">
        <f>HYPERLINK("https%3A%2F%2Fwww.webofscience.com%2Fwos%2Fwoscc%2Ffull-record%2FWOS:001240555800001","View Full Record in Web of Science")</f>
        <v>View Full Record in Web of Science</v>
      </c>
    </row>
    <row r="323" spans="1:72" x14ac:dyDescent="0.2">
      <c r="A323" t="s">
        <v>72</v>
      </c>
      <c r="B323" t="s">
        <v>6560</v>
      </c>
      <c r="C323" t="s">
        <v>74</v>
      </c>
      <c r="D323" t="s">
        <v>74</v>
      </c>
      <c r="E323" t="s">
        <v>74</v>
      </c>
      <c r="F323" t="s">
        <v>6561</v>
      </c>
      <c r="G323" t="s">
        <v>74</v>
      </c>
      <c r="H323" t="s">
        <v>74</v>
      </c>
      <c r="I323" t="s">
        <v>6562</v>
      </c>
      <c r="J323" t="s">
        <v>3182</v>
      </c>
      <c r="K323" t="s">
        <v>74</v>
      </c>
      <c r="L323" t="s">
        <v>74</v>
      </c>
      <c r="M323" t="s">
        <v>78</v>
      </c>
      <c r="N323" t="s">
        <v>79</v>
      </c>
      <c r="O323" t="s">
        <v>74</v>
      </c>
      <c r="P323" t="s">
        <v>74</v>
      </c>
      <c r="Q323" t="s">
        <v>74</v>
      </c>
      <c r="R323" t="s">
        <v>74</v>
      </c>
      <c r="S323" t="s">
        <v>74</v>
      </c>
      <c r="T323" t="s">
        <v>6563</v>
      </c>
      <c r="U323" t="s">
        <v>6564</v>
      </c>
      <c r="V323" t="s">
        <v>6565</v>
      </c>
      <c r="W323" t="s">
        <v>6566</v>
      </c>
      <c r="X323" t="s">
        <v>6567</v>
      </c>
      <c r="Y323" t="s">
        <v>6568</v>
      </c>
      <c r="Z323" t="s">
        <v>6569</v>
      </c>
      <c r="AA323" t="s">
        <v>6570</v>
      </c>
      <c r="AB323" t="s">
        <v>6571</v>
      </c>
      <c r="AC323" t="s">
        <v>6572</v>
      </c>
      <c r="AD323" t="s">
        <v>6573</v>
      </c>
      <c r="AE323" t="s">
        <v>6574</v>
      </c>
      <c r="AF323" t="s">
        <v>74</v>
      </c>
      <c r="AG323">
        <v>69</v>
      </c>
      <c r="AH323">
        <v>7</v>
      </c>
      <c r="AI323">
        <v>7</v>
      </c>
      <c r="AJ323">
        <v>4</v>
      </c>
      <c r="AK323">
        <v>41</v>
      </c>
      <c r="AL323" t="s">
        <v>123</v>
      </c>
      <c r="AM323" t="s">
        <v>124</v>
      </c>
      <c r="AN323" t="s">
        <v>125</v>
      </c>
      <c r="AO323" t="s">
        <v>3195</v>
      </c>
      <c r="AP323" t="s">
        <v>3196</v>
      </c>
      <c r="AQ323" t="s">
        <v>74</v>
      </c>
      <c r="AR323" t="s">
        <v>3197</v>
      </c>
      <c r="AS323" t="s">
        <v>3198</v>
      </c>
      <c r="AT323" t="s">
        <v>130</v>
      </c>
      <c r="AU323">
        <v>2022</v>
      </c>
      <c r="AV323">
        <v>316</v>
      </c>
      <c r="AW323" t="s">
        <v>74</v>
      </c>
      <c r="AX323" t="s">
        <v>74</v>
      </c>
      <c r="AY323" t="s">
        <v>74</v>
      </c>
      <c r="AZ323" t="s">
        <v>74</v>
      </c>
      <c r="BA323" t="s">
        <v>74</v>
      </c>
      <c r="BB323" t="s">
        <v>74</v>
      </c>
      <c r="BC323" t="s">
        <v>74</v>
      </c>
      <c r="BD323">
        <v>108881</v>
      </c>
      <c r="BE323" t="s">
        <v>6575</v>
      </c>
      <c r="BF323" t="str">
        <f>HYPERLINK("http://dx.doi.org/10.1016/j.agrformet.2022.108881","http://dx.doi.org/10.1016/j.agrformet.2022.108881")</f>
        <v>http://dx.doi.org/10.1016/j.agrformet.2022.108881</v>
      </c>
      <c r="BG323" t="s">
        <v>74</v>
      </c>
      <c r="BH323" t="s">
        <v>6576</v>
      </c>
      <c r="BI323">
        <v>11</v>
      </c>
      <c r="BJ323" t="s">
        <v>3201</v>
      </c>
      <c r="BK323" t="s">
        <v>102</v>
      </c>
      <c r="BL323" t="s">
        <v>3202</v>
      </c>
      <c r="BM323" t="s">
        <v>6577</v>
      </c>
      <c r="BN323" t="s">
        <v>74</v>
      </c>
      <c r="BO323" t="s">
        <v>74</v>
      </c>
      <c r="BP323" t="s">
        <v>74</v>
      </c>
      <c r="BQ323" t="s">
        <v>74</v>
      </c>
      <c r="BR323" t="s">
        <v>106</v>
      </c>
      <c r="BS323" t="s">
        <v>6578</v>
      </c>
      <c r="BT323" t="str">
        <f>HYPERLINK("https%3A%2F%2Fwww.webofscience.com%2Fwos%2Fwoscc%2Ffull-record%2FWOS:000795906000001","View Full Record in Web of Science")</f>
        <v>View Full Record in Web of Science</v>
      </c>
    </row>
    <row r="324" spans="1:72" x14ac:dyDescent="0.2">
      <c r="A324" t="s">
        <v>72</v>
      </c>
      <c r="B324" t="s">
        <v>6579</v>
      </c>
      <c r="C324" t="s">
        <v>74</v>
      </c>
      <c r="D324" t="s">
        <v>74</v>
      </c>
      <c r="E324" t="s">
        <v>74</v>
      </c>
      <c r="F324" t="s">
        <v>6580</v>
      </c>
      <c r="G324" t="s">
        <v>74</v>
      </c>
      <c r="H324" t="s">
        <v>74</v>
      </c>
      <c r="I324" t="s">
        <v>6581</v>
      </c>
      <c r="J324" t="s">
        <v>6582</v>
      </c>
      <c r="K324" t="s">
        <v>74</v>
      </c>
      <c r="L324" t="s">
        <v>74</v>
      </c>
      <c r="M324" t="s">
        <v>78</v>
      </c>
      <c r="N324" t="s">
        <v>79</v>
      </c>
      <c r="O324" t="s">
        <v>74</v>
      </c>
      <c r="P324" t="s">
        <v>74</v>
      </c>
      <c r="Q324" t="s">
        <v>74</v>
      </c>
      <c r="R324" t="s">
        <v>74</v>
      </c>
      <c r="S324" t="s">
        <v>74</v>
      </c>
      <c r="T324" t="s">
        <v>6583</v>
      </c>
      <c r="U324" t="s">
        <v>6584</v>
      </c>
      <c r="V324" t="s">
        <v>6585</v>
      </c>
      <c r="W324" t="s">
        <v>6586</v>
      </c>
      <c r="X324" t="s">
        <v>6587</v>
      </c>
      <c r="Y324" t="s">
        <v>6588</v>
      </c>
      <c r="Z324" t="s">
        <v>6589</v>
      </c>
      <c r="AA324" t="s">
        <v>6590</v>
      </c>
      <c r="AB324" t="s">
        <v>6591</v>
      </c>
      <c r="AC324" t="s">
        <v>74</v>
      </c>
      <c r="AD324" t="s">
        <v>74</v>
      </c>
      <c r="AE324" t="s">
        <v>74</v>
      </c>
      <c r="AF324" t="s">
        <v>74</v>
      </c>
      <c r="AG324">
        <v>55</v>
      </c>
      <c r="AH324">
        <v>4</v>
      </c>
      <c r="AI324">
        <v>4</v>
      </c>
      <c r="AJ324">
        <v>4</v>
      </c>
      <c r="AK324">
        <v>57</v>
      </c>
      <c r="AL324" t="s">
        <v>1062</v>
      </c>
      <c r="AM324" t="s">
        <v>1063</v>
      </c>
      <c r="AN324" t="s">
        <v>1064</v>
      </c>
      <c r="AO324" t="s">
        <v>6592</v>
      </c>
      <c r="AP324" t="s">
        <v>6593</v>
      </c>
      <c r="AQ324" t="s">
        <v>74</v>
      </c>
      <c r="AR324" t="s">
        <v>6582</v>
      </c>
      <c r="AS324" t="s">
        <v>6594</v>
      </c>
      <c r="AT324" t="s">
        <v>1650</v>
      </c>
      <c r="AU324">
        <v>2023</v>
      </c>
      <c r="AV324">
        <v>52</v>
      </c>
      <c r="AW324">
        <v>12</v>
      </c>
      <c r="AX324" t="s">
        <v>74</v>
      </c>
      <c r="AY324" t="s">
        <v>74</v>
      </c>
      <c r="AZ324" t="s">
        <v>74</v>
      </c>
      <c r="BA324" t="s">
        <v>74</v>
      </c>
      <c r="BB324">
        <v>5875</v>
      </c>
      <c r="BC324">
        <v>5892</v>
      </c>
      <c r="BD324" t="s">
        <v>74</v>
      </c>
      <c r="BE324" t="s">
        <v>6595</v>
      </c>
      <c r="BF324" t="str">
        <f>HYPERLINK("http://dx.doi.org/10.1108/K-03-2022-0341","http://dx.doi.org/10.1108/K-03-2022-0341")</f>
        <v>http://dx.doi.org/10.1108/K-03-2022-0341</v>
      </c>
      <c r="BG324" t="s">
        <v>74</v>
      </c>
      <c r="BH324" t="s">
        <v>1072</v>
      </c>
      <c r="BI324">
        <v>18</v>
      </c>
      <c r="BJ324" t="s">
        <v>6596</v>
      </c>
      <c r="BK324" t="s">
        <v>102</v>
      </c>
      <c r="BL324" t="s">
        <v>6597</v>
      </c>
      <c r="BM324" t="s">
        <v>6598</v>
      </c>
      <c r="BN324" t="s">
        <v>74</v>
      </c>
      <c r="BO324" t="s">
        <v>74</v>
      </c>
      <c r="BP324" t="s">
        <v>74</v>
      </c>
      <c r="BQ324" t="s">
        <v>74</v>
      </c>
      <c r="BR324" t="s">
        <v>106</v>
      </c>
      <c r="BS324" t="s">
        <v>6599</v>
      </c>
      <c r="BT324" t="str">
        <f>HYPERLINK("https%3A%2F%2Fwww.webofscience.com%2Fwos%2Fwoscc%2Ffull-record%2FWOS:000838636900001","View Full Record in Web of Science")</f>
        <v>View Full Record in Web of Science</v>
      </c>
    </row>
    <row r="325" spans="1:72" x14ac:dyDescent="0.2">
      <c r="A325" t="s">
        <v>72</v>
      </c>
      <c r="B325" t="s">
        <v>6600</v>
      </c>
      <c r="C325" t="s">
        <v>74</v>
      </c>
      <c r="D325" t="s">
        <v>74</v>
      </c>
      <c r="E325" t="s">
        <v>74</v>
      </c>
      <c r="F325" t="s">
        <v>6601</v>
      </c>
      <c r="G325" t="s">
        <v>74</v>
      </c>
      <c r="H325" t="s">
        <v>74</v>
      </c>
      <c r="I325" t="s">
        <v>6602</v>
      </c>
      <c r="J325" t="s">
        <v>1912</v>
      </c>
      <c r="K325" t="s">
        <v>74</v>
      </c>
      <c r="L325" t="s">
        <v>74</v>
      </c>
      <c r="M325" t="s">
        <v>78</v>
      </c>
      <c r="N325" t="s">
        <v>79</v>
      </c>
      <c r="O325" t="s">
        <v>74</v>
      </c>
      <c r="P325" t="s">
        <v>74</v>
      </c>
      <c r="Q325" t="s">
        <v>74</v>
      </c>
      <c r="R325" t="s">
        <v>74</v>
      </c>
      <c r="S325" t="s">
        <v>74</v>
      </c>
      <c r="T325" t="s">
        <v>6603</v>
      </c>
      <c r="U325" t="s">
        <v>6604</v>
      </c>
      <c r="V325" t="s">
        <v>6605</v>
      </c>
      <c r="W325" t="s">
        <v>6606</v>
      </c>
      <c r="X325" t="s">
        <v>6607</v>
      </c>
      <c r="Y325" t="s">
        <v>6608</v>
      </c>
      <c r="Z325" t="s">
        <v>6609</v>
      </c>
      <c r="AA325" t="s">
        <v>6610</v>
      </c>
      <c r="AB325" t="s">
        <v>6611</v>
      </c>
      <c r="AC325" t="s">
        <v>74</v>
      </c>
      <c r="AD325" t="s">
        <v>74</v>
      </c>
      <c r="AE325" t="s">
        <v>74</v>
      </c>
      <c r="AF325" t="s">
        <v>74</v>
      </c>
      <c r="AG325">
        <v>24</v>
      </c>
      <c r="AH325">
        <v>3</v>
      </c>
      <c r="AI325">
        <v>3</v>
      </c>
      <c r="AJ325">
        <v>0</v>
      </c>
      <c r="AK325">
        <v>5</v>
      </c>
      <c r="AL325" t="s">
        <v>1921</v>
      </c>
      <c r="AM325" t="s">
        <v>1922</v>
      </c>
      <c r="AN325" t="s">
        <v>1923</v>
      </c>
      <c r="AO325" t="s">
        <v>1924</v>
      </c>
      <c r="AP325" t="s">
        <v>1925</v>
      </c>
      <c r="AQ325" t="s">
        <v>74</v>
      </c>
      <c r="AR325" t="s">
        <v>1926</v>
      </c>
      <c r="AS325" t="s">
        <v>1927</v>
      </c>
      <c r="AT325" t="s">
        <v>74</v>
      </c>
      <c r="AU325">
        <v>2017</v>
      </c>
      <c r="AV325">
        <v>26</v>
      </c>
      <c r="AW325" t="s">
        <v>6612</v>
      </c>
      <c r="AX325" t="s">
        <v>74</v>
      </c>
      <c r="AY325" t="s">
        <v>74</v>
      </c>
      <c r="AZ325" t="s">
        <v>74</v>
      </c>
      <c r="BA325" t="s">
        <v>74</v>
      </c>
      <c r="BB325">
        <v>648</v>
      </c>
      <c r="BC325">
        <v>654</v>
      </c>
      <c r="BD325" t="s">
        <v>74</v>
      </c>
      <c r="BE325" t="s">
        <v>74</v>
      </c>
      <c r="BF325" t="s">
        <v>74</v>
      </c>
      <c r="BG325" t="s">
        <v>74</v>
      </c>
      <c r="BH325" t="s">
        <v>74</v>
      </c>
      <c r="BI325">
        <v>7</v>
      </c>
      <c r="BJ325" t="s">
        <v>567</v>
      </c>
      <c r="BK325" t="s">
        <v>102</v>
      </c>
      <c r="BL325" t="s">
        <v>568</v>
      </c>
      <c r="BM325" t="s">
        <v>6613</v>
      </c>
      <c r="BN325" t="s">
        <v>74</v>
      </c>
      <c r="BO325" t="s">
        <v>74</v>
      </c>
      <c r="BP325" t="s">
        <v>74</v>
      </c>
      <c r="BQ325" t="s">
        <v>74</v>
      </c>
      <c r="BR325" t="s">
        <v>106</v>
      </c>
      <c r="BS325" t="s">
        <v>6614</v>
      </c>
      <c r="BT325" t="str">
        <f>HYPERLINK("https%3A%2F%2Fwww.webofscience.com%2Fwos%2Fwoscc%2Ffull-record%2FWOS:000419539900078","View Full Record in Web of Science")</f>
        <v>View Full Record in Web of Science</v>
      </c>
    </row>
    <row r="326" spans="1:72" x14ac:dyDescent="0.2">
      <c r="A326" t="s">
        <v>72</v>
      </c>
      <c r="B326" t="s">
        <v>6615</v>
      </c>
      <c r="C326" t="s">
        <v>74</v>
      </c>
      <c r="D326" t="s">
        <v>74</v>
      </c>
      <c r="E326" t="s">
        <v>74</v>
      </c>
      <c r="F326" t="s">
        <v>6616</v>
      </c>
      <c r="G326" t="s">
        <v>74</v>
      </c>
      <c r="H326" t="s">
        <v>74</v>
      </c>
      <c r="I326" t="s">
        <v>6617</v>
      </c>
      <c r="J326" t="s">
        <v>6618</v>
      </c>
      <c r="K326" t="s">
        <v>74</v>
      </c>
      <c r="L326" t="s">
        <v>74</v>
      </c>
      <c r="M326" t="s">
        <v>78</v>
      </c>
      <c r="N326" t="s">
        <v>79</v>
      </c>
      <c r="O326" t="s">
        <v>74</v>
      </c>
      <c r="P326" t="s">
        <v>74</v>
      </c>
      <c r="Q326" t="s">
        <v>74</v>
      </c>
      <c r="R326" t="s">
        <v>74</v>
      </c>
      <c r="S326" t="s">
        <v>74</v>
      </c>
      <c r="T326" t="s">
        <v>6619</v>
      </c>
      <c r="U326" t="s">
        <v>6620</v>
      </c>
      <c r="V326" t="s">
        <v>6621</v>
      </c>
      <c r="W326" t="s">
        <v>6622</v>
      </c>
      <c r="X326" t="s">
        <v>6623</v>
      </c>
      <c r="Y326" t="s">
        <v>6624</v>
      </c>
      <c r="Z326" t="s">
        <v>6625</v>
      </c>
      <c r="AA326" t="s">
        <v>6626</v>
      </c>
      <c r="AB326" t="s">
        <v>74</v>
      </c>
      <c r="AC326" t="s">
        <v>6627</v>
      </c>
      <c r="AD326" t="s">
        <v>6628</v>
      </c>
      <c r="AE326" t="s">
        <v>6629</v>
      </c>
      <c r="AF326" t="s">
        <v>74</v>
      </c>
      <c r="AG326">
        <v>45</v>
      </c>
      <c r="AH326">
        <v>2</v>
      </c>
      <c r="AI326">
        <v>2</v>
      </c>
      <c r="AJ326">
        <v>5</v>
      </c>
      <c r="AK326">
        <v>52</v>
      </c>
      <c r="AL326" t="s">
        <v>6630</v>
      </c>
      <c r="AM326" t="s">
        <v>6631</v>
      </c>
      <c r="AN326" t="s">
        <v>6632</v>
      </c>
      <c r="AO326" t="s">
        <v>6633</v>
      </c>
      <c r="AP326" t="s">
        <v>6634</v>
      </c>
      <c r="AQ326" t="s">
        <v>74</v>
      </c>
      <c r="AR326" t="s">
        <v>6635</v>
      </c>
      <c r="AS326" t="s">
        <v>6636</v>
      </c>
      <c r="AT326" t="s">
        <v>912</v>
      </c>
      <c r="AU326">
        <v>2023</v>
      </c>
      <c r="AV326">
        <v>22</v>
      </c>
      <c r="AW326">
        <v>5</v>
      </c>
      <c r="AX326" t="s">
        <v>74</v>
      </c>
      <c r="AY326" t="s">
        <v>74</v>
      </c>
      <c r="AZ326" t="s">
        <v>74</v>
      </c>
      <c r="BA326" t="s">
        <v>74</v>
      </c>
      <c r="BB326">
        <v>813</v>
      </c>
      <c r="BC326">
        <v>824</v>
      </c>
      <c r="BD326" t="s">
        <v>74</v>
      </c>
      <c r="BE326" t="s">
        <v>6637</v>
      </c>
      <c r="BF326" t="str">
        <f>HYPERLINK("http://dx.doi.org/10.30638/eemj.2023.064","http://dx.doi.org/10.30638/eemj.2023.064")</f>
        <v>http://dx.doi.org/10.30638/eemj.2023.064</v>
      </c>
      <c r="BG326" t="s">
        <v>74</v>
      </c>
      <c r="BH326" t="s">
        <v>74</v>
      </c>
      <c r="BI326">
        <v>12</v>
      </c>
      <c r="BJ326" t="s">
        <v>567</v>
      </c>
      <c r="BK326" t="s">
        <v>102</v>
      </c>
      <c r="BL326" t="s">
        <v>568</v>
      </c>
      <c r="BM326" t="s">
        <v>6638</v>
      </c>
      <c r="BN326" t="s">
        <v>74</v>
      </c>
      <c r="BO326" t="s">
        <v>231</v>
      </c>
      <c r="BP326" t="s">
        <v>74</v>
      </c>
      <c r="BQ326" t="s">
        <v>74</v>
      </c>
      <c r="BR326" t="s">
        <v>106</v>
      </c>
      <c r="BS326" t="s">
        <v>6639</v>
      </c>
      <c r="BT326" t="str">
        <f>HYPERLINK("https%3A%2F%2Fwww.webofscience.com%2Fwos%2Fwoscc%2Ffull-record%2FWOS:001079703400001","View Full Record in Web of Science")</f>
        <v>View Full Record in Web of Science</v>
      </c>
    </row>
    <row r="327" spans="1:72" x14ac:dyDescent="0.2">
      <c r="A327" t="s">
        <v>72</v>
      </c>
      <c r="B327" t="s">
        <v>6640</v>
      </c>
      <c r="C327" t="s">
        <v>74</v>
      </c>
      <c r="D327" t="s">
        <v>74</v>
      </c>
      <c r="E327" t="s">
        <v>74</v>
      </c>
      <c r="F327" t="s">
        <v>6641</v>
      </c>
      <c r="G327" t="s">
        <v>74</v>
      </c>
      <c r="H327" t="s">
        <v>74</v>
      </c>
      <c r="I327" t="s">
        <v>6642</v>
      </c>
      <c r="J327" t="s">
        <v>468</v>
      </c>
      <c r="K327" t="s">
        <v>74</v>
      </c>
      <c r="L327" t="s">
        <v>74</v>
      </c>
      <c r="M327" t="s">
        <v>78</v>
      </c>
      <c r="N327" t="s">
        <v>79</v>
      </c>
      <c r="O327" t="s">
        <v>74</v>
      </c>
      <c r="P327" t="s">
        <v>74</v>
      </c>
      <c r="Q327" t="s">
        <v>74</v>
      </c>
      <c r="R327" t="s">
        <v>74</v>
      </c>
      <c r="S327" t="s">
        <v>74</v>
      </c>
      <c r="T327" t="s">
        <v>6643</v>
      </c>
      <c r="U327" t="s">
        <v>6644</v>
      </c>
      <c r="V327" t="s">
        <v>6645</v>
      </c>
      <c r="W327" t="s">
        <v>6646</v>
      </c>
      <c r="X327" t="s">
        <v>6647</v>
      </c>
      <c r="Y327" t="s">
        <v>6648</v>
      </c>
      <c r="Z327" t="s">
        <v>6649</v>
      </c>
      <c r="AA327" t="s">
        <v>6650</v>
      </c>
      <c r="AB327" t="s">
        <v>6651</v>
      </c>
      <c r="AC327" t="s">
        <v>74</v>
      </c>
      <c r="AD327" t="s">
        <v>74</v>
      </c>
      <c r="AE327" t="s">
        <v>74</v>
      </c>
      <c r="AF327" t="s">
        <v>74</v>
      </c>
      <c r="AG327">
        <v>74</v>
      </c>
      <c r="AH327">
        <v>0</v>
      </c>
      <c r="AI327">
        <v>0</v>
      </c>
      <c r="AJ327">
        <v>2</v>
      </c>
      <c r="AK327">
        <v>2</v>
      </c>
      <c r="AL327" t="s">
        <v>222</v>
      </c>
      <c r="AM327" t="s">
        <v>223</v>
      </c>
      <c r="AN327" t="s">
        <v>478</v>
      </c>
      <c r="AO327" t="s">
        <v>74</v>
      </c>
      <c r="AP327" t="s">
        <v>479</v>
      </c>
      <c r="AQ327" t="s">
        <v>74</v>
      </c>
      <c r="AR327" t="s">
        <v>480</v>
      </c>
      <c r="AS327" t="s">
        <v>481</v>
      </c>
      <c r="AT327" t="s">
        <v>6652</v>
      </c>
      <c r="AU327">
        <v>2025</v>
      </c>
      <c r="AV327">
        <v>17</v>
      </c>
      <c r="AW327">
        <v>12</v>
      </c>
      <c r="AX327" t="s">
        <v>74</v>
      </c>
      <c r="AY327" t="s">
        <v>74</v>
      </c>
      <c r="AZ327" t="s">
        <v>74</v>
      </c>
      <c r="BA327" t="s">
        <v>74</v>
      </c>
      <c r="BB327" t="s">
        <v>74</v>
      </c>
      <c r="BC327" t="s">
        <v>74</v>
      </c>
      <c r="BD327">
        <v>5573</v>
      </c>
      <c r="BE327" t="s">
        <v>6653</v>
      </c>
      <c r="BF327" t="str">
        <f>HYPERLINK("http://dx.doi.org/10.3390/su17125573","http://dx.doi.org/10.3390/su17125573")</f>
        <v>http://dx.doi.org/10.3390/su17125573</v>
      </c>
      <c r="BG327" t="s">
        <v>74</v>
      </c>
      <c r="BH327" t="s">
        <v>74</v>
      </c>
      <c r="BI327">
        <v>15</v>
      </c>
      <c r="BJ327" t="s">
        <v>484</v>
      </c>
      <c r="BK327" t="s">
        <v>186</v>
      </c>
      <c r="BL327" t="s">
        <v>485</v>
      </c>
      <c r="BM327" t="s">
        <v>6654</v>
      </c>
      <c r="BN327" t="s">
        <v>74</v>
      </c>
      <c r="BO327" t="s">
        <v>231</v>
      </c>
      <c r="BP327" t="s">
        <v>74</v>
      </c>
      <c r="BQ327" t="s">
        <v>74</v>
      </c>
      <c r="BR327" t="s">
        <v>106</v>
      </c>
      <c r="BS327" t="s">
        <v>6655</v>
      </c>
      <c r="BT327" t="str">
        <f>HYPERLINK("https%3A%2F%2Fwww.webofscience.com%2Fwos%2Fwoscc%2Ffull-record%2FWOS:001516167500001","View Full Record in Web of Science")</f>
        <v>View Full Record in Web of Science</v>
      </c>
    </row>
    <row r="328" spans="1:72" x14ac:dyDescent="0.2">
      <c r="A328" t="s">
        <v>72</v>
      </c>
      <c r="B328" t="s">
        <v>6656</v>
      </c>
      <c r="C328" t="s">
        <v>74</v>
      </c>
      <c r="D328" t="s">
        <v>74</v>
      </c>
      <c r="E328" t="s">
        <v>74</v>
      </c>
      <c r="F328" t="s">
        <v>6657</v>
      </c>
      <c r="G328" t="s">
        <v>74</v>
      </c>
      <c r="H328" t="s">
        <v>74</v>
      </c>
      <c r="I328" t="s">
        <v>6658</v>
      </c>
      <c r="J328" t="s">
        <v>574</v>
      </c>
      <c r="K328" t="s">
        <v>74</v>
      </c>
      <c r="L328" t="s">
        <v>74</v>
      </c>
      <c r="M328" t="s">
        <v>78</v>
      </c>
      <c r="N328" t="s">
        <v>79</v>
      </c>
      <c r="O328" t="s">
        <v>74</v>
      </c>
      <c r="P328" t="s">
        <v>74</v>
      </c>
      <c r="Q328" t="s">
        <v>74</v>
      </c>
      <c r="R328" t="s">
        <v>74</v>
      </c>
      <c r="S328" t="s">
        <v>74</v>
      </c>
      <c r="T328" t="s">
        <v>6659</v>
      </c>
      <c r="U328" t="s">
        <v>6660</v>
      </c>
      <c r="V328" t="s">
        <v>6661</v>
      </c>
      <c r="W328" t="s">
        <v>6662</v>
      </c>
      <c r="X328" t="s">
        <v>6663</v>
      </c>
      <c r="Y328" t="s">
        <v>6664</v>
      </c>
      <c r="Z328" t="s">
        <v>6665</v>
      </c>
      <c r="AA328" t="s">
        <v>6666</v>
      </c>
      <c r="AB328" t="s">
        <v>6667</v>
      </c>
      <c r="AC328" t="s">
        <v>74</v>
      </c>
      <c r="AD328" t="s">
        <v>74</v>
      </c>
      <c r="AE328" t="s">
        <v>74</v>
      </c>
      <c r="AF328" t="s">
        <v>74</v>
      </c>
      <c r="AG328">
        <v>82</v>
      </c>
      <c r="AH328">
        <v>9</v>
      </c>
      <c r="AI328">
        <v>9</v>
      </c>
      <c r="AJ328">
        <v>5</v>
      </c>
      <c r="AK328">
        <v>61</v>
      </c>
      <c r="AL328" t="s">
        <v>585</v>
      </c>
      <c r="AM328" t="s">
        <v>306</v>
      </c>
      <c r="AN328" t="s">
        <v>586</v>
      </c>
      <c r="AO328" t="s">
        <v>587</v>
      </c>
      <c r="AP328" t="s">
        <v>588</v>
      </c>
      <c r="AQ328" t="s">
        <v>74</v>
      </c>
      <c r="AR328" t="s">
        <v>589</v>
      </c>
      <c r="AS328" t="s">
        <v>590</v>
      </c>
      <c r="AT328" t="s">
        <v>591</v>
      </c>
      <c r="AU328">
        <v>2023</v>
      </c>
      <c r="AV328">
        <v>14</v>
      </c>
      <c r="AW328">
        <v>1</v>
      </c>
      <c r="AX328" t="s">
        <v>74</v>
      </c>
      <c r="AY328" t="s">
        <v>74</v>
      </c>
      <c r="AZ328" t="s">
        <v>74</v>
      </c>
      <c r="BA328" t="s">
        <v>74</v>
      </c>
      <c r="BB328" t="s">
        <v>74</v>
      </c>
      <c r="BC328" t="s">
        <v>74</v>
      </c>
      <c r="BD328">
        <v>2244456</v>
      </c>
      <c r="BE328" t="s">
        <v>6668</v>
      </c>
      <c r="BF328" t="str">
        <f>HYPERLINK("http://dx.doi.org/10.1080/17583004.2023.2244456","http://dx.doi.org/10.1080/17583004.2023.2244456")</f>
        <v>http://dx.doi.org/10.1080/17583004.2023.2244456</v>
      </c>
      <c r="BG328" t="s">
        <v>74</v>
      </c>
      <c r="BH328" t="s">
        <v>74</v>
      </c>
      <c r="BI328">
        <v>17</v>
      </c>
      <c r="BJ328" t="s">
        <v>593</v>
      </c>
      <c r="BK328" t="s">
        <v>186</v>
      </c>
      <c r="BL328" t="s">
        <v>568</v>
      </c>
      <c r="BM328" t="s">
        <v>6669</v>
      </c>
      <c r="BN328" t="s">
        <v>74</v>
      </c>
      <c r="BO328" t="s">
        <v>161</v>
      </c>
      <c r="BP328" t="s">
        <v>74</v>
      </c>
      <c r="BQ328" t="s">
        <v>74</v>
      </c>
      <c r="BR328" t="s">
        <v>106</v>
      </c>
      <c r="BS328" t="s">
        <v>6670</v>
      </c>
      <c r="BT328" t="str">
        <f>HYPERLINK("https%3A%2F%2Fwww.webofscience.com%2Fwos%2Fwoscc%2Ffull-record%2FWOS:001046532300001","View Full Record in Web of Science")</f>
        <v>View Full Record in Web of Science</v>
      </c>
    </row>
    <row r="329" spans="1:72" x14ac:dyDescent="0.2">
      <c r="A329" t="s">
        <v>72</v>
      </c>
      <c r="B329" t="s">
        <v>6671</v>
      </c>
      <c r="C329" t="s">
        <v>74</v>
      </c>
      <c r="D329" t="s">
        <v>74</v>
      </c>
      <c r="E329" t="s">
        <v>74</v>
      </c>
      <c r="F329" t="s">
        <v>6672</v>
      </c>
      <c r="G329" t="s">
        <v>74</v>
      </c>
      <c r="H329" t="s">
        <v>74</v>
      </c>
      <c r="I329" t="s">
        <v>6673</v>
      </c>
      <c r="J329" t="s">
        <v>3061</v>
      </c>
      <c r="K329" t="s">
        <v>74</v>
      </c>
      <c r="L329" t="s">
        <v>74</v>
      </c>
      <c r="M329" t="s">
        <v>78</v>
      </c>
      <c r="N329" t="s">
        <v>79</v>
      </c>
      <c r="O329" t="s">
        <v>74</v>
      </c>
      <c r="P329" t="s">
        <v>74</v>
      </c>
      <c r="Q329" t="s">
        <v>74</v>
      </c>
      <c r="R329" t="s">
        <v>74</v>
      </c>
      <c r="S329" t="s">
        <v>74</v>
      </c>
      <c r="T329" t="s">
        <v>6674</v>
      </c>
      <c r="U329" t="s">
        <v>6675</v>
      </c>
      <c r="V329" t="s">
        <v>6676</v>
      </c>
      <c r="W329" t="s">
        <v>6677</v>
      </c>
      <c r="X329" t="s">
        <v>6678</v>
      </c>
      <c r="Y329" t="s">
        <v>6679</v>
      </c>
      <c r="Z329" t="s">
        <v>6680</v>
      </c>
      <c r="AA329" t="s">
        <v>6681</v>
      </c>
      <c r="AB329" t="s">
        <v>6682</v>
      </c>
      <c r="AC329" t="s">
        <v>6683</v>
      </c>
      <c r="AD329" t="s">
        <v>6684</v>
      </c>
      <c r="AE329" t="s">
        <v>6685</v>
      </c>
      <c r="AF329" t="s">
        <v>74</v>
      </c>
      <c r="AG329">
        <v>70</v>
      </c>
      <c r="AH329">
        <v>9</v>
      </c>
      <c r="AI329">
        <v>9</v>
      </c>
      <c r="AJ329">
        <v>30</v>
      </c>
      <c r="AK329">
        <v>94</v>
      </c>
      <c r="AL329" t="s">
        <v>123</v>
      </c>
      <c r="AM329" t="s">
        <v>124</v>
      </c>
      <c r="AN329" t="s">
        <v>125</v>
      </c>
      <c r="AO329" t="s">
        <v>3074</v>
      </c>
      <c r="AP329" t="s">
        <v>3075</v>
      </c>
      <c r="AQ329" t="s">
        <v>74</v>
      </c>
      <c r="AR329" t="s">
        <v>3061</v>
      </c>
      <c r="AS329" t="s">
        <v>3076</v>
      </c>
      <c r="AT329" t="s">
        <v>2017</v>
      </c>
      <c r="AU329">
        <v>2024</v>
      </c>
      <c r="AV329">
        <v>450</v>
      </c>
      <c r="AW329" t="s">
        <v>74</v>
      </c>
      <c r="AX329" t="s">
        <v>74</v>
      </c>
      <c r="AY329" t="s">
        <v>74</v>
      </c>
      <c r="AZ329" t="s">
        <v>74</v>
      </c>
      <c r="BA329" t="s">
        <v>74</v>
      </c>
      <c r="BB329" t="s">
        <v>74</v>
      </c>
      <c r="BC329" t="s">
        <v>74</v>
      </c>
      <c r="BD329">
        <v>117038</v>
      </c>
      <c r="BE329" t="s">
        <v>6686</v>
      </c>
      <c r="BF329" t="str">
        <f>HYPERLINK("http://dx.doi.org/10.1016/j.geoderma.2024.117038","http://dx.doi.org/10.1016/j.geoderma.2024.117038")</f>
        <v>http://dx.doi.org/10.1016/j.geoderma.2024.117038</v>
      </c>
      <c r="BG329" t="s">
        <v>74</v>
      </c>
      <c r="BH329" t="s">
        <v>2956</v>
      </c>
      <c r="BI329">
        <v>10</v>
      </c>
      <c r="BJ329" t="s">
        <v>256</v>
      </c>
      <c r="BK329" t="s">
        <v>102</v>
      </c>
      <c r="BL329" t="s">
        <v>103</v>
      </c>
      <c r="BM329" t="s">
        <v>6687</v>
      </c>
      <c r="BN329" t="s">
        <v>74</v>
      </c>
      <c r="BO329" t="s">
        <v>231</v>
      </c>
      <c r="BP329" t="s">
        <v>74</v>
      </c>
      <c r="BQ329" t="s">
        <v>74</v>
      </c>
      <c r="BR329" t="s">
        <v>106</v>
      </c>
      <c r="BS329" t="s">
        <v>6688</v>
      </c>
      <c r="BT329" t="str">
        <f>HYPERLINK("https%3A%2F%2Fwww.webofscience.com%2Fwos%2Fwoscc%2Ffull-record%2FWOS:001321600900001","View Full Record in Web of Science")</f>
        <v>View Full Record in Web of Science</v>
      </c>
    </row>
    <row r="330" spans="1:72" x14ac:dyDescent="0.2">
      <c r="A330" t="s">
        <v>72</v>
      </c>
      <c r="B330" t="s">
        <v>6689</v>
      </c>
      <c r="C330" t="s">
        <v>74</v>
      </c>
      <c r="D330" t="s">
        <v>74</v>
      </c>
      <c r="E330" t="s">
        <v>74</v>
      </c>
      <c r="F330" t="s">
        <v>6690</v>
      </c>
      <c r="G330" t="s">
        <v>74</v>
      </c>
      <c r="H330" t="s">
        <v>74</v>
      </c>
      <c r="I330" t="s">
        <v>6691</v>
      </c>
      <c r="J330" t="s">
        <v>1891</v>
      </c>
      <c r="K330" t="s">
        <v>74</v>
      </c>
      <c r="L330" t="s">
        <v>74</v>
      </c>
      <c r="M330" t="s">
        <v>78</v>
      </c>
      <c r="N330" t="s">
        <v>79</v>
      </c>
      <c r="O330" t="s">
        <v>74</v>
      </c>
      <c r="P330" t="s">
        <v>74</v>
      </c>
      <c r="Q330" t="s">
        <v>74</v>
      </c>
      <c r="R330" t="s">
        <v>74</v>
      </c>
      <c r="S330" t="s">
        <v>74</v>
      </c>
      <c r="T330" t="s">
        <v>6692</v>
      </c>
      <c r="U330" t="s">
        <v>6693</v>
      </c>
      <c r="V330" t="s">
        <v>6694</v>
      </c>
      <c r="W330" t="s">
        <v>6695</v>
      </c>
      <c r="X330" t="s">
        <v>6696</v>
      </c>
      <c r="Y330" t="s">
        <v>6697</v>
      </c>
      <c r="Z330" t="s">
        <v>6698</v>
      </c>
      <c r="AA330" t="s">
        <v>6699</v>
      </c>
      <c r="AB330" t="s">
        <v>6700</v>
      </c>
      <c r="AC330" t="s">
        <v>6701</v>
      </c>
      <c r="AD330" t="s">
        <v>6702</v>
      </c>
      <c r="AE330" t="s">
        <v>6703</v>
      </c>
      <c r="AF330" t="s">
        <v>74</v>
      </c>
      <c r="AG330">
        <v>80</v>
      </c>
      <c r="AH330">
        <v>0</v>
      </c>
      <c r="AI330">
        <v>0</v>
      </c>
      <c r="AJ330">
        <v>4</v>
      </c>
      <c r="AK330">
        <v>4</v>
      </c>
      <c r="AL330" t="s">
        <v>222</v>
      </c>
      <c r="AM330" t="s">
        <v>223</v>
      </c>
      <c r="AN330" t="s">
        <v>478</v>
      </c>
      <c r="AO330" t="s">
        <v>74</v>
      </c>
      <c r="AP330" t="s">
        <v>1904</v>
      </c>
      <c r="AQ330" t="s">
        <v>74</v>
      </c>
      <c r="AR330" t="s">
        <v>1891</v>
      </c>
      <c r="AS330" t="s">
        <v>1905</v>
      </c>
      <c r="AT330" t="s">
        <v>5238</v>
      </c>
      <c r="AU330">
        <v>2025</v>
      </c>
      <c r="AV330">
        <v>16</v>
      </c>
      <c r="AW330">
        <v>8</v>
      </c>
      <c r="AX330" t="s">
        <v>74</v>
      </c>
      <c r="AY330" t="s">
        <v>74</v>
      </c>
      <c r="AZ330" t="s">
        <v>74</v>
      </c>
      <c r="BA330" t="s">
        <v>74</v>
      </c>
      <c r="BB330" t="s">
        <v>74</v>
      </c>
      <c r="BC330" t="s">
        <v>74</v>
      </c>
      <c r="BD330">
        <v>1262</v>
      </c>
      <c r="BE330" t="s">
        <v>6704</v>
      </c>
      <c r="BF330" t="str">
        <f>HYPERLINK("http://dx.doi.org/10.3390/f16081262","http://dx.doi.org/10.3390/f16081262")</f>
        <v>http://dx.doi.org/10.3390/f16081262</v>
      </c>
      <c r="BG330" t="s">
        <v>74</v>
      </c>
      <c r="BH330" t="s">
        <v>74</v>
      </c>
      <c r="BI330">
        <v>19</v>
      </c>
      <c r="BJ330" t="s">
        <v>132</v>
      </c>
      <c r="BK330" t="s">
        <v>102</v>
      </c>
      <c r="BL330" t="s">
        <v>132</v>
      </c>
      <c r="BM330" t="s">
        <v>6705</v>
      </c>
      <c r="BN330" t="s">
        <v>74</v>
      </c>
      <c r="BO330" t="s">
        <v>231</v>
      </c>
      <c r="BP330" t="s">
        <v>74</v>
      </c>
      <c r="BQ330" t="s">
        <v>74</v>
      </c>
      <c r="BR330" t="s">
        <v>106</v>
      </c>
      <c r="BS330" t="s">
        <v>6706</v>
      </c>
      <c r="BT330" t="str">
        <f>HYPERLINK("https%3A%2F%2Fwww.webofscience.com%2Fwos%2Fwoscc%2Ffull-record%2FWOS:001558665000001","View Full Record in Web of Science")</f>
        <v>View Full Record in Web of Science</v>
      </c>
    </row>
    <row r="331" spans="1:72" x14ac:dyDescent="0.2">
      <c r="A331" t="s">
        <v>72</v>
      </c>
      <c r="B331" t="s">
        <v>6707</v>
      </c>
      <c r="C331" t="s">
        <v>74</v>
      </c>
      <c r="D331" t="s">
        <v>74</v>
      </c>
      <c r="E331" t="s">
        <v>74</v>
      </c>
      <c r="F331" t="s">
        <v>6708</v>
      </c>
      <c r="G331" t="s">
        <v>74</v>
      </c>
      <c r="H331" t="s">
        <v>74</v>
      </c>
      <c r="I331" t="s">
        <v>6709</v>
      </c>
      <c r="J331" t="s">
        <v>1136</v>
      </c>
      <c r="K331" t="s">
        <v>74</v>
      </c>
      <c r="L331" t="s">
        <v>74</v>
      </c>
      <c r="M331" t="s">
        <v>78</v>
      </c>
      <c r="N331" t="s">
        <v>79</v>
      </c>
      <c r="O331" t="s">
        <v>74</v>
      </c>
      <c r="P331" t="s">
        <v>74</v>
      </c>
      <c r="Q331" t="s">
        <v>74</v>
      </c>
      <c r="R331" t="s">
        <v>74</v>
      </c>
      <c r="S331" t="s">
        <v>74</v>
      </c>
      <c r="T331" t="s">
        <v>6710</v>
      </c>
      <c r="U331" t="s">
        <v>74</v>
      </c>
      <c r="V331" t="s">
        <v>6711</v>
      </c>
      <c r="W331" t="s">
        <v>6712</v>
      </c>
      <c r="X331" t="s">
        <v>6713</v>
      </c>
      <c r="Y331" t="s">
        <v>6714</v>
      </c>
      <c r="Z331" t="s">
        <v>6715</v>
      </c>
      <c r="AA331" t="s">
        <v>6716</v>
      </c>
      <c r="AB331" t="s">
        <v>6717</v>
      </c>
      <c r="AC331" t="s">
        <v>6718</v>
      </c>
      <c r="AD331" t="s">
        <v>6719</v>
      </c>
      <c r="AE331" t="s">
        <v>6720</v>
      </c>
      <c r="AF331" t="s">
        <v>74</v>
      </c>
      <c r="AG331">
        <v>34</v>
      </c>
      <c r="AH331">
        <v>8</v>
      </c>
      <c r="AI331">
        <v>8</v>
      </c>
      <c r="AJ331">
        <v>3</v>
      </c>
      <c r="AK331">
        <v>13</v>
      </c>
      <c r="AL331" t="s">
        <v>1148</v>
      </c>
      <c r="AM331" t="s">
        <v>93</v>
      </c>
      <c r="AN331" t="s">
        <v>1149</v>
      </c>
      <c r="AO331" t="s">
        <v>1150</v>
      </c>
      <c r="AP331" t="s">
        <v>74</v>
      </c>
      <c r="AQ331" t="s">
        <v>74</v>
      </c>
      <c r="AR331" t="s">
        <v>1151</v>
      </c>
      <c r="AS331" t="s">
        <v>1152</v>
      </c>
      <c r="AT331" t="s">
        <v>5141</v>
      </c>
      <c r="AU331">
        <v>2024</v>
      </c>
      <c r="AV331">
        <v>19</v>
      </c>
      <c r="AW331">
        <v>1</v>
      </c>
      <c r="AX331" t="s">
        <v>74</v>
      </c>
      <c r="AY331" t="s">
        <v>74</v>
      </c>
      <c r="AZ331" t="s">
        <v>74</v>
      </c>
      <c r="BA331" t="s">
        <v>74</v>
      </c>
      <c r="BB331" t="s">
        <v>74</v>
      </c>
      <c r="BC331" t="s">
        <v>74</v>
      </c>
      <c r="BD331">
        <v>7</v>
      </c>
      <c r="BE331" t="s">
        <v>6721</v>
      </c>
      <c r="BF331" t="str">
        <f>HYPERLINK("http://dx.doi.org/10.1186/s13021-024-00253-5","http://dx.doi.org/10.1186/s13021-024-00253-5")</f>
        <v>http://dx.doi.org/10.1186/s13021-024-00253-5</v>
      </c>
      <c r="BG331" t="s">
        <v>74</v>
      </c>
      <c r="BH331" t="s">
        <v>74</v>
      </c>
      <c r="BI331">
        <v>17</v>
      </c>
      <c r="BJ331" t="s">
        <v>567</v>
      </c>
      <c r="BK331" t="s">
        <v>102</v>
      </c>
      <c r="BL331" t="s">
        <v>568</v>
      </c>
      <c r="BM331" t="s">
        <v>6722</v>
      </c>
      <c r="BN331">
        <v>38363404</v>
      </c>
      <c r="BO331" t="s">
        <v>161</v>
      </c>
      <c r="BP331" t="s">
        <v>74</v>
      </c>
      <c r="BQ331" t="s">
        <v>74</v>
      </c>
      <c r="BR331" t="s">
        <v>106</v>
      </c>
      <c r="BS331" t="s">
        <v>6723</v>
      </c>
      <c r="BT331" t="str">
        <f>HYPERLINK("https%3A%2F%2Fwww.webofscience.com%2Fwos%2Fwoscc%2Ffull-record%2FWOS:001163130500001","View Full Record in Web of Science")</f>
        <v>View Full Record in Web of Science</v>
      </c>
    </row>
    <row r="332" spans="1:72" x14ac:dyDescent="0.2">
      <c r="A332" t="s">
        <v>72</v>
      </c>
      <c r="B332" t="s">
        <v>6724</v>
      </c>
      <c r="C332" t="s">
        <v>74</v>
      </c>
      <c r="D332" t="s">
        <v>74</v>
      </c>
      <c r="E332" t="s">
        <v>74</v>
      </c>
      <c r="F332" t="s">
        <v>6725</v>
      </c>
      <c r="G332" t="s">
        <v>74</v>
      </c>
      <c r="H332" t="s">
        <v>74</v>
      </c>
      <c r="I332" t="s">
        <v>6726</v>
      </c>
      <c r="J332" t="s">
        <v>468</v>
      </c>
      <c r="K332" t="s">
        <v>74</v>
      </c>
      <c r="L332" t="s">
        <v>74</v>
      </c>
      <c r="M332" t="s">
        <v>78</v>
      </c>
      <c r="N332" t="s">
        <v>79</v>
      </c>
      <c r="O332" t="s">
        <v>74</v>
      </c>
      <c r="P332" t="s">
        <v>74</v>
      </c>
      <c r="Q332" t="s">
        <v>74</v>
      </c>
      <c r="R332" t="s">
        <v>74</v>
      </c>
      <c r="S332" t="s">
        <v>74</v>
      </c>
      <c r="T332" t="s">
        <v>6727</v>
      </c>
      <c r="U332" t="s">
        <v>6728</v>
      </c>
      <c r="V332" t="s">
        <v>6729</v>
      </c>
      <c r="W332" t="s">
        <v>6730</v>
      </c>
      <c r="X332" t="s">
        <v>74</v>
      </c>
      <c r="Y332" t="s">
        <v>6731</v>
      </c>
      <c r="Z332" t="s">
        <v>6732</v>
      </c>
      <c r="AA332" t="s">
        <v>6733</v>
      </c>
      <c r="AB332" t="s">
        <v>6734</v>
      </c>
      <c r="AC332" t="s">
        <v>74</v>
      </c>
      <c r="AD332" t="s">
        <v>74</v>
      </c>
      <c r="AE332" t="s">
        <v>74</v>
      </c>
      <c r="AF332" t="s">
        <v>74</v>
      </c>
      <c r="AG332">
        <v>84</v>
      </c>
      <c r="AH332">
        <v>5</v>
      </c>
      <c r="AI332">
        <v>7</v>
      </c>
      <c r="AJ332">
        <v>0</v>
      </c>
      <c r="AK332">
        <v>31</v>
      </c>
      <c r="AL332" t="s">
        <v>222</v>
      </c>
      <c r="AM332" t="s">
        <v>223</v>
      </c>
      <c r="AN332" t="s">
        <v>224</v>
      </c>
      <c r="AO332" t="s">
        <v>74</v>
      </c>
      <c r="AP332" t="s">
        <v>479</v>
      </c>
      <c r="AQ332" t="s">
        <v>74</v>
      </c>
      <c r="AR332" t="s">
        <v>480</v>
      </c>
      <c r="AS332" t="s">
        <v>481</v>
      </c>
      <c r="AT332" t="s">
        <v>636</v>
      </c>
      <c r="AU332">
        <v>2023</v>
      </c>
      <c r="AV332">
        <v>15</v>
      </c>
      <c r="AW332">
        <v>8</v>
      </c>
      <c r="AX332" t="s">
        <v>74</v>
      </c>
      <c r="AY332" t="s">
        <v>74</v>
      </c>
      <c r="AZ332" t="s">
        <v>74</v>
      </c>
      <c r="BA332" t="s">
        <v>74</v>
      </c>
      <c r="BB332" t="s">
        <v>74</v>
      </c>
      <c r="BC332" t="s">
        <v>74</v>
      </c>
      <c r="BD332">
        <v>6887</v>
      </c>
      <c r="BE332" t="s">
        <v>6735</v>
      </c>
      <c r="BF332" t="str">
        <f>HYPERLINK("http://dx.doi.org/10.3390/su15086887","http://dx.doi.org/10.3390/su15086887")</f>
        <v>http://dx.doi.org/10.3390/su15086887</v>
      </c>
      <c r="BG332" t="s">
        <v>74</v>
      </c>
      <c r="BH332" t="s">
        <v>74</v>
      </c>
      <c r="BI332">
        <v>17</v>
      </c>
      <c r="BJ332" t="s">
        <v>484</v>
      </c>
      <c r="BK332" t="s">
        <v>186</v>
      </c>
      <c r="BL332" t="s">
        <v>485</v>
      </c>
      <c r="BM332" t="s">
        <v>6736</v>
      </c>
      <c r="BN332" t="s">
        <v>74</v>
      </c>
      <c r="BO332" t="s">
        <v>161</v>
      </c>
      <c r="BP332" t="s">
        <v>74</v>
      </c>
      <c r="BQ332" t="s">
        <v>74</v>
      </c>
      <c r="BR332" t="s">
        <v>106</v>
      </c>
      <c r="BS332" t="s">
        <v>6737</v>
      </c>
      <c r="BT332" t="str">
        <f>HYPERLINK("https%3A%2F%2Fwww.webofscience.com%2Fwos%2Fwoscc%2Ffull-record%2FWOS:000978428700001","View Full Record in Web of Science")</f>
        <v>View Full Record in Web of Science</v>
      </c>
    </row>
    <row r="333" spans="1:72" x14ac:dyDescent="0.2">
      <c r="A333" t="s">
        <v>72</v>
      </c>
      <c r="B333" t="s">
        <v>6738</v>
      </c>
      <c r="C333" t="s">
        <v>74</v>
      </c>
      <c r="D333" t="s">
        <v>74</v>
      </c>
      <c r="E333" t="s">
        <v>74</v>
      </c>
      <c r="F333" t="s">
        <v>6739</v>
      </c>
      <c r="G333" t="s">
        <v>74</v>
      </c>
      <c r="H333" t="s">
        <v>74</v>
      </c>
      <c r="I333" t="s">
        <v>6740</v>
      </c>
      <c r="J333" t="s">
        <v>1451</v>
      </c>
      <c r="K333" t="s">
        <v>74</v>
      </c>
      <c r="L333" t="s">
        <v>74</v>
      </c>
      <c r="M333" t="s">
        <v>78</v>
      </c>
      <c r="N333" t="s">
        <v>79</v>
      </c>
      <c r="O333" t="s">
        <v>74</v>
      </c>
      <c r="P333" t="s">
        <v>74</v>
      </c>
      <c r="Q333" t="s">
        <v>74</v>
      </c>
      <c r="R333" t="s">
        <v>74</v>
      </c>
      <c r="S333" t="s">
        <v>74</v>
      </c>
      <c r="T333" t="s">
        <v>6741</v>
      </c>
      <c r="U333" t="s">
        <v>6742</v>
      </c>
      <c r="V333" t="s">
        <v>6743</v>
      </c>
      <c r="W333" t="s">
        <v>6744</v>
      </c>
      <c r="X333" t="s">
        <v>6745</v>
      </c>
      <c r="Y333" t="s">
        <v>6746</v>
      </c>
      <c r="Z333" t="s">
        <v>6747</v>
      </c>
      <c r="AA333" t="s">
        <v>6748</v>
      </c>
      <c r="AB333" t="s">
        <v>6749</v>
      </c>
      <c r="AC333" t="s">
        <v>6750</v>
      </c>
      <c r="AD333" t="s">
        <v>6751</v>
      </c>
      <c r="AE333" t="s">
        <v>6752</v>
      </c>
      <c r="AF333" t="s">
        <v>74</v>
      </c>
      <c r="AG333">
        <v>65</v>
      </c>
      <c r="AH333">
        <v>25</v>
      </c>
      <c r="AI333">
        <v>27</v>
      </c>
      <c r="AJ333">
        <v>26</v>
      </c>
      <c r="AK333">
        <v>143</v>
      </c>
      <c r="AL333" t="s">
        <v>123</v>
      </c>
      <c r="AM333" t="s">
        <v>124</v>
      </c>
      <c r="AN333" t="s">
        <v>125</v>
      </c>
      <c r="AO333" t="s">
        <v>1464</v>
      </c>
      <c r="AP333" t="s">
        <v>1465</v>
      </c>
      <c r="AQ333" t="s">
        <v>74</v>
      </c>
      <c r="AR333" t="s">
        <v>1466</v>
      </c>
      <c r="AS333" t="s">
        <v>1467</v>
      </c>
      <c r="AT333" t="s">
        <v>2977</v>
      </c>
      <c r="AU333">
        <v>2024</v>
      </c>
      <c r="AV333">
        <v>371</v>
      </c>
      <c r="AW333" t="s">
        <v>74</v>
      </c>
      <c r="AX333" t="s">
        <v>74</v>
      </c>
      <c r="AY333" t="s">
        <v>74</v>
      </c>
      <c r="AZ333" t="s">
        <v>74</v>
      </c>
      <c r="BA333" t="s">
        <v>74</v>
      </c>
      <c r="BB333" t="s">
        <v>74</v>
      </c>
      <c r="BC333" t="s">
        <v>74</v>
      </c>
      <c r="BD333">
        <v>109080</v>
      </c>
      <c r="BE333" t="s">
        <v>6753</v>
      </c>
      <c r="BF333" t="str">
        <f>HYPERLINK("http://dx.doi.org/10.1016/j.agee.2024.109080","http://dx.doi.org/10.1016/j.agee.2024.109080")</f>
        <v>http://dx.doi.org/10.1016/j.agee.2024.109080</v>
      </c>
      <c r="BG333" t="s">
        <v>74</v>
      </c>
      <c r="BH333" t="s">
        <v>566</v>
      </c>
      <c r="BI333">
        <v>11</v>
      </c>
      <c r="BJ333" t="s">
        <v>1470</v>
      </c>
      <c r="BK333" t="s">
        <v>102</v>
      </c>
      <c r="BL333" t="s">
        <v>1471</v>
      </c>
      <c r="BM333" t="s">
        <v>6754</v>
      </c>
      <c r="BN333" t="s">
        <v>74</v>
      </c>
      <c r="BO333" t="s">
        <v>74</v>
      </c>
      <c r="BP333" t="s">
        <v>74</v>
      </c>
      <c r="BQ333" t="s">
        <v>74</v>
      </c>
      <c r="BR333" t="s">
        <v>106</v>
      </c>
      <c r="BS333" t="s">
        <v>6755</v>
      </c>
      <c r="BT333" t="str">
        <f>HYPERLINK("https%3A%2F%2Fwww.webofscience.com%2Fwos%2Fwoscc%2Ffull-record%2FWOS:001264348500001","View Full Record in Web of Science")</f>
        <v>View Full Record in Web of Science</v>
      </c>
    </row>
    <row r="334" spans="1:72" x14ac:dyDescent="0.2">
      <c r="A334" t="s">
        <v>72</v>
      </c>
      <c r="B334" t="s">
        <v>6756</v>
      </c>
      <c r="C334" t="s">
        <v>74</v>
      </c>
      <c r="D334" t="s">
        <v>74</v>
      </c>
      <c r="E334" t="s">
        <v>74</v>
      </c>
      <c r="F334" t="s">
        <v>6757</v>
      </c>
      <c r="G334" t="s">
        <v>74</v>
      </c>
      <c r="H334" t="s">
        <v>74</v>
      </c>
      <c r="I334" t="s">
        <v>6758</v>
      </c>
      <c r="J334" t="s">
        <v>6759</v>
      </c>
      <c r="K334" t="s">
        <v>74</v>
      </c>
      <c r="L334" t="s">
        <v>74</v>
      </c>
      <c r="M334" t="s">
        <v>78</v>
      </c>
      <c r="N334" t="s">
        <v>79</v>
      </c>
      <c r="O334" t="s">
        <v>74</v>
      </c>
      <c r="P334" t="s">
        <v>74</v>
      </c>
      <c r="Q334" t="s">
        <v>74</v>
      </c>
      <c r="R334" t="s">
        <v>74</v>
      </c>
      <c r="S334" t="s">
        <v>74</v>
      </c>
      <c r="T334" t="s">
        <v>6760</v>
      </c>
      <c r="U334" t="s">
        <v>6761</v>
      </c>
      <c r="V334" t="s">
        <v>6762</v>
      </c>
      <c r="W334" t="s">
        <v>6763</v>
      </c>
      <c r="X334" t="s">
        <v>6764</v>
      </c>
      <c r="Y334" t="s">
        <v>6765</v>
      </c>
      <c r="Z334" t="s">
        <v>6766</v>
      </c>
      <c r="AA334" t="s">
        <v>6767</v>
      </c>
      <c r="AB334" t="s">
        <v>6768</v>
      </c>
      <c r="AC334" t="s">
        <v>74</v>
      </c>
      <c r="AD334" t="s">
        <v>74</v>
      </c>
      <c r="AE334" t="s">
        <v>74</v>
      </c>
      <c r="AF334" t="s">
        <v>74</v>
      </c>
      <c r="AG334">
        <v>79</v>
      </c>
      <c r="AH334">
        <v>7</v>
      </c>
      <c r="AI334">
        <v>7</v>
      </c>
      <c r="AJ334">
        <v>0</v>
      </c>
      <c r="AK334">
        <v>25</v>
      </c>
      <c r="AL334" t="s">
        <v>176</v>
      </c>
      <c r="AM334" t="s">
        <v>177</v>
      </c>
      <c r="AN334" t="s">
        <v>178</v>
      </c>
      <c r="AO334" t="s">
        <v>6769</v>
      </c>
      <c r="AP334" t="s">
        <v>6770</v>
      </c>
      <c r="AQ334" t="s">
        <v>74</v>
      </c>
      <c r="AR334" t="s">
        <v>6771</v>
      </c>
      <c r="AS334" t="s">
        <v>6772</v>
      </c>
      <c r="AT334" t="s">
        <v>3405</v>
      </c>
      <c r="AU334">
        <v>2016</v>
      </c>
      <c r="AV334">
        <v>58</v>
      </c>
      <c r="AW334">
        <v>9</v>
      </c>
      <c r="AX334" t="s">
        <v>74</v>
      </c>
      <c r="AY334" t="s">
        <v>74</v>
      </c>
      <c r="AZ334" t="s">
        <v>74</v>
      </c>
      <c r="BA334" t="s">
        <v>74</v>
      </c>
      <c r="BB334">
        <v>1610</v>
      </c>
      <c r="BC334">
        <v>1626</v>
      </c>
      <c r="BD334" t="s">
        <v>74</v>
      </c>
      <c r="BE334" t="s">
        <v>6773</v>
      </c>
      <c r="BF334" t="str">
        <f>HYPERLINK("http://dx.doi.org/10.1016/j.asr.2016.06.033","http://dx.doi.org/10.1016/j.asr.2016.06.033")</f>
        <v>http://dx.doi.org/10.1016/j.asr.2016.06.033</v>
      </c>
      <c r="BG334" t="s">
        <v>74</v>
      </c>
      <c r="BH334" t="s">
        <v>74</v>
      </c>
      <c r="BI334">
        <v>17</v>
      </c>
      <c r="BJ334" t="s">
        <v>6774</v>
      </c>
      <c r="BK334" t="s">
        <v>102</v>
      </c>
      <c r="BL334" t="s">
        <v>6775</v>
      </c>
      <c r="BM334" t="s">
        <v>6776</v>
      </c>
      <c r="BN334" t="s">
        <v>74</v>
      </c>
      <c r="BO334" t="s">
        <v>74</v>
      </c>
      <c r="BP334" t="s">
        <v>74</v>
      </c>
      <c r="BQ334" t="s">
        <v>74</v>
      </c>
      <c r="BR334" t="s">
        <v>106</v>
      </c>
      <c r="BS334" t="s">
        <v>6777</v>
      </c>
      <c r="BT334" t="str">
        <f>HYPERLINK("https%3A%2F%2Fwww.webofscience.com%2Fwos%2Fwoscc%2Ffull-record%2FWOS:000385473800002","View Full Record in Web of Science")</f>
        <v>View Full Record in Web of Science</v>
      </c>
    </row>
    <row r="335" spans="1:72" x14ac:dyDescent="0.2">
      <c r="A335" t="s">
        <v>72</v>
      </c>
      <c r="B335" t="s">
        <v>6778</v>
      </c>
      <c r="C335" t="s">
        <v>74</v>
      </c>
      <c r="D335" t="s">
        <v>74</v>
      </c>
      <c r="E335" t="s">
        <v>74</v>
      </c>
      <c r="F335" t="s">
        <v>6779</v>
      </c>
      <c r="G335" t="s">
        <v>74</v>
      </c>
      <c r="H335" t="s">
        <v>74</v>
      </c>
      <c r="I335" t="s">
        <v>6780</v>
      </c>
      <c r="J335" t="s">
        <v>520</v>
      </c>
      <c r="K335" t="s">
        <v>74</v>
      </c>
      <c r="L335" t="s">
        <v>74</v>
      </c>
      <c r="M335" t="s">
        <v>78</v>
      </c>
      <c r="N335" t="s">
        <v>79</v>
      </c>
      <c r="O335" t="s">
        <v>74</v>
      </c>
      <c r="P335" t="s">
        <v>74</v>
      </c>
      <c r="Q335" t="s">
        <v>74</v>
      </c>
      <c r="R335" t="s">
        <v>74</v>
      </c>
      <c r="S335" t="s">
        <v>74</v>
      </c>
      <c r="T335" t="s">
        <v>6781</v>
      </c>
      <c r="U335" t="s">
        <v>6782</v>
      </c>
      <c r="V335" t="s">
        <v>6783</v>
      </c>
      <c r="W335" t="s">
        <v>6784</v>
      </c>
      <c r="X335" t="s">
        <v>6785</v>
      </c>
      <c r="Y335" t="s">
        <v>6786</v>
      </c>
      <c r="Z335" t="s">
        <v>6787</v>
      </c>
      <c r="AA335" t="s">
        <v>6788</v>
      </c>
      <c r="AB335" t="s">
        <v>6789</v>
      </c>
      <c r="AC335" t="s">
        <v>74</v>
      </c>
      <c r="AD335" t="s">
        <v>74</v>
      </c>
      <c r="AE335" t="s">
        <v>74</v>
      </c>
      <c r="AF335" t="s">
        <v>74</v>
      </c>
      <c r="AG335">
        <v>103</v>
      </c>
      <c r="AH335">
        <v>5</v>
      </c>
      <c r="AI335">
        <v>5</v>
      </c>
      <c r="AJ335">
        <v>6</v>
      </c>
      <c r="AK335">
        <v>8</v>
      </c>
      <c r="AL335" t="s">
        <v>530</v>
      </c>
      <c r="AM335" t="s">
        <v>531</v>
      </c>
      <c r="AN335" t="s">
        <v>532</v>
      </c>
      <c r="AO335" t="s">
        <v>533</v>
      </c>
      <c r="AP335" t="s">
        <v>534</v>
      </c>
      <c r="AQ335" t="s">
        <v>74</v>
      </c>
      <c r="AR335" t="s">
        <v>535</v>
      </c>
      <c r="AS335" t="s">
        <v>536</v>
      </c>
      <c r="AT335" t="s">
        <v>6790</v>
      </c>
      <c r="AU335">
        <v>2025</v>
      </c>
      <c r="AV335">
        <v>122</v>
      </c>
      <c r="AW335">
        <v>12</v>
      </c>
      <c r="AX335" t="s">
        <v>74</v>
      </c>
      <c r="AY335" t="s">
        <v>74</v>
      </c>
      <c r="AZ335" t="s">
        <v>74</v>
      </c>
      <c r="BA335" t="s">
        <v>74</v>
      </c>
      <c r="BB335" t="s">
        <v>74</v>
      </c>
      <c r="BC335" t="s">
        <v>74</v>
      </c>
      <c r="BD335" t="s">
        <v>6791</v>
      </c>
      <c r="BE335" t="s">
        <v>6792</v>
      </c>
      <c r="BF335" t="str">
        <f>HYPERLINK("http://dx.doi.org/10.1073/pnas.2404329122","http://dx.doi.org/10.1073/pnas.2404329122")</f>
        <v>http://dx.doi.org/10.1073/pnas.2404329122</v>
      </c>
      <c r="BG335" t="s">
        <v>74</v>
      </c>
      <c r="BH335" t="s">
        <v>74</v>
      </c>
      <c r="BI335">
        <v>8</v>
      </c>
      <c r="BJ335" t="s">
        <v>158</v>
      </c>
      <c r="BK335" t="s">
        <v>102</v>
      </c>
      <c r="BL335" t="s">
        <v>159</v>
      </c>
      <c r="BM335" t="s">
        <v>6793</v>
      </c>
      <c r="BN335">
        <v>40445770</v>
      </c>
      <c r="BO335" t="s">
        <v>2296</v>
      </c>
      <c r="BP335" t="s">
        <v>74</v>
      </c>
      <c r="BQ335" t="s">
        <v>74</v>
      </c>
      <c r="BR335" t="s">
        <v>106</v>
      </c>
      <c r="BS335" t="s">
        <v>6794</v>
      </c>
      <c r="BT335" t="str">
        <f>HYPERLINK("https%3A%2F%2Fwww.webofscience.com%2Fwos%2Fwoscc%2Ffull-record%2FWOS:001459467100001","View Full Record in Web of Science")</f>
        <v>View Full Record in Web of Science</v>
      </c>
    </row>
    <row r="336" spans="1:72" x14ac:dyDescent="0.2">
      <c r="A336" t="s">
        <v>72</v>
      </c>
      <c r="B336" t="s">
        <v>6795</v>
      </c>
      <c r="C336" t="s">
        <v>74</v>
      </c>
      <c r="D336" t="s">
        <v>74</v>
      </c>
      <c r="E336" t="s">
        <v>74</v>
      </c>
      <c r="F336" t="s">
        <v>6796</v>
      </c>
      <c r="G336" t="s">
        <v>74</v>
      </c>
      <c r="H336" t="s">
        <v>74</v>
      </c>
      <c r="I336" t="s">
        <v>6797</v>
      </c>
      <c r="J336" t="s">
        <v>6099</v>
      </c>
      <c r="K336" t="s">
        <v>74</v>
      </c>
      <c r="L336" t="s">
        <v>74</v>
      </c>
      <c r="M336" t="s">
        <v>78</v>
      </c>
      <c r="N336" t="s">
        <v>79</v>
      </c>
      <c r="O336" t="s">
        <v>74</v>
      </c>
      <c r="P336" t="s">
        <v>74</v>
      </c>
      <c r="Q336" t="s">
        <v>74</v>
      </c>
      <c r="R336" t="s">
        <v>74</v>
      </c>
      <c r="S336" t="s">
        <v>74</v>
      </c>
      <c r="T336" t="s">
        <v>6798</v>
      </c>
      <c r="U336" t="s">
        <v>6799</v>
      </c>
      <c r="V336" t="s">
        <v>6800</v>
      </c>
      <c r="W336" t="s">
        <v>6801</v>
      </c>
      <c r="X336" t="s">
        <v>6802</v>
      </c>
      <c r="Y336" t="s">
        <v>6803</v>
      </c>
      <c r="Z336" t="s">
        <v>6804</v>
      </c>
      <c r="AA336" t="s">
        <v>6805</v>
      </c>
      <c r="AB336" t="s">
        <v>6806</v>
      </c>
      <c r="AC336" t="s">
        <v>6807</v>
      </c>
      <c r="AD336" t="s">
        <v>6808</v>
      </c>
      <c r="AE336" t="s">
        <v>6809</v>
      </c>
      <c r="AF336" t="s">
        <v>74</v>
      </c>
      <c r="AG336">
        <v>47</v>
      </c>
      <c r="AH336">
        <v>0</v>
      </c>
      <c r="AI336">
        <v>0</v>
      </c>
      <c r="AJ336">
        <v>2</v>
      </c>
      <c r="AK336">
        <v>17</v>
      </c>
      <c r="AL336" t="s">
        <v>6112</v>
      </c>
      <c r="AM336" t="s">
        <v>6113</v>
      </c>
      <c r="AN336" t="s">
        <v>6114</v>
      </c>
      <c r="AO336" t="s">
        <v>6115</v>
      </c>
      <c r="AP336" t="s">
        <v>6116</v>
      </c>
      <c r="AQ336" t="s">
        <v>74</v>
      </c>
      <c r="AR336" t="s">
        <v>6117</v>
      </c>
      <c r="AS336" t="s">
        <v>6118</v>
      </c>
      <c r="AT336" t="s">
        <v>1752</v>
      </c>
      <c r="AU336">
        <v>2023</v>
      </c>
      <c r="AV336">
        <v>186</v>
      </c>
      <c r="AW336">
        <v>4</v>
      </c>
      <c r="AX336" t="s">
        <v>74</v>
      </c>
      <c r="AY336" t="s">
        <v>74</v>
      </c>
      <c r="AZ336" t="s">
        <v>74</v>
      </c>
      <c r="BA336" t="s">
        <v>74</v>
      </c>
      <c r="BB336">
        <v>406</v>
      </c>
      <c r="BC336">
        <v>416</v>
      </c>
      <c r="BD336" t="s">
        <v>74</v>
      </c>
      <c r="BE336" t="s">
        <v>6810</v>
      </c>
      <c r="BF336" t="str">
        <f>HYPERLINK("http://dx.doi.org/10.1002/jpln.202100292","http://dx.doi.org/10.1002/jpln.202100292")</f>
        <v>http://dx.doi.org/10.1002/jpln.202100292</v>
      </c>
      <c r="BG336" t="s">
        <v>74</v>
      </c>
      <c r="BH336" t="s">
        <v>5971</v>
      </c>
      <c r="BI336">
        <v>11</v>
      </c>
      <c r="BJ336" t="s">
        <v>5595</v>
      </c>
      <c r="BK336" t="s">
        <v>102</v>
      </c>
      <c r="BL336" t="s">
        <v>462</v>
      </c>
      <c r="BM336" t="s">
        <v>6811</v>
      </c>
      <c r="BN336" t="s">
        <v>74</v>
      </c>
      <c r="BO336" t="s">
        <v>916</v>
      </c>
      <c r="BP336" t="s">
        <v>74</v>
      </c>
      <c r="BQ336" t="s">
        <v>74</v>
      </c>
      <c r="BR336" t="s">
        <v>106</v>
      </c>
      <c r="BS336" t="s">
        <v>6812</v>
      </c>
      <c r="BT336" t="str">
        <f>HYPERLINK("https%3A%2F%2Fwww.webofscience.com%2Fwos%2Fwoscc%2Ffull-record%2FWOS:000986213500001","View Full Record in Web of Science")</f>
        <v>View Full Record in Web of Science</v>
      </c>
    </row>
    <row r="337" spans="1:72" x14ac:dyDescent="0.2">
      <c r="A337" t="s">
        <v>72</v>
      </c>
      <c r="B337" t="s">
        <v>6813</v>
      </c>
      <c r="C337" t="s">
        <v>74</v>
      </c>
      <c r="D337" t="s">
        <v>74</v>
      </c>
      <c r="E337" t="s">
        <v>74</v>
      </c>
      <c r="F337" t="s">
        <v>6814</v>
      </c>
      <c r="G337" t="s">
        <v>74</v>
      </c>
      <c r="H337" t="s">
        <v>74</v>
      </c>
      <c r="I337" t="s">
        <v>6815</v>
      </c>
      <c r="J337" t="s">
        <v>1344</v>
      </c>
      <c r="K337" t="s">
        <v>74</v>
      </c>
      <c r="L337" t="s">
        <v>74</v>
      </c>
      <c r="M337" t="s">
        <v>78</v>
      </c>
      <c r="N337" t="s">
        <v>79</v>
      </c>
      <c r="O337" t="s">
        <v>74</v>
      </c>
      <c r="P337" t="s">
        <v>74</v>
      </c>
      <c r="Q337" t="s">
        <v>74</v>
      </c>
      <c r="R337" t="s">
        <v>74</v>
      </c>
      <c r="S337" t="s">
        <v>74</v>
      </c>
      <c r="T337" t="s">
        <v>6816</v>
      </c>
      <c r="U337" t="s">
        <v>6817</v>
      </c>
      <c r="V337" t="s">
        <v>6818</v>
      </c>
      <c r="W337" t="s">
        <v>6819</v>
      </c>
      <c r="X337" t="s">
        <v>6820</v>
      </c>
      <c r="Y337" t="s">
        <v>6821</v>
      </c>
      <c r="Z337" t="s">
        <v>6822</v>
      </c>
      <c r="AA337" t="s">
        <v>6823</v>
      </c>
      <c r="AB337" t="s">
        <v>6824</v>
      </c>
      <c r="AC337" t="s">
        <v>6825</v>
      </c>
      <c r="AD337" t="s">
        <v>6826</v>
      </c>
      <c r="AE337" t="s">
        <v>6827</v>
      </c>
      <c r="AF337" t="s">
        <v>74</v>
      </c>
      <c r="AG337">
        <v>104</v>
      </c>
      <c r="AH337">
        <v>12</v>
      </c>
      <c r="AI337">
        <v>14</v>
      </c>
      <c r="AJ337">
        <v>2</v>
      </c>
      <c r="AK337">
        <v>78</v>
      </c>
      <c r="AL337" t="s">
        <v>222</v>
      </c>
      <c r="AM337" t="s">
        <v>223</v>
      </c>
      <c r="AN337" t="s">
        <v>478</v>
      </c>
      <c r="AO337" t="s">
        <v>74</v>
      </c>
      <c r="AP337" t="s">
        <v>1354</v>
      </c>
      <c r="AQ337" t="s">
        <v>74</v>
      </c>
      <c r="AR337" t="s">
        <v>1344</v>
      </c>
      <c r="AS337" t="s">
        <v>1355</v>
      </c>
      <c r="AT337" t="s">
        <v>183</v>
      </c>
      <c r="AU337">
        <v>2022</v>
      </c>
      <c r="AV337">
        <v>12</v>
      </c>
      <c r="AW337">
        <v>7</v>
      </c>
      <c r="AX337" t="s">
        <v>74</v>
      </c>
      <c r="AY337" t="s">
        <v>74</v>
      </c>
      <c r="AZ337" t="s">
        <v>74</v>
      </c>
      <c r="BA337" t="s">
        <v>74</v>
      </c>
      <c r="BB337" t="s">
        <v>74</v>
      </c>
      <c r="BC337" t="s">
        <v>74</v>
      </c>
      <c r="BD337">
        <v>1038</v>
      </c>
      <c r="BE337" t="s">
        <v>6828</v>
      </c>
      <c r="BF337" t="str">
        <f>HYPERLINK("http://dx.doi.org/10.3390/agriculture12071038","http://dx.doi.org/10.3390/agriculture12071038")</f>
        <v>http://dx.doi.org/10.3390/agriculture12071038</v>
      </c>
      <c r="BG337" t="s">
        <v>74</v>
      </c>
      <c r="BH337" t="s">
        <v>74</v>
      </c>
      <c r="BI337">
        <v>22</v>
      </c>
      <c r="BJ337" t="s">
        <v>1357</v>
      </c>
      <c r="BK337" t="s">
        <v>102</v>
      </c>
      <c r="BL337" t="s">
        <v>103</v>
      </c>
      <c r="BM337" t="s">
        <v>6829</v>
      </c>
      <c r="BN337" t="s">
        <v>74</v>
      </c>
      <c r="BO337" t="s">
        <v>161</v>
      </c>
      <c r="BP337" t="s">
        <v>74</v>
      </c>
      <c r="BQ337" t="s">
        <v>74</v>
      </c>
      <c r="BR337" t="s">
        <v>106</v>
      </c>
      <c r="BS337" t="s">
        <v>6830</v>
      </c>
      <c r="BT337" t="str">
        <f>HYPERLINK("https%3A%2F%2Fwww.webofscience.com%2Fwos%2Fwoscc%2Ffull-record%2FWOS:000832181900001","View Full Record in Web of Science")</f>
        <v>View Full Record in Web of Science</v>
      </c>
    </row>
    <row r="338" spans="1:72" x14ac:dyDescent="0.2">
      <c r="A338" t="s">
        <v>72</v>
      </c>
      <c r="B338" t="s">
        <v>6831</v>
      </c>
      <c r="C338" t="s">
        <v>74</v>
      </c>
      <c r="D338" t="s">
        <v>74</v>
      </c>
      <c r="E338" t="s">
        <v>74</v>
      </c>
      <c r="F338" t="s">
        <v>6832</v>
      </c>
      <c r="G338" t="s">
        <v>74</v>
      </c>
      <c r="H338" t="s">
        <v>74</v>
      </c>
      <c r="I338" t="s">
        <v>6833</v>
      </c>
      <c r="J338" t="s">
        <v>4154</v>
      </c>
      <c r="K338" t="s">
        <v>74</v>
      </c>
      <c r="L338" t="s">
        <v>74</v>
      </c>
      <c r="M338" t="s">
        <v>78</v>
      </c>
      <c r="N338" t="s">
        <v>79</v>
      </c>
      <c r="O338" t="s">
        <v>74</v>
      </c>
      <c r="P338" t="s">
        <v>74</v>
      </c>
      <c r="Q338" t="s">
        <v>74</v>
      </c>
      <c r="R338" t="s">
        <v>74</v>
      </c>
      <c r="S338" t="s">
        <v>74</v>
      </c>
      <c r="T338" t="s">
        <v>74</v>
      </c>
      <c r="U338" t="s">
        <v>6834</v>
      </c>
      <c r="V338" t="s">
        <v>6835</v>
      </c>
      <c r="W338" t="s">
        <v>6836</v>
      </c>
      <c r="X338" t="s">
        <v>6837</v>
      </c>
      <c r="Y338" t="s">
        <v>6838</v>
      </c>
      <c r="Z338" t="s">
        <v>6839</v>
      </c>
      <c r="AA338" t="s">
        <v>6840</v>
      </c>
      <c r="AB338" t="s">
        <v>6841</v>
      </c>
      <c r="AC338" t="s">
        <v>6842</v>
      </c>
      <c r="AD338" t="s">
        <v>6843</v>
      </c>
      <c r="AE338" t="s">
        <v>6844</v>
      </c>
      <c r="AF338" t="s">
        <v>74</v>
      </c>
      <c r="AG338">
        <v>31</v>
      </c>
      <c r="AH338">
        <v>31</v>
      </c>
      <c r="AI338">
        <v>38</v>
      </c>
      <c r="AJ338">
        <v>4</v>
      </c>
      <c r="AK338">
        <v>81</v>
      </c>
      <c r="AL338" t="s">
        <v>4166</v>
      </c>
      <c r="AM338" t="s">
        <v>531</v>
      </c>
      <c r="AN338" t="s">
        <v>4167</v>
      </c>
      <c r="AO338" t="s">
        <v>4168</v>
      </c>
      <c r="AP338" t="s">
        <v>4169</v>
      </c>
      <c r="AQ338" t="s">
        <v>74</v>
      </c>
      <c r="AR338" t="s">
        <v>4170</v>
      </c>
      <c r="AS338" t="s">
        <v>4171</v>
      </c>
      <c r="AT338" t="s">
        <v>2899</v>
      </c>
      <c r="AU338">
        <v>2015</v>
      </c>
      <c r="AV338">
        <v>49</v>
      </c>
      <c r="AW338">
        <v>24</v>
      </c>
      <c r="AX338" t="s">
        <v>74</v>
      </c>
      <c r="AY338" t="s">
        <v>74</v>
      </c>
      <c r="AZ338" t="s">
        <v>74</v>
      </c>
      <c r="BA338" t="s">
        <v>74</v>
      </c>
      <c r="BB338">
        <v>14688</v>
      </c>
      <c r="BC338">
        <v>14695</v>
      </c>
      <c r="BD338" t="s">
        <v>74</v>
      </c>
      <c r="BE338" t="s">
        <v>6845</v>
      </c>
      <c r="BF338" t="str">
        <f>HYPERLINK("http://dx.doi.org/10.1021/acs.est.5b03548","http://dx.doi.org/10.1021/acs.est.5b03548")</f>
        <v>http://dx.doi.org/10.1021/acs.est.5b03548</v>
      </c>
      <c r="BG338" t="s">
        <v>74</v>
      </c>
      <c r="BH338" t="s">
        <v>74</v>
      </c>
      <c r="BI338">
        <v>8</v>
      </c>
      <c r="BJ338" t="s">
        <v>340</v>
      </c>
      <c r="BK338" t="s">
        <v>102</v>
      </c>
      <c r="BL338" t="s">
        <v>341</v>
      </c>
      <c r="BM338" t="s">
        <v>6846</v>
      </c>
      <c r="BN338">
        <v>26545153</v>
      </c>
      <c r="BO338" t="s">
        <v>74</v>
      </c>
      <c r="BP338" t="s">
        <v>74</v>
      </c>
      <c r="BQ338" t="s">
        <v>74</v>
      </c>
      <c r="BR338" t="s">
        <v>106</v>
      </c>
      <c r="BS338" t="s">
        <v>6847</v>
      </c>
      <c r="BT338" t="str">
        <f>HYPERLINK("https%3A%2F%2Fwww.webofscience.com%2Fwos%2Fwoscc%2Ffull-record%2FWOS:000366872300094","View Full Record in Web of Science")</f>
        <v>View Full Record in Web of Science</v>
      </c>
    </row>
    <row r="339" spans="1:72" x14ac:dyDescent="0.2">
      <c r="A339" t="s">
        <v>72</v>
      </c>
      <c r="B339" t="s">
        <v>6848</v>
      </c>
      <c r="C339" t="s">
        <v>74</v>
      </c>
      <c r="D339" t="s">
        <v>74</v>
      </c>
      <c r="E339" t="s">
        <v>74</v>
      </c>
      <c r="F339" t="s">
        <v>6849</v>
      </c>
      <c r="G339" t="s">
        <v>74</v>
      </c>
      <c r="H339" t="s">
        <v>74</v>
      </c>
      <c r="I339" t="s">
        <v>6850</v>
      </c>
      <c r="J339" t="s">
        <v>320</v>
      </c>
      <c r="K339" t="s">
        <v>74</v>
      </c>
      <c r="L339" t="s">
        <v>74</v>
      </c>
      <c r="M339" t="s">
        <v>78</v>
      </c>
      <c r="N339" t="s">
        <v>79</v>
      </c>
      <c r="O339" t="s">
        <v>74</v>
      </c>
      <c r="P339" t="s">
        <v>74</v>
      </c>
      <c r="Q339" t="s">
        <v>74</v>
      </c>
      <c r="R339" t="s">
        <v>74</v>
      </c>
      <c r="S339" t="s">
        <v>74</v>
      </c>
      <c r="T339" t="s">
        <v>6851</v>
      </c>
      <c r="U339" t="s">
        <v>6852</v>
      </c>
      <c r="V339" t="s">
        <v>6853</v>
      </c>
      <c r="W339" t="s">
        <v>6854</v>
      </c>
      <c r="X339" t="s">
        <v>6855</v>
      </c>
      <c r="Y339" t="s">
        <v>6856</v>
      </c>
      <c r="Z339" t="s">
        <v>6857</v>
      </c>
      <c r="AA339" t="s">
        <v>6858</v>
      </c>
      <c r="AB339" t="s">
        <v>6859</v>
      </c>
      <c r="AC339" t="s">
        <v>6860</v>
      </c>
      <c r="AD339" t="s">
        <v>6861</v>
      </c>
      <c r="AE339" t="s">
        <v>6862</v>
      </c>
      <c r="AF339" t="s">
        <v>74</v>
      </c>
      <c r="AG339">
        <v>94</v>
      </c>
      <c r="AH339">
        <v>23</v>
      </c>
      <c r="AI339">
        <v>25</v>
      </c>
      <c r="AJ339">
        <v>18</v>
      </c>
      <c r="AK339">
        <v>135</v>
      </c>
      <c r="AL339" t="s">
        <v>123</v>
      </c>
      <c r="AM339" t="s">
        <v>124</v>
      </c>
      <c r="AN339" t="s">
        <v>125</v>
      </c>
      <c r="AO339" t="s">
        <v>333</v>
      </c>
      <c r="AP339" t="s">
        <v>334</v>
      </c>
      <c r="AQ339" t="s">
        <v>74</v>
      </c>
      <c r="AR339" t="s">
        <v>335</v>
      </c>
      <c r="AS339" t="s">
        <v>336</v>
      </c>
      <c r="AT339" t="s">
        <v>636</v>
      </c>
      <c r="AU339">
        <v>2024</v>
      </c>
      <c r="AV339">
        <v>203</v>
      </c>
      <c r="AW339" t="s">
        <v>74</v>
      </c>
      <c r="AX339" t="s">
        <v>74</v>
      </c>
      <c r="AY339" t="s">
        <v>74</v>
      </c>
      <c r="AZ339" t="s">
        <v>74</v>
      </c>
      <c r="BA339" t="s">
        <v>74</v>
      </c>
      <c r="BB339" t="s">
        <v>74</v>
      </c>
      <c r="BC339" t="s">
        <v>74</v>
      </c>
      <c r="BD339">
        <v>107428</v>
      </c>
      <c r="BE339" t="s">
        <v>6863</v>
      </c>
      <c r="BF339" t="str">
        <f>HYPERLINK("http://dx.doi.org/10.1016/j.resconrec.2024.107428","http://dx.doi.org/10.1016/j.resconrec.2024.107428")</f>
        <v>http://dx.doi.org/10.1016/j.resconrec.2024.107428</v>
      </c>
      <c r="BG339" t="s">
        <v>74</v>
      </c>
      <c r="BH339" t="s">
        <v>1314</v>
      </c>
      <c r="BI339">
        <v>12</v>
      </c>
      <c r="BJ339" t="s">
        <v>340</v>
      </c>
      <c r="BK339" t="s">
        <v>102</v>
      </c>
      <c r="BL339" t="s">
        <v>341</v>
      </c>
      <c r="BM339" t="s">
        <v>6864</v>
      </c>
      <c r="BN339" t="s">
        <v>74</v>
      </c>
      <c r="BO339" t="s">
        <v>74</v>
      </c>
      <c r="BP339" t="s">
        <v>74</v>
      </c>
      <c r="BQ339" t="s">
        <v>74</v>
      </c>
      <c r="BR339" t="s">
        <v>106</v>
      </c>
      <c r="BS339" t="s">
        <v>6865</v>
      </c>
      <c r="BT339" t="str">
        <f>HYPERLINK("https%3A%2F%2Fwww.webofscience.com%2Fwos%2Fwoscc%2Ffull-record%2FWOS:001162443300001","View Full Record in Web of Science")</f>
        <v>View Full Record in Web of Science</v>
      </c>
    </row>
    <row r="340" spans="1:72" x14ac:dyDescent="0.2">
      <c r="A340" t="s">
        <v>72</v>
      </c>
      <c r="B340" t="s">
        <v>6866</v>
      </c>
      <c r="C340" t="s">
        <v>74</v>
      </c>
      <c r="D340" t="s">
        <v>74</v>
      </c>
      <c r="E340" t="s">
        <v>74</v>
      </c>
      <c r="F340" t="s">
        <v>6867</v>
      </c>
      <c r="G340" t="s">
        <v>74</v>
      </c>
      <c r="H340" t="s">
        <v>74</v>
      </c>
      <c r="I340" t="s">
        <v>6868</v>
      </c>
      <c r="J340" t="s">
        <v>6869</v>
      </c>
      <c r="K340" t="s">
        <v>74</v>
      </c>
      <c r="L340" t="s">
        <v>74</v>
      </c>
      <c r="M340" t="s">
        <v>78</v>
      </c>
      <c r="N340" t="s">
        <v>79</v>
      </c>
      <c r="O340" t="s">
        <v>74</v>
      </c>
      <c r="P340" t="s">
        <v>74</v>
      </c>
      <c r="Q340" t="s">
        <v>74</v>
      </c>
      <c r="R340" t="s">
        <v>74</v>
      </c>
      <c r="S340" t="s">
        <v>74</v>
      </c>
      <c r="T340" t="s">
        <v>6870</v>
      </c>
      <c r="U340" t="s">
        <v>6871</v>
      </c>
      <c r="V340" t="s">
        <v>6872</v>
      </c>
      <c r="W340" t="s">
        <v>6873</v>
      </c>
      <c r="X340" t="s">
        <v>6874</v>
      </c>
      <c r="Y340" t="s">
        <v>6875</v>
      </c>
      <c r="Z340" t="s">
        <v>6876</v>
      </c>
      <c r="AA340" t="s">
        <v>74</v>
      </c>
      <c r="AB340" t="s">
        <v>74</v>
      </c>
      <c r="AC340" t="s">
        <v>6877</v>
      </c>
      <c r="AD340" t="s">
        <v>6877</v>
      </c>
      <c r="AE340" t="s">
        <v>6878</v>
      </c>
      <c r="AF340" t="s">
        <v>74</v>
      </c>
      <c r="AG340">
        <v>40</v>
      </c>
      <c r="AH340">
        <v>40</v>
      </c>
      <c r="AI340">
        <v>44</v>
      </c>
      <c r="AJ340">
        <v>0</v>
      </c>
      <c r="AK340">
        <v>60</v>
      </c>
      <c r="AL340" t="s">
        <v>6061</v>
      </c>
      <c r="AM340" t="s">
        <v>248</v>
      </c>
      <c r="AN340" t="s">
        <v>249</v>
      </c>
      <c r="AO340" t="s">
        <v>6879</v>
      </c>
      <c r="AP340" t="s">
        <v>6880</v>
      </c>
      <c r="AQ340" t="s">
        <v>74</v>
      </c>
      <c r="AR340" t="s">
        <v>6881</v>
      </c>
      <c r="AS340" t="s">
        <v>6882</v>
      </c>
      <c r="AT340" t="s">
        <v>99</v>
      </c>
      <c r="AU340">
        <v>2014</v>
      </c>
      <c r="AV340">
        <v>25</v>
      </c>
      <c r="AW340">
        <v>2</v>
      </c>
      <c r="AX340" t="s">
        <v>74</v>
      </c>
      <c r="AY340" t="s">
        <v>74</v>
      </c>
      <c r="AZ340" t="s">
        <v>74</v>
      </c>
      <c r="BA340" t="s">
        <v>74</v>
      </c>
      <c r="BB340">
        <v>120</v>
      </c>
      <c r="BC340">
        <v>129</v>
      </c>
      <c r="BD340" t="s">
        <v>74</v>
      </c>
      <c r="BE340" t="s">
        <v>6883</v>
      </c>
      <c r="BF340" t="str">
        <f>HYPERLINK("http://dx.doi.org/10.1002/ldr.1152","http://dx.doi.org/10.1002/ldr.1152")</f>
        <v>http://dx.doi.org/10.1002/ldr.1152</v>
      </c>
      <c r="BG340" t="s">
        <v>74</v>
      </c>
      <c r="BH340" t="s">
        <v>74</v>
      </c>
      <c r="BI340">
        <v>10</v>
      </c>
      <c r="BJ340" t="s">
        <v>4942</v>
      </c>
      <c r="BK340" t="s">
        <v>102</v>
      </c>
      <c r="BL340" t="s">
        <v>4943</v>
      </c>
      <c r="BM340" t="s">
        <v>6884</v>
      </c>
      <c r="BN340" t="s">
        <v>74</v>
      </c>
      <c r="BO340" t="s">
        <v>74</v>
      </c>
      <c r="BP340" t="s">
        <v>74</v>
      </c>
      <c r="BQ340" t="s">
        <v>74</v>
      </c>
      <c r="BR340" t="s">
        <v>106</v>
      </c>
      <c r="BS340" t="s">
        <v>6885</v>
      </c>
      <c r="BT340" t="str">
        <f>HYPERLINK("https%3A%2F%2Fwww.webofscience.com%2Fwos%2Fwoscc%2Ffull-record%2FWOS:000333917000002","View Full Record in Web of Science")</f>
        <v>View Full Record in Web of Science</v>
      </c>
    </row>
    <row r="341" spans="1:72" x14ac:dyDescent="0.2">
      <c r="A341" t="s">
        <v>72</v>
      </c>
      <c r="B341" t="s">
        <v>6886</v>
      </c>
      <c r="C341" t="s">
        <v>74</v>
      </c>
      <c r="D341" t="s">
        <v>74</v>
      </c>
      <c r="E341" t="s">
        <v>74</v>
      </c>
      <c r="F341" t="s">
        <v>6887</v>
      </c>
      <c r="G341" t="s">
        <v>74</v>
      </c>
      <c r="H341" t="s">
        <v>74</v>
      </c>
      <c r="I341" t="s">
        <v>6888</v>
      </c>
      <c r="J341" t="s">
        <v>236</v>
      </c>
      <c r="K341" t="s">
        <v>74</v>
      </c>
      <c r="L341" t="s">
        <v>74</v>
      </c>
      <c r="M341" t="s">
        <v>78</v>
      </c>
      <c r="N341" t="s">
        <v>79</v>
      </c>
      <c r="O341" t="s">
        <v>74</v>
      </c>
      <c r="P341" t="s">
        <v>74</v>
      </c>
      <c r="Q341" t="s">
        <v>74</v>
      </c>
      <c r="R341" t="s">
        <v>74</v>
      </c>
      <c r="S341" t="s">
        <v>74</v>
      </c>
      <c r="T341" t="s">
        <v>74</v>
      </c>
      <c r="U341" t="s">
        <v>6889</v>
      </c>
      <c r="V341" t="s">
        <v>6890</v>
      </c>
      <c r="W341" t="s">
        <v>6891</v>
      </c>
      <c r="X341" t="s">
        <v>6892</v>
      </c>
      <c r="Y341" t="s">
        <v>6893</v>
      </c>
      <c r="Z341" t="s">
        <v>6894</v>
      </c>
      <c r="AA341" t="s">
        <v>6895</v>
      </c>
      <c r="AB341" t="s">
        <v>6896</v>
      </c>
      <c r="AC341" t="s">
        <v>6897</v>
      </c>
      <c r="AD341" t="s">
        <v>6898</v>
      </c>
      <c r="AE341" t="s">
        <v>6899</v>
      </c>
      <c r="AF341" t="s">
        <v>74</v>
      </c>
      <c r="AG341">
        <v>63</v>
      </c>
      <c r="AH341">
        <v>43</v>
      </c>
      <c r="AI341">
        <v>48</v>
      </c>
      <c r="AJ341">
        <v>3</v>
      </c>
      <c r="AK341">
        <v>63</v>
      </c>
      <c r="AL341" t="s">
        <v>247</v>
      </c>
      <c r="AM341" t="s">
        <v>248</v>
      </c>
      <c r="AN341" t="s">
        <v>249</v>
      </c>
      <c r="AO341" t="s">
        <v>250</v>
      </c>
      <c r="AP341" t="s">
        <v>251</v>
      </c>
      <c r="AQ341" t="s">
        <v>74</v>
      </c>
      <c r="AR341" t="s">
        <v>252</v>
      </c>
      <c r="AS341" t="s">
        <v>253</v>
      </c>
      <c r="AT341" t="s">
        <v>1963</v>
      </c>
      <c r="AU341">
        <v>2021</v>
      </c>
      <c r="AV341">
        <v>85</v>
      </c>
      <c r="AW341">
        <v>5</v>
      </c>
      <c r="AX341" t="s">
        <v>74</v>
      </c>
      <c r="AY341" t="s">
        <v>74</v>
      </c>
      <c r="AZ341" t="s">
        <v>74</v>
      </c>
      <c r="BA341" t="s">
        <v>74</v>
      </c>
      <c r="BB341">
        <v>1395</v>
      </c>
      <c r="BC341">
        <v>1409</v>
      </c>
      <c r="BD341" t="s">
        <v>74</v>
      </c>
      <c r="BE341" t="s">
        <v>6900</v>
      </c>
      <c r="BF341" t="str">
        <f>HYPERLINK("http://dx.doi.org/10.1002/saj2.20260","http://dx.doi.org/10.1002/saj2.20260")</f>
        <v>http://dx.doi.org/10.1002/saj2.20260</v>
      </c>
      <c r="BG341" t="s">
        <v>74</v>
      </c>
      <c r="BH341" t="s">
        <v>2901</v>
      </c>
      <c r="BI341">
        <v>15</v>
      </c>
      <c r="BJ341" t="s">
        <v>256</v>
      </c>
      <c r="BK341" t="s">
        <v>102</v>
      </c>
      <c r="BL341" t="s">
        <v>103</v>
      </c>
      <c r="BM341" t="s">
        <v>6901</v>
      </c>
      <c r="BN341" t="s">
        <v>74</v>
      </c>
      <c r="BO341" t="s">
        <v>74</v>
      </c>
      <c r="BP341" t="s">
        <v>74</v>
      </c>
      <c r="BQ341" t="s">
        <v>74</v>
      </c>
      <c r="BR341" t="s">
        <v>106</v>
      </c>
      <c r="BS341" t="s">
        <v>6902</v>
      </c>
      <c r="BT341" t="str">
        <f>HYPERLINK("https%3A%2F%2Fwww.webofscience.com%2Fwos%2Fwoscc%2Ffull-record%2FWOS:000681372800001","View Full Record in Web of Science")</f>
        <v>View Full Record in Web of Science</v>
      </c>
    </row>
    <row r="342" spans="1:72" x14ac:dyDescent="0.2">
      <c r="A342" t="s">
        <v>72</v>
      </c>
      <c r="B342" t="s">
        <v>6903</v>
      </c>
      <c r="C342" t="s">
        <v>74</v>
      </c>
      <c r="D342" t="s">
        <v>74</v>
      </c>
      <c r="E342" t="s">
        <v>74</v>
      </c>
      <c r="F342" t="s">
        <v>6904</v>
      </c>
      <c r="G342" t="s">
        <v>74</v>
      </c>
      <c r="H342" t="s">
        <v>74</v>
      </c>
      <c r="I342" t="s">
        <v>6905</v>
      </c>
      <c r="J342" t="s">
        <v>1526</v>
      </c>
      <c r="K342" t="s">
        <v>74</v>
      </c>
      <c r="L342" t="s">
        <v>74</v>
      </c>
      <c r="M342" t="s">
        <v>78</v>
      </c>
      <c r="N342" t="s">
        <v>79</v>
      </c>
      <c r="O342" t="s">
        <v>74</v>
      </c>
      <c r="P342" t="s">
        <v>74</v>
      </c>
      <c r="Q342" t="s">
        <v>74</v>
      </c>
      <c r="R342" t="s">
        <v>74</v>
      </c>
      <c r="S342" t="s">
        <v>74</v>
      </c>
      <c r="T342" t="s">
        <v>6906</v>
      </c>
      <c r="U342" t="s">
        <v>6907</v>
      </c>
      <c r="V342" t="s">
        <v>6908</v>
      </c>
      <c r="W342" t="s">
        <v>6909</v>
      </c>
      <c r="X342" t="s">
        <v>6910</v>
      </c>
      <c r="Y342" t="s">
        <v>6911</v>
      </c>
      <c r="Z342" t="s">
        <v>6912</v>
      </c>
      <c r="AA342" t="s">
        <v>6913</v>
      </c>
      <c r="AB342" t="s">
        <v>6914</v>
      </c>
      <c r="AC342" t="s">
        <v>6915</v>
      </c>
      <c r="AD342" t="s">
        <v>6916</v>
      </c>
      <c r="AE342" t="s">
        <v>6917</v>
      </c>
      <c r="AF342" t="s">
        <v>74</v>
      </c>
      <c r="AG342">
        <v>65</v>
      </c>
      <c r="AH342">
        <v>13</v>
      </c>
      <c r="AI342">
        <v>14</v>
      </c>
      <c r="AJ342">
        <v>10</v>
      </c>
      <c r="AK342">
        <v>49</v>
      </c>
      <c r="AL342" t="s">
        <v>176</v>
      </c>
      <c r="AM342" t="s">
        <v>1610</v>
      </c>
      <c r="AN342" t="s">
        <v>1611</v>
      </c>
      <c r="AO342" t="s">
        <v>1538</v>
      </c>
      <c r="AP342" t="s">
        <v>1539</v>
      </c>
      <c r="AQ342" t="s">
        <v>74</v>
      </c>
      <c r="AR342" t="s">
        <v>1540</v>
      </c>
      <c r="AS342" t="s">
        <v>1541</v>
      </c>
      <c r="AT342" t="s">
        <v>6918</v>
      </c>
      <c r="AU342">
        <v>2024</v>
      </c>
      <c r="AV342">
        <v>435</v>
      </c>
      <c r="AW342" t="s">
        <v>74</v>
      </c>
      <c r="AX342" t="s">
        <v>74</v>
      </c>
      <c r="AY342" t="s">
        <v>74</v>
      </c>
      <c r="AZ342" t="s">
        <v>74</v>
      </c>
      <c r="BA342" t="s">
        <v>74</v>
      </c>
      <c r="BB342" t="s">
        <v>74</v>
      </c>
      <c r="BC342" t="s">
        <v>74</v>
      </c>
      <c r="BD342">
        <v>140104</v>
      </c>
      <c r="BE342" t="s">
        <v>6919</v>
      </c>
      <c r="BF342" t="str">
        <f>HYPERLINK("http://dx.doi.org/10.1016/j.jclepro.2023.140104","http://dx.doi.org/10.1016/j.jclepro.2023.140104")</f>
        <v>http://dx.doi.org/10.1016/j.jclepro.2023.140104</v>
      </c>
      <c r="BG342" t="s">
        <v>74</v>
      </c>
      <c r="BH342" t="s">
        <v>1314</v>
      </c>
      <c r="BI342">
        <v>11</v>
      </c>
      <c r="BJ342" t="s">
        <v>1543</v>
      </c>
      <c r="BK342" t="s">
        <v>102</v>
      </c>
      <c r="BL342" t="s">
        <v>1544</v>
      </c>
      <c r="BM342" t="s">
        <v>6920</v>
      </c>
      <c r="BN342" t="s">
        <v>74</v>
      </c>
      <c r="BO342" t="s">
        <v>2296</v>
      </c>
      <c r="BP342" t="s">
        <v>74</v>
      </c>
      <c r="BQ342" t="s">
        <v>74</v>
      </c>
      <c r="BR342" t="s">
        <v>106</v>
      </c>
      <c r="BS342" t="s">
        <v>6921</v>
      </c>
      <c r="BT342" t="str">
        <f>HYPERLINK("https%3A%2F%2Fwww.webofscience.com%2Fwos%2Fwoscc%2Ffull-record%2FWOS:001155446900001","View Full Record in Web of Science")</f>
        <v>View Full Record in Web of Science</v>
      </c>
    </row>
    <row r="343" spans="1:72" x14ac:dyDescent="0.2">
      <c r="A343" t="s">
        <v>72</v>
      </c>
      <c r="B343" t="s">
        <v>6922</v>
      </c>
      <c r="C343" t="s">
        <v>74</v>
      </c>
      <c r="D343" t="s">
        <v>74</v>
      </c>
      <c r="E343" t="s">
        <v>74</v>
      </c>
      <c r="F343" t="s">
        <v>6923</v>
      </c>
      <c r="G343" t="s">
        <v>74</v>
      </c>
      <c r="H343" t="s">
        <v>74</v>
      </c>
      <c r="I343" t="s">
        <v>6924</v>
      </c>
      <c r="J343" t="s">
        <v>828</v>
      </c>
      <c r="K343" t="s">
        <v>74</v>
      </c>
      <c r="L343" t="s">
        <v>74</v>
      </c>
      <c r="M343" t="s">
        <v>78</v>
      </c>
      <c r="N343" t="s">
        <v>79</v>
      </c>
      <c r="O343" t="s">
        <v>74</v>
      </c>
      <c r="P343" t="s">
        <v>74</v>
      </c>
      <c r="Q343" t="s">
        <v>74</v>
      </c>
      <c r="R343" t="s">
        <v>74</v>
      </c>
      <c r="S343" t="s">
        <v>74</v>
      </c>
      <c r="T343" t="s">
        <v>74</v>
      </c>
      <c r="U343" t="s">
        <v>74</v>
      </c>
      <c r="V343" t="s">
        <v>6925</v>
      </c>
      <c r="W343" t="s">
        <v>6926</v>
      </c>
      <c r="X343" t="s">
        <v>74</v>
      </c>
      <c r="Y343" t="s">
        <v>6927</v>
      </c>
      <c r="Z343" t="s">
        <v>6928</v>
      </c>
      <c r="AA343" t="s">
        <v>74</v>
      </c>
      <c r="AB343" t="s">
        <v>74</v>
      </c>
      <c r="AC343" t="s">
        <v>74</v>
      </c>
      <c r="AD343" t="s">
        <v>74</v>
      </c>
      <c r="AE343" t="s">
        <v>74</v>
      </c>
      <c r="AF343" t="s">
        <v>74</v>
      </c>
      <c r="AG343">
        <v>14</v>
      </c>
      <c r="AH343">
        <v>2</v>
      </c>
      <c r="AI343">
        <v>2</v>
      </c>
      <c r="AJ343">
        <v>0</v>
      </c>
      <c r="AK343">
        <v>10</v>
      </c>
      <c r="AL343" t="s">
        <v>835</v>
      </c>
      <c r="AM343" t="s">
        <v>836</v>
      </c>
      <c r="AN343" t="s">
        <v>3254</v>
      </c>
      <c r="AO343" t="s">
        <v>838</v>
      </c>
      <c r="AP343" t="s">
        <v>74</v>
      </c>
      <c r="AQ343" t="s">
        <v>74</v>
      </c>
      <c r="AR343" t="s">
        <v>839</v>
      </c>
      <c r="AS343" t="s">
        <v>840</v>
      </c>
      <c r="AT343" t="s">
        <v>3255</v>
      </c>
      <c r="AU343">
        <v>2018</v>
      </c>
      <c r="AV343">
        <v>49</v>
      </c>
      <c r="AW343">
        <v>2</v>
      </c>
      <c r="AX343" t="s">
        <v>74</v>
      </c>
      <c r="AY343" t="s">
        <v>74</v>
      </c>
      <c r="AZ343" t="s">
        <v>1070</v>
      </c>
      <c r="BA343" t="s">
        <v>74</v>
      </c>
      <c r="BB343">
        <v>31</v>
      </c>
      <c r="BC343" t="s">
        <v>282</v>
      </c>
      <c r="BD343" t="s">
        <v>74</v>
      </c>
      <c r="BE343" t="s">
        <v>74</v>
      </c>
      <c r="BF343" t="s">
        <v>74</v>
      </c>
      <c r="BG343" t="s">
        <v>74</v>
      </c>
      <c r="BH343" t="s">
        <v>74</v>
      </c>
      <c r="BI343">
        <v>13</v>
      </c>
      <c r="BJ343" t="s">
        <v>842</v>
      </c>
      <c r="BK343" t="s">
        <v>102</v>
      </c>
      <c r="BL343" t="s">
        <v>103</v>
      </c>
      <c r="BM343" t="s">
        <v>3256</v>
      </c>
      <c r="BN343" t="s">
        <v>74</v>
      </c>
      <c r="BO343" t="s">
        <v>74</v>
      </c>
      <c r="BP343" t="s">
        <v>74</v>
      </c>
      <c r="BQ343" t="s">
        <v>74</v>
      </c>
      <c r="BR343" t="s">
        <v>106</v>
      </c>
      <c r="BS343" t="s">
        <v>6929</v>
      </c>
      <c r="BT343" t="str">
        <f>HYPERLINK("https%3A%2F%2Fwww.webofscience.com%2Fwos%2Fwoscc%2Ffull-record%2FWOS:000433525500003","View Full Record in Web of Science")</f>
        <v>View Full Record in Web of Science</v>
      </c>
    </row>
    <row r="344" spans="1:72" x14ac:dyDescent="0.2">
      <c r="A344" t="s">
        <v>72</v>
      </c>
      <c r="B344" t="s">
        <v>6930</v>
      </c>
      <c r="C344" t="s">
        <v>74</v>
      </c>
      <c r="D344" t="s">
        <v>74</v>
      </c>
      <c r="E344" t="s">
        <v>74</v>
      </c>
      <c r="F344" t="s">
        <v>6931</v>
      </c>
      <c r="G344" t="s">
        <v>74</v>
      </c>
      <c r="H344" t="s">
        <v>74</v>
      </c>
      <c r="I344" t="s">
        <v>6932</v>
      </c>
      <c r="J344" t="s">
        <v>211</v>
      </c>
      <c r="K344" t="s">
        <v>74</v>
      </c>
      <c r="L344" t="s">
        <v>74</v>
      </c>
      <c r="M344" t="s">
        <v>78</v>
      </c>
      <c r="N344" t="s">
        <v>79</v>
      </c>
      <c r="O344" t="s">
        <v>74</v>
      </c>
      <c r="P344" t="s">
        <v>74</v>
      </c>
      <c r="Q344" t="s">
        <v>74</v>
      </c>
      <c r="R344" t="s">
        <v>74</v>
      </c>
      <c r="S344" t="s">
        <v>74</v>
      </c>
      <c r="T344" t="s">
        <v>6933</v>
      </c>
      <c r="U344" t="s">
        <v>6934</v>
      </c>
      <c r="V344" t="s">
        <v>6935</v>
      </c>
      <c r="W344" t="s">
        <v>6936</v>
      </c>
      <c r="X344" t="s">
        <v>6937</v>
      </c>
      <c r="Y344" t="s">
        <v>6938</v>
      </c>
      <c r="Z344" t="s">
        <v>6939</v>
      </c>
      <c r="AA344" t="s">
        <v>6940</v>
      </c>
      <c r="AB344" t="s">
        <v>6941</v>
      </c>
      <c r="AC344" t="s">
        <v>6942</v>
      </c>
      <c r="AD344" t="s">
        <v>6942</v>
      </c>
      <c r="AE344" t="s">
        <v>6943</v>
      </c>
      <c r="AF344" t="s">
        <v>74</v>
      </c>
      <c r="AG344">
        <v>66</v>
      </c>
      <c r="AH344">
        <v>21</v>
      </c>
      <c r="AI344">
        <v>23</v>
      </c>
      <c r="AJ344">
        <v>7</v>
      </c>
      <c r="AK344">
        <v>96</v>
      </c>
      <c r="AL344" t="s">
        <v>222</v>
      </c>
      <c r="AM344" t="s">
        <v>223</v>
      </c>
      <c r="AN344" t="s">
        <v>224</v>
      </c>
      <c r="AO344" t="s">
        <v>225</v>
      </c>
      <c r="AP344" t="s">
        <v>74</v>
      </c>
      <c r="AQ344" t="s">
        <v>74</v>
      </c>
      <c r="AR344" t="s">
        <v>211</v>
      </c>
      <c r="AS344" t="s">
        <v>226</v>
      </c>
      <c r="AT344" t="s">
        <v>1632</v>
      </c>
      <c r="AU344">
        <v>2019</v>
      </c>
      <c r="AV344">
        <v>12</v>
      </c>
      <c r="AW344">
        <v>1</v>
      </c>
      <c r="AX344" t="s">
        <v>74</v>
      </c>
      <c r="AY344" t="s">
        <v>74</v>
      </c>
      <c r="AZ344" t="s">
        <v>74</v>
      </c>
      <c r="BA344" t="s">
        <v>74</v>
      </c>
      <c r="BB344" t="s">
        <v>74</v>
      </c>
      <c r="BC344" t="s">
        <v>74</v>
      </c>
      <c r="BD344">
        <v>138</v>
      </c>
      <c r="BE344" t="s">
        <v>6944</v>
      </c>
      <c r="BF344" t="str">
        <f>HYPERLINK("http://dx.doi.org/10.3390/en12010138","http://dx.doi.org/10.3390/en12010138")</f>
        <v>http://dx.doi.org/10.3390/en12010138</v>
      </c>
      <c r="BG344" t="s">
        <v>74</v>
      </c>
      <c r="BH344" t="s">
        <v>74</v>
      </c>
      <c r="BI344">
        <v>13</v>
      </c>
      <c r="BJ344" t="s">
        <v>229</v>
      </c>
      <c r="BK344" t="s">
        <v>102</v>
      </c>
      <c r="BL344" t="s">
        <v>229</v>
      </c>
      <c r="BM344" t="s">
        <v>6945</v>
      </c>
      <c r="BN344" t="s">
        <v>74</v>
      </c>
      <c r="BO344" t="s">
        <v>161</v>
      </c>
      <c r="BP344" t="s">
        <v>74</v>
      </c>
      <c r="BQ344" t="s">
        <v>74</v>
      </c>
      <c r="BR344" t="s">
        <v>106</v>
      </c>
      <c r="BS344" t="s">
        <v>6946</v>
      </c>
      <c r="BT344" t="str">
        <f>HYPERLINK("https%3A%2F%2Fwww.webofscience.com%2Fwos%2Fwoscc%2Ffull-record%2FWOS:000460665000138","View Full Record in Web of Science")</f>
        <v>View Full Record in Web of Science</v>
      </c>
    </row>
    <row r="345" spans="1:72" x14ac:dyDescent="0.2">
      <c r="A345" t="s">
        <v>72</v>
      </c>
      <c r="B345" t="s">
        <v>6947</v>
      </c>
      <c r="C345" t="s">
        <v>74</v>
      </c>
      <c r="D345" t="s">
        <v>74</v>
      </c>
      <c r="E345" t="s">
        <v>74</v>
      </c>
      <c r="F345" t="s">
        <v>6948</v>
      </c>
      <c r="G345" t="s">
        <v>74</v>
      </c>
      <c r="H345" t="s">
        <v>74</v>
      </c>
      <c r="I345" t="s">
        <v>6949</v>
      </c>
      <c r="J345" t="s">
        <v>446</v>
      </c>
      <c r="K345" t="s">
        <v>74</v>
      </c>
      <c r="L345" t="s">
        <v>74</v>
      </c>
      <c r="M345" t="s">
        <v>78</v>
      </c>
      <c r="N345" t="s">
        <v>79</v>
      </c>
      <c r="O345" t="s">
        <v>74</v>
      </c>
      <c r="P345" t="s">
        <v>74</v>
      </c>
      <c r="Q345" t="s">
        <v>74</v>
      </c>
      <c r="R345" t="s">
        <v>74</v>
      </c>
      <c r="S345" t="s">
        <v>74</v>
      </c>
      <c r="T345" t="s">
        <v>6950</v>
      </c>
      <c r="U345" t="s">
        <v>6951</v>
      </c>
      <c r="V345" t="s">
        <v>6952</v>
      </c>
      <c r="W345" t="s">
        <v>6953</v>
      </c>
      <c r="X345" t="s">
        <v>6954</v>
      </c>
      <c r="Y345" t="s">
        <v>6955</v>
      </c>
      <c r="Z345" t="s">
        <v>6956</v>
      </c>
      <c r="AA345" t="s">
        <v>6957</v>
      </c>
      <c r="AB345" t="s">
        <v>74</v>
      </c>
      <c r="AC345" t="s">
        <v>6958</v>
      </c>
      <c r="AD345" t="s">
        <v>6959</v>
      </c>
      <c r="AE345" t="s">
        <v>6960</v>
      </c>
      <c r="AF345" t="s">
        <v>74</v>
      </c>
      <c r="AG345">
        <v>63</v>
      </c>
      <c r="AH345">
        <v>0</v>
      </c>
      <c r="AI345">
        <v>0</v>
      </c>
      <c r="AJ345">
        <v>8</v>
      </c>
      <c r="AK345">
        <v>8</v>
      </c>
      <c r="AL345" t="s">
        <v>222</v>
      </c>
      <c r="AM345" t="s">
        <v>223</v>
      </c>
      <c r="AN345" t="s">
        <v>478</v>
      </c>
      <c r="AO345" t="s">
        <v>74</v>
      </c>
      <c r="AP345" t="s">
        <v>457</v>
      </c>
      <c r="AQ345" t="s">
        <v>74</v>
      </c>
      <c r="AR345" t="s">
        <v>446</v>
      </c>
      <c r="AS345" t="s">
        <v>458</v>
      </c>
      <c r="AT345" t="s">
        <v>6961</v>
      </c>
      <c r="AU345">
        <v>2025</v>
      </c>
      <c r="AV345">
        <v>15</v>
      </c>
      <c r="AW345">
        <v>8</v>
      </c>
      <c r="AX345" t="s">
        <v>74</v>
      </c>
      <c r="AY345" t="s">
        <v>74</v>
      </c>
      <c r="AZ345" t="s">
        <v>74</v>
      </c>
      <c r="BA345" t="s">
        <v>74</v>
      </c>
      <c r="BB345" t="s">
        <v>74</v>
      </c>
      <c r="BC345" t="s">
        <v>74</v>
      </c>
      <c r="BD345">
        <v>1980</v>
      </c>
      <c r="BE345" t="s">
        <v>6962</v>
      </c>
      <c r="BF345" t="str">
        <f>HYPERLINK("http://dx.doi.org/10.3390/agronomy15081980","http://dx.doi.org/10.3390/agronomy15081980")</f>
        <v>http://dx.doi.org/10.3390/agronomy15081980</v>
      </c>
      <c r="BG345" t="s">
        <v>74</v>
      </c>
      <c r="BH345" t="s">
        <v>74</v>
      </c>
      <c r="BI345">
        <v>17</v>
      </c>
      <c r="BJ345" t="s">
        <v>461</v>
      </c>
      <c r="BK345" t="s">
        <v>102</v>
      </c>
      <c r="BL345" t="s">
        <v>462</v>
      </c>
      <c r="BM345" t="s">
        <v>6963</v>
      </c>
      <c r="BN345" t="s">
        <v>74</v>
      </c>
      <c r="BO345" t="s">
        <v>231</v>
      </c>
      <c r="BP345" t="s">
        <v>74</v>
      </c>
      <c r="BQ345" t="s">
        <v>74</v>
      </c>
      <c r="BR345" t="s">
        <v>106</v>
      </c>
      <c r="BS345" t="s">
        <v>6964</v>
      </c>
      <c r="BT345" t="str">
        <f>HYPERLINK("https%3A%2F%2Fwww.webofscience.com%2Fwos%2Fwoscc%2Ffull-record%2FWOS:001557207700001","View Full Record in Web of Science")</f>
        <v>View Full Record in Web of Science</v>
      </c>
    </row>
    <row r="346" spans="1:72" x14ac:dyDescent="0.2">
      <c r="A346" t="s">
        <v>72</v>
      </c>
      <c r="B346" t="s">
        <v>6965</v>
      </c>
      <c r="C346" t="s">
        <v>74</v>
      </c>
      <c r="D346" t="s">
        <v>74</v>
      </c>
      <c r="E346" t="s">
        <v>74</v>
      </c>
      <c r="F346" t="s">
        <v>6966</v>
      </c>
      <c r="G346" t="s">
        <v>74</v>
      </c>
      <c r="H346" t="s">
        <v>74</v>
      </c>
      <c r="I346" t="s">
        <v>6967</v>
      </c>
      <c r="J346" t="s">
        <v>2149</v>
      </c>
      <c r="K346" t="s">
        <v>74</v>
      </c>
      <c r="L346" t="s">
        <v>74</v>
      </c>
      <c r="M346" t="s">
        <v>78</v>
      </c>
      <c r="N346" t="s">
        <v>79</v>
      </c>
      <c r="O346" t="s">
        <v>74</v>
      </c>
      <c r="P346" t="s">
        <v>74</v>
      </c>
      <c r="Q346" t="s">
        <v>74</v>
      </c>
      <c r="R346" t="s">
        <v>74</v>
      </c>
      <c r="S346" t="s">
        <v>74</v>
      </c>
      <c r="T346" t="s">
        <v>74</v>
      </c>
      <c r="U346" t="s">
        <v>6968</v>
      </c>
      <c r="V346" t="s">
        <v>6969</v>
      </c>
      <c r="W346" t="s">
        <v>6970</v>
      </c>
      <c r="X346" t="s">
        <v>6971</v>
      </c>
      <c r="Y346" t="s">
        <v>6972</v>
      </c>
      <c r="Z346" t="s">
        <v>6973</v>
      </c>
      <c r="AA346" t="s">
        <v>6974</v>
      </c>
      <c r="AB346" t="s">
        <v>6975</v>
      </c>
      <c r="AC346" t="s">
        <v>6976</v>
      </c>
      <c r="AD346" t="s">
        <v>6976</v>
      </c>
      <c r="AE346" t="s">
        <v>6977</v>
      </c>
      <c r="AF346" t="s">
        <v>74</v>
      </c>
      <c r="AG346">
        <v>51</v>
      </c>
      <c r="AH346">
        <v>38</v>
      </c>
      <c r="AI346">
        <v>44</v>
      </c>
      <c r="AJ346">
        <v>5</v>
      </c>
      <c r="AK346">
        <v>91</v>
      </c>
      <c r="AL346" t="s">
        <v>2162</v>
      </c>
      <c r="AM346" t="s">
        <v>124</v>
      </c>
      <c r="AN346" t="s">
        <v>2163</v>
      </c>
      <c r="AO346" t="s">
        <v>2164</v>
      </c>
      <c r="AP346" t="s">
        <v>2165</v>
      </c>
      <c r="AQ346" t="s">
        <v>74</v>
      </c>
      <c r="AR346" t="s">
        <v>2166</v>
      </c>
      <c r="AS346" t="s">
        <v>2167</v>
      </c>
      <c r="AT346" t="s">
        <v>1963</v>
      </c>
      <c r="AU346">
        <v>2019</v>
      </c>
      <c r="AV346">
        <v>192</v>
      </c>
      <c r="AW346" t="s">
        <v>74</v>
      </c>
      <c r="AX346" t="s">
        <v>74</v>
      </c>
      <c r="AY346" t="s">
        <v>74</v>
      </c>
      <c r="AZ346" t="s">
        <v>74</v>
      </c>
      <c r="BA346" t="s">
        <v>74</v>
      </c>
      <c r="BB346">
        <v>87</v>
      </c>
      <c r="BC346">
        <v>94</v>
      </c>
      <c r="BD346" t="s">
        <v>74</v>
      </c>
      <c r="BE346" t="s">
        <v>6978</v>
      </c>
      <c r="BF346" t="str">
        <f>HYPERLINK("http://dx.doi.org/10.1016/j.still.2019.04.024","http://dx.doi.org/10.1016/j.still.2019.04.024")</f>
        <v>http://dx.doi.org/10.1016/j.still.2019.04.024</v>
      </c>
      <c r="BG346" t="s">
        <v>74</v>
      </c>
      <c r="BH346" t="s">
        <v>74</v>
      </c>
      <c r="BI346">
        <v>8</v>
      </c>
      <c r="BJ346" t="s">
        <v>256</v>
      </c>
      <c r="BK346" t="s">
        <v>102</v>
      </c>
      <c r="BL346" t="s">
        <v>103</v>
      </c>
      <c r="BM346" t="s">
        <v>6979</v>
      </c>
      <c r="BN346" t="s">
        <v>74</v>
      </c>
      <c r="BO346" t="s">
        <v>74</v>
      </c>
      <c r="BP346" t="s">
        <v>74</v>
      </c>
      <c r="BQ346" t="s">
        <v>74</v>
      </c>
      <c r="BR346" t="s">
        <v>106</v>
      </c>
      <c r="BS346" t="s">
        <v>6980</v>
      </c>
      <c r="BT346" t="str">
        <f>HYPERLINK("https%3A%2F%2Fwww.webofscience.com%2Fwos%2Fwoscc%2Ffull-record%2FWOS:000472984400009","View Full Record in Web of Science")</f>
        <v>View Full Record in Web of Science</v>
      </c>
    </row>
    <row r="347" spans="1:72" x14ac:dyDescent="0.2">
      <c r="A347" t="s">
        <v>72</v>
      </c>
      <c r="B347" t="s">
        <v>6981</v>
      </c>
      <c r="C347" t="s">
        <v>74</v>
      </c>
      <c r="D347" t="s">
        <v>74</v>
      </c>
      <c r="E347" t="s">
        <v>74</v>
      </c>
      <c r="F347" t="s">
        <v>6982</v>
      </c>
      <c r="G347" t="s">
        <v>74</v>
      </c>
      <c r="H347" t="s">
        <v>74</v>
      </c>
      <c r="I347" t="s">
        <v>6983</v>
      </c>
      <c r="J347" t="s">
        <v>1526</v>
      </c>
      <c r="K347" t="s">
        <v>74</v>
      </c>
      <c r="L347" t="s">
        <v>74</v>
      </c>
      <c r="M347" t="s">
        <v>78</v>
      </c>
      <c r="N347" t="s">
        <v>79</v>
      </c>
      <c r="O347" t="s">
        <v>74</v>
      </c>
      <c r="P347" t="s">
        <v>74</v>
      </c>
      <c r="Q347" t="s">
        <v>74</v>
      </c>
      <c r="R347" t="s">
        <v>74</v>
      </c>
      <c r="S347" t="s">
        <v>74</v>
      </c>
      <c r="T347" t="s">
        <v>6984</v>
      </c>
      <c r="U347" t="s">
        <v>6985</v>
      </c>
      <c r="V347" t="s">
        <v>6986</v>
      </c>
      <c r="W347" t="s">
        <v>6987</v>
      </c>
      <c r="X347" t="s">
        <v>6988</v>
      </c>
      <c r="Y347" t="s">
        <v>6989</v>
      </c>
      <c r="Z347" t="s">
        <v>6990</v>
      </c>
      <c r="AA347" t="s">
        <v>6991</v>
      </c>
      <c r="AB347" t="s">
        <v>6992</v>
      </c>
      <c r="AC347" t="s">
        <v>6993</v>
      </c>
      <c r="AD347" t="s">
        <v>6994</v>
      </c>
      <c r="AE347" t="s">
        <v>6995</v>
      </c>
      <c r="AF347" t="s">
        <v>74</v>
      </c>
      <c r="AG347">
        <v>48</v>
      </c>
      <c r="AH347">
        <v>62</v>
      </c>
      <c r="AI347">
        <v>64</v>
      </c>
      <c r="AJ347">
        <v>4</v>
      </c>
      <c r="AK347">
        <v>88</v>
      </c>
      <c r="AL347" t="s">
        <v>176</v>
      </c>
      <c r="AM347" t="s">
        <v>1610</v>
      </c>
      <c r="AN347" t="s">
        <v>1611</v>
      </c>
      <c r="AO347" t="s">
        <v>1538</v>
      </c>
      <c r="AP347" t="s">
        <v>1539</v>
      </c>
      <c r="AQ347" t="s">
        <v>74</v>
      </c>
      <c r="AR347" t="s">
        <v>1540</v>
      </c>
      <c r="AS347" t="s">
        <v>1541</v>
      </c>
      <c r="AT347" t="s">
        <v>6996</v>
      </c>
      <c r="AU347">
        <v>2022</v>
      </c>
      <c r="AV347">
        <v>365</v>
      </c>
      <c r="AW347" t="s">
        <v>74</v>
      </c>
      <c r="AX347" t="s">
        <v>74</v>
      </c>
      <c r="AY347" t="s">
        <v>74</v>
      </c>
      <c r="AZ347" t="s">
        <v>74</v>
      </c>
      <c r="BA347" t="s">
        <v>74</v>
      </c>
      <c r="BB347" t="s">
        <v>74</v>
      </c>
      <c r="BC347" t="s">
        <v>74</v>
      </c>
      <c r="BD347">
        <v>132780</v>
      </c>
      <c r="BE347" t="s">
        <v>6997</v>
      </c>
      <c r="BF347" t="str">
        <f>HYPERLINK("http://dx.doi.org/10.1016/j.jclepro.2022.132780","http://dx.doi.org/10.1016/j.jclepro.2022.132780")</f>
        <v>http://dx.doi.org/10.1016/j.jclepro.2022.132780</v>
      </c>
      <c r="BG347" t="s">
        <v>74</v>
      </c>
      <c r="BH347" t="s">
        <v>74</v>
      </c>
      <c r="BI347">
        <v>11</v>
      </c>
      <c r="BJ347" t="s">
        <v>1543</v>
      </c>
      <c r="BK347" t="s">
        <v>102</v>
      </c>
      <c r="BL347" t="s">
        <v>1544</v>
      </c>
      <c r="BM347" t="s">
        <v>6998</v>
      </c>
      <c r="BN347" t="s">
        <v>74</v>
      </c>
      <c r="BO347" t="s">
        <v>74</v>
      </c>
      <c r="BP347" t="s">
        <v>74</v>
      </c>
      <c r="BQ347" t="s">
        <v>74</v>
      </c>
      <c r="BR347" t="s">
        <v>106</v>
      </c>
      <c r="BS347" t="s">
        <v>6999</v>
      </c>
      <c r="BT347" t="str">
        <f>HYPERLINK("https%3A%2F%2Fwww.webofscience.com%2Fwos%2Fwoscc%2Ffull-record%2FWOS:000822097700003","View Full Record in Web of Science")</f>
        <v>View Full Record in Web of Science</v>
      </c>
    </row>
    <row r="348" spans="1:72" x14ac:dyDescent="0.2">
      <c r="A348" t="s">
        <v>72</v>
      </c>
      <c r="B348" t="s">
        <v>7000</v>
      </c>
      <c r="C348" t="s">
        <v>74</v>
      </c>
      <c r="D348" t="s">
        <v>74</v>
      </c>
      <c r="E348" t="s">
        <v>74</v>
      </c>
      <c r="F348" t="s">
        <v>7001</v>
      </c>
      <c r="G348" t="s">
        <v>74</v>
      </c>
      <c r="H348" t="s">
        <v>74</v>
      </c>
      <c r="I348" t="s">
        <v>7002</v>
      </c>
      <c r="J348" t="s">
        <v>7003</v>
      </c>
      <c r="K348" t="s">
        <v>74</v>
      </c>
      <c r="L348" t="s">
        <v>74</v>
      </c>
      <c r="M348" t="s">
        <v>78</v>
      </c>
      <c r="N348" t="s">
        <v>79</v>
      </c>
      <c r="O348" t="s">
        <v>74</v>
      </c>
      <c r="P348" t="s">
        <v>74</v>
      </c>
      <c r="Q348" t="s">
        <v>74</v>
      </c>
      <c r="R348" t="s">
        <v>74</v>
      </c>
      <c r="S348" t="s">
        <v>74</v>
      </c>
      <c r="T348" t="s">
        <v>7004</v>
      </c>
      <c r="U348" t="s">
        <v>7005</v>
      </c>
      <c r="V348" t="s">
        <v>7006</v>
      </c>
      <c r="W348" t="s">
        <v>7007</v>
      </c>
      <c r="X348" t="s">
        <v>7008</v>
      </c>
      <c r="Y348" t="s">
        <v>7009</v>
      </c>
      <c r="Z348" t="s">
        <v>7010</v>
      </c>
      <c r="AA348" t="s">
        <v>7011</v>
      </c>
      <c r="AB348" t="s">
        <v>7012</v>
      </c>
      <c r="AC348" t="s">
        <v>7013</v>
      </c>
      <c r="AD348" t="s">
        <v>7014</v>
      </c>
      <c r="AE348" t="s">
        <v>7015</v>
      </c>
      <c r="AF348" t="s">
        <v>74</v>
      </c>
      <c r="AG348">
        <v>87</v>
      </c>
      <c r="AH348">
        <v>64</v>
      </c>
      <c r="AI348">
        <v>87</v>
      </c>
      <c r="AJ348">
        <v>3</v>
      </c>
      <c r="AK348">
        <v>240</v>
      </c>
      <c r="AL348" t="s">
        <v>2162</v>
      </c>
      <c r="AM348" t="s">
        <v>124</v>
      </c>
      <c r="AN348" t="s">
        <v>2163</v>
      </c>
      <c r="AO348" t="s">
        <v>7016</v>
      </c>
      <c r="AP348" t="s">
        <v>7017</v>
      </c>
      <c r="AQ348" t="s">
        <v>74</v>
      </c>
      <c r="AR348" t="s">
        <v>7018</v>
      </c>
      <c r="AS348" t="s">
        <v>7019</v>
      </c>
      <c r="AT348" t="s">
        <v>99</v>
      </c>
      <c r="AU348">
        <v>2015</v>
      </c>
      <c r="AV348">
        <v>60</v>
      </c>
      <c r="AW348">
        <v>6</v>
      </c>
      <c r="AX348" t="s">
        <v>74</v>
      </c>
      <c r="AY348" t="s">
        <v>74</v>
      </c>
      <c r="AZ348" t="s">
        <v>74</v>
      </c>
      <c r="BA348" t="s">
        <v>74</v>
      </c>
      <c r="BB348">
        <v>577</v>
      </c>
      <c r="BC348">
        <v>590</v>
      </c>
      <c r="BD348" t="s">
        <v>74</v>
      </c>
      <c r="BE348" t="s">
        <v>7020</v>
      </c>
      <c r="BF348" t="str">
        <f>HYPERLINK("http://dx.doi.org/10.1007/s11434-015-0736-9","http://dx.doi.org/10.1007/s11434-015-0736-9")</f>
        <v>http://dx.doi.org/10.1007/s11434-015-0736-9</v>
      </c>
      <c r="BG348" t="s">
        <v>74</v>
      </c>
      <c r="BH348" t="s">
        <v>74</v>
      </c>
      <c r="BI348">
        <v>14</v>
      </c>
      <c r="BJ348" t="s">
        <v>158</v>
      </c>
      <c r="BK348" t="s">
        <v>102</v>
      </c>
      <c r="BL348" t="s">
        <v>159</v>
      </c>
      <c r="BM348" t="s">
        <v>7021</v>
      </c>
      <c r="BN348" t="s">
        <v>74</v>
      </c>
      <c r="BO348" t="s">
        <v>231</v>
      </c>
      <c r="BP348" t="s">
        <v>74</v>
      </c>
      <c r="BQ348" t="s">
        <v>74</v>
      </c>
      <c r="BR348" t="s">
        <v>106</v>
      </c>
      <c r="BS348" t="s">
        <v>7022</v>
      </c>
      <c r="BT348" t="str">
        <f>HYPERLINK("https%3A%2F%2Fwww.webofscience.com%2Fwos%2Fwoscc%2Ffull-record%2FWOS:000351003200001","View Full Record in Web of Science")</f>
        <v>View Full Record in Web of Science</v>
      </c>
    </row>
    <row r="349" spans="1:72" x14ac:dyDescent="0.2">
      <c r="A349" t="s">
        <v>72</v>
      </c>
      <c r="B349" t="s">
        <v>7023</v>
      </c>
      <c r="C349" t="s">
        <v>74</v>
      </c>
      <c r="D349" t="s">
        <v>74</v>
      </c>
      <c r="E349" t="s">
        <v>74</v>
      </c>
      <c r="F349" t="s">
        <v>7024</v>
      </c>
      <c r="G349" t="s">
        <v>74</v>
      </c>
      <c r="H349" t="s">
        <v>74</v>
      </c>
      <c r="I349" t="s">
        <v>7025</v>
      </c>
      <c r="J349" t="s">
        <v>1526</v>
      </c>
      <c r="K349" t="s">
        <v>74</v>
      </c>
      <c r="L349" t="s">
        <v>74</v>
      </c>
      <c r="M349" t="s">
        <v>78</v>
      </c>
      <c r="N349" t="s">
        <v>79</v>
      </c>
      <c r="O349" t="s">
        <v>74</v>
      </c>
      <c r="P349" t="s">
        <v>74</v>
      </c>
      <c r="Q349" t="s">
        <v>74</v>
      </c>
      <c r="R349" t="s">
        <v>74</v>
      </c>
      <c r="S349" t="s">
        <v>74</v>
      </c>
      <c r="T349" t="s">
        <v>7026</v>
      </c>
      <c r="U349" t="s">
        <v>7027</v>
      </c>
      <c r="V349" t="s">
        <v>7028</v>
      </c>
      <c r="W349" t="s">
        <v>7029</v>
      </c>
      <c r="X349" t="s">
        <v>7030</v>
      </c>
      <c r="Y349" t="s">
        <v>7031</v>
      </c>
      <c r="Z349" t="s">
        <v>7032</v>
      </c>
      <c r="AA349" t="s">
        <v>7033</v>
      </c>
      <c r="AB349" t="s">
        <v>74</v>
      </c>
      <c r="AC349" t="s">
        <v>7034</v>
      </c>
      <c r="AD349" t="s">
        <v>7035</v>
      </c>
      <c r="AE349" t="s">
        <v>7036</v>
      </c>
      <c r="AF349" t="s">
        <v>74</v>
      </c>
      <c r="AG349">
        <v>76</v>
      </c>
      <c r="AH349">
        <v>0</v>
      </c>
      <c r="AI349">
        <v>0</v>
      </c>
      <c r="AJ349">
        <v>8</v>
      </c>
      <c r="AK349">
        <v>8</v>
      </c>
      <c r="AL349" t="s">
        <v>176</v>
      </c>
      <c r="AM349" t="s">
        <v>1610</v>
      </c>
      <c r="AN349" t="s">
        <v>1611</v>
      </c>
      <c r="AO349" t="s">
        <v>1538</v>
      </c>
      <c r="AP349" t="s">
        <v>1539</v>
      </c>
      <c r="AQ349" t="s">
        <v>74</v>
      </c>
      <c r="AR349" t="s">
        <v>1540</v>
      </c>
      <c r="AS349" t="s">
        <v>1541</v>
      </c>
      <c r="AT349" t="s">
        <v>6996</v>
      </c>
      <c r="AU349">
        <v>2025</v>
      </c>
      <c r="AV349">
        <v>523</v>
      </c>
      <c r="AW349" t="s">
        <v>74</v>
      </c>
      <c r="AX349" t="s">
        <v>74</v>
      </c>
      <c r="AY349" t="s">
        <v>74</v>
      </c>
      <c r="AZ349" t="s">
        <v>74</v>
      </c>
      <c r="BA349" t="s">
        <v>74</v>
      </c>
      <c r="BB349" t="s">
        <v>74</v>
      </c>
      <c r="BC349" t="s">
        <v>74</v>
      </c>
      <c r="BD349">
        <v>146442</v>
      </c>
      <c r="BE349" t="s">
        <v>7037</v>
      </c>
      <c r="BF349" t="str">
        <f>HYPERLINK("http://dx.doi.org/10.1016/j.jclepro.2025.146442","http://dx.doi.org/10.1016/j.jclepro.2025.146442")</f>
        <v>http://dx.doi.org/10.1016/j.jclepro.2025.146442</v>
      </c>
      <c r="BG349" t="s">
        <v>74</v>
      </c>
      <c r="BH349" t="s">
        <v>513</v>
      </c>
      <c r="BI349">
        <v>12</v>
      </c>
      <c r="BJ349" t="s">
        <v>1543</v>
      </c>
      <c r="BK349" t="s">
        <v>102</v>
      </c>
      <c r="BL349" t="s">
        <v>1544</v>
      </c>
      <c r="BM349" t="s">
        <v>7038</v>
      </c>
      <c r="BN349" t="s">
        <v>74</v>
      </c>
      <c r="BO349" t="s">
        <v>74</v>
      </c>
      <c r="BP349" t="s">
        <v>74</v>
      </c>
      <c r="BQ349" t="s">
        <v>74</v>
      </c>
      <c r="BR349" t="s">
        <v>106</v>
      </c>
      <c r="BS349" t="s">
        <v>7039</v>
      </c>
      <c r="BT349" t="str">
        <f>HYPERLINK("https%3A%2F%2Fwww.webofscience.com%2Fwos%2Fwoscc%2Ffull-record%2FWOS:001595235100017","View Full Record in Web of Science")</f>
        <v>View Full Record in Web of Science</v>
      </c>
    </row>
    <row r="350" spans="1:72" x14ac:dyDescent="0.2">
      <c r="A350" t="s">
        <v>72</v>
      </c>
      <c r="B350" t="s">
        <v>7040</v>
      </c>
      <c r="C350" t="s">
        <v>74</v>
      </c>
      <c r="D350" t="s">
        <v>74</v>
      </c>
      <c r="E350" t="s">
        <v>74</v>
      </c>
      <c r="F350" t="s">
        <v>7041</v>
      </c>
      <c r="G350" t="s">
        <v>74</v>
      </c>
      <c r="H350" t="s">
        <v>74</v>
      </c>
      <c r="I350" t="s">
        <v>7042</v>
      </c>
      <c r="J350" t="s">
        <v>2923</v>
      </c>
      <c r="K350" t="s">
        <v>74</v>
      </c>
      <c r="L350" t="s">
        <v>74</v>
      </c>
      <c r="M350" t="s">
        <v>78</v>
      </c>
      <c r="N350" t="s">
        <v>79</v>
      </c>
      <c r="O350" t="s">
        <v>74</v>
      </c>
      <c r="P350" t="s">
        <v>74</v>
      </c>
      <c r="Q350" t="s">
        <v>74</v>
      </c>
      <c r="R350" t="s">
        <v>74</v>
      </c>
      <c r="S350" t="s">
        <v>74</v>
      </c>
      <c r="T350" t="s">
        <v>7043</v>
      </c>
      <c r="U350" t="s">
        <v>7044</v>
      </c>
      <c r="V350" t="s">
        <v>7045</v>
      </c>
      <c r="W350" t="s">
        <v>7046</v>
      </c>
      <c r="X350" t="s">
        <v>7047</v>
      </c>
      <c r="Y350" t="s">
        <v>7048</v>
      </c>
      <c r="Z350" t="s">
        <v>7049</v>
      </c>
      <c r="AA350" t="s">
        <v>7050</v>
      </c>
      <c r="AB350" t="s">
        <v>7051</v>
      </c>
      <c r="AC350" t="s">
        <v>7052</v>
      </c>
      <c r="AD350" t="s">
        <v>7053</v>
      </c>
      <c r="AE350" t="s">
        <v>7054</v>
      </c>
      <c r="AF350" t="s">
        <v>74</v>
      </c>
      <c r="AG350">
        <v>47</v>
      </c>
      <c r="AH350">
        <v>20</v>
      </c>
      <c r="AI350">
        <v>25</v>
      </c>
      <c r="AJ350">
        <v>10</v>
      </c>
      <c r="AK350">
        <v>201</v>
      </c>
      <c r="AL350" t="s">
        <v>222</v>
      </c>
      <c r="AM350" t="s">
        <v>223</v>
      </c>
      <c r="AN350" t="s">
        <v>478</v>
      </c>
      <c r="AO350" t="s">
        <v>74</v>
      </c>
      <c r="AP350" t="s">
        <v>2935</v>
      </c>
      <c r="AQ350" t="s">
        <v>74</v>
      </c>
      <c r="AR350" t="s">
        <v>2936</v>
      </c>
      <c r="AS350" t="s">
        <v>2937</v>
      </c>
      <c r="AT350" t="s">
        <v>1109</v>
      </c>
      <c r="AU350">
        <v>2021</v>
      </c>
      <c r="AV350">
        <v>18</v>
      </c>
      <c r="AW350">
        <v>24</v>
      </c>
      <c r="AX350" t="s">
        <v>74</v>
      </c>
      <c r="AY350" t="s">
        <v>74</v>
      </c>
      <c r="AZ350" t="s">
        <v>74</v>
      </c>
      <c r="BA350" t="s">
        <v>74</v>
      </c>
      <c r="BB350" t="s">
        <v>74</v>
      </c>
      <c r="BC350" t="s">
        <v>74</v>
      </c>
      <c r="BD350">
        <v>12892</v>
      </c>
      <c r="BE350" t="s">
        <v>7055</v>
      </c>
      <c r="BF350" t="str">
        <f>HYPERLINK("http://dx.doi.org/10.3390/ijerph182412892","http://dx.doi.org/10.3390/ijerph182412892")</f>
        <v>http://dx.doi.org/10.3390/ijerph182412892</v>
      </c>
      <c r="BG350" t="s">
        <v>74</v>
      </c>
      <c r="BH350" t="s">
        <v>74</v>
      </c>
      <c r="BI350">
        <v>21</v>
      </c>
      <c r="BJ350" t="s">
        <v>1042</v>
      </c>
      <c r="BK350" t="s">
        <v>186</v>
      </c>
      <c r="BL350" t="s">
        <v>1043</v>
      </c>
      <c r="BM350" t="s">
        <v>7056</v>
      </c>
      <c r="BN350">
        <v>34948507</v>
      </c>
      <c r="BO350" t="s">
        <v>161</v>
      </c>
      <c r="BP350" t="s">
        <v>74</v>
      </c>
      <c r="BQ350" t="s">
        <v>74</v>
      </c>
      <c r="BR350" t="s">
        <v>106</v>
      </c>
      <c r="BS350" t="s">
        <v>7057</v>
      </c>
      <c r="BT350" t="str">
        <f>HYPERLINK("https%3A%2F%2Fwww.webofscience.com%2Fwos%2Fwoscc%2Ffull-record%2FWOS:000738049200001","View Full Record in Web of Science")</f>
        <v>View Full Record in Web of Science</v>
      </c>
    </row>
    <row r="351" spans="1:72" x14ac:dyDescent="0.2">
      <c r="A351" t="s">
        <v>72</v>
      </c>
      <c r="B351" t="s">
        <v>7058</v>
      </c>
      <c r="C351" t="s">
        <v>74</v>
      </c>
      <c r="D351" t="s">
        <v>74</v>
      </c>
      <c r="E351" t="s">
        <v>74</v>
      </c>
      <c r="F351" t="s">
        <v>7059</v>
      </c>
      <c r="G351" t="s">
        <v>74</v>
      </c>
      <c r="H351" t="s">
        <v>74</v>
      </c>
      <c r="I351" t="s">
        <v>7060</v>
      </c>
      <c r="J351" t="s">
        <v>546</v>
      </c>
      <c r="K351" t="s">
        <v>74</v>
      </c>
      <c r="L351" t="s">
        <v>74</v>
      </c>
      <c r="M351" t="s">
        <v>78</v>
      </c>
      <c r="N351" t="s">
        <v>79</v>
      </c>
      <c r="O351" t="s">
        <v>74</v>
      </c>
      <c r="P351" t="s">
        <v>74</v>
      </c>
      <c r="Q351" t="s">
        <v>74</v>
      </c>
      <c r="R351" t="s">
        <v>74</v>
      </c>
      <c r="S351" t="s">
        <v>74</v>
      </c>
      <c r="T351" t="s">
        <v>7061</v>
      </c>
      <c r="U351" t="s">
        <v>7062</v>
      </c>
      <c r="V351" t="s">
        <v>7063</v>
      </c>
      <c r="W351" t="s">
        <v>7064</v>
      </c>
      <c r="X351" t="s">
        <v>7065</v>
      </c>
      <c r="Y351" t="s">
        <v>7066</v>
      </c>
      <c r="Z351" t="s">
        <v>7067</v>
      </c>
      <c r="AA351" t="s">
        <v>7068</v>
      </c>
      <c r="AB351" t="s">
        <v>7069</v>
      </c>
      <c r="AC351" t="s">
        <v>7070</v>
      </c>
      <c r="AD351" t="s">
        <v>7071</v>
      </c>
      <c r="AE351" t="s">
        <v>7072</v>
      </c>
      <c r="AF351" t="s">
        <v>74</v>
      </c>
      <c r="AG351">
        <v>88</v>
      </c>
      <c r="AH351">
        <v>11</v>
      </c>
      <c r="AI351">
        <v>11</v>
      </c>
      <c r="AJ351">
        <v>33</v>
      </c>
      <c r="AK351">
        <v>101</v>
      </c>
      <c r="AL351" t="s">
        <v>559</v>
      </c>
      <c r="AM351" t="s">
        <v>93</v>
      </c>
      <c r="AN351" t="s">
        <v>560</v>
      </c>
      <c r="AO351" t="s">
        <v>561</v>
      </c>
      <c r="AP351" t="s">
        <v>562</v>
      </c>
      <c r="AQ351" t="s">
        <v>74</v>
      </c>
      <c r="AR351" t="s">
        <v>563</v>
      </c>
      <c r="AS351" t="s">
        <v>564</v>
      </c>
      <c r="AT351" t="s">
        <v>805</v>
      </c>
      <c r="AU351">
        <v>2024</v>
      </c>
      <c r="AV351">
        <v>370</v>
      </c>
      <c r="AW351" t="s">
        <v>74</v>
      </c>
      <c r="AX351" t="s">
        <v>74</v>
      </c>
      <c r="AY351" t="s">
        <v>74</v>
      </c>
      <c r="AZ351" t="s">
        <v>74</v>
      </c>
      <c r="BA351" t="s">
        <v>74</v>
      </c>
      <c r="BB351" t="s">
        <v>74</v>
      </c>
      <c r="BC351" t="s">
        <v>74</v>
      </c>
      <c r="BD351">
        <v>122498</v>
      </c>
      <c r="BE351" t="s">
        <v>7073</v>
      </c>
      <c r="BF351" t="str">
        <f>HYPERLINK("http://dx.doi.org/10.1016/j.jenvman.2024.122498","http://dx.doi.org/10.1016/j.jenvman.2024.122498")</f>
        <v>http://dx.doi.org/10.1016/j.jenvman.2024.122498</v>
      </c>
      <c r="BG351" t="s">
        <v>74</v>
      </c>
      <c r="BH351" t="s">
        <v>2956</v>
      </c>
      <c r="BI351">
        <v>13</v>
      </c>
      <c r="BJ351" t="s">
        <v>567</v>
      </c>
      <c r="BK351" t="s">
        <v>102</v>
      </c>
      <c r="BL351" t="s">
        <v>568</v>
      </c>
      <c r="BM351" t="s">
        <v>7074</v>
      </c>
      <c r="BN351">
        <v>39288495</v>
      </c>
      <c r="BO351" t="s">
        <v>74</v>
      </c>
      <c r="BP351" t="s">
        <v>74</v>
      </c>
      <c r="BQ351" t="s">
        <v>74</v>
      </c>
      <c r="BR351" t="s">
        <v>106</v>
      </c>
      <c r="BS351" t="s">
        <v>7075</v>
      </c>
      <c r="BT351" t="str">
        <f>HYPERLINK("https%3A%2F%2Fwww.webofscience.com%2Fwos%2Fwoscc%2Ffull-record%2FWOS:001317720100001","View Full Record in Web of Science")</f>
        <v>View Full Record in Web of Science</v>
      </c>
    </row>
    <row r="352" spans="1:72" x14ac:dyDescent="0.2">
      <c r="A352" t="s">
        <v>72</v>
      </c>
      <c r="B352" t="s">
        <v>7076</v>
      </c>
      <c r="C352" t="s">
        <v>74</v>
      </c>
      <c r="D352" t="s">
        <v>74</v>
      </c>
      <c r="E352" t="s">
        <v>74</v>
      </c>
      <c r="F352" t="s">
        <v>7077</v>
      </c>
      <c r="G352" t="s">
        <v>74</v>
      </c>
      <c r="H352" t="s">
        <v>74</v>
      </c>
      <c r="I352" t="s">
        <v>7078</v>
      </c>
      <c r="J352" t="s">
        <v>828</v>
      </c>
      <c r="K352" t="s">
        <v>74</v>
      </c>
      <c r="L352" t="s">
        <v>74</v>
      </c>
      <c r="M352" t="s">
        <v>78</v>
      </c>
      <c r="N352" t="s">
        <v>2506</v>
      </c>
      <c r="O352" t="s">
        <v>74</v>
      </c>
      <c r="P352" t="s">
        <v>74</v>
      </c>
      <c r="Q352" t="s">
        <v>74</v>
      </c>
      <c r="R352" t="s">
        <v>74</v>
      </c>
      <c r="S352" t="s">
        <v>74</v>
      </c>
      <c r="T352" t="s">
        <v>74</v>
      </c>
      <c r="U352" t="s">
        <v>74</v>
      </c>
      <c r="V352" t="s">
        <v>7079</v>
      </c>
      <c r="W352" t="s">
        <v>7080</v>
      </c>
      <c r="X352" t="s">
        <v>3997</v>
      </c>
      <c r="Y352" t="s">
        <v>7081</v>
      </c>
      <c r="Z352" t="s">
        <v>7082</v>
      </c>
      <c r="AA352" t="s">
        <v>7083</v>
      </c>
      <c r="AB352" t="s">
        <v>74</v>
      </c>
      <c r="AC352" t="s">
        <v>74</v>
      </c>
      <c r="AD352" t="s">
        <v>74</v>
      </c>
      <c r="AE352" t="s">
        <v>74</v>
      </c>
      <c r="AF352" t="s">
        <v>74</v>
      </c>
      <c r="AG352">
        <v>8</v>
      </c>
      <c r="AH352">
        <v>2</v>
      </c>
      <c r="AI352">
        <v>4</v>
      </c>
      <c r="AJ352">
        <v>6</v>
      </c>
      <c r="AK352">
        <v>55</v>
      </c>
      <c r="AL352" t="s">
        <v>835</v>
      </c>
      <c r="AM352" t="s">
        <v>836</v>
      </c>
      <c r="AN352" t="s">
        <v>3254</v>
      </c>
      <c r="AO352" t="s">
        <v>838</v>
      </c>
      <c r="AP352" t="s">
        <v>74</v>
      </c>
      <c r="AQ352" t="s">
        <v>74</v>
      </c>
      <c r="AR352" t="s">
        <v>839</v>
      </c>
      <c r="AS352" t="s">
        <v>840</v>
      </c>
      <c r="AT352" t="s">
        <v>5300</v>
      </c>
      <c r="AU352">
        <v>2014</v>
      </c>
      <c r="AV352">
        <v>45</v>
      </c>
      <c r="AW352">
        <v>4</v>
      </c>
      <c r="AX352" t="s">
        <v>74</v>
      </c>
      <c r="AY352" t="s">
        <v>74</v>
      </c>
      <c r="AZ352" t="s">
        <v>74</v>
      </c>
      <c r="BA352" t="s">
        <v>74</v>
      </c>
      <c r="BB352">
        <v>7</v>
      </c>
      <c r="BC352">
        <v>11</v>
      </c>
      <c r="BD352" t="s">
        <v>74</v>
      </c>
      <c r="BE352" t="s">
        <v>74</v>
      </c>
      <c r="BF352" t="s">
        <v>74</v>
      </c>
      <c r="BG352" t="s">
        <v>74</v>
      </c>
      <c r="BH352" t="s">
        <v>74</v>
      </c>
      <c r="BI352">
        <v>5</v>
      </c>
      <c r="BJ352" t="s">
        <v>842</v>
      </c>
      <c r="BK352" t="s">
        <v>102</v>
      </c>
      <c r="BL352" t="s">
        <v>103</v>
      </c>
      <c r="BM352" t="s">
        <v>7084</v>
      </c>
      <c r="BN352" t="s">
        <v>74</v>
      </c>
      <c r="BO352" t="s">
        <v>74</v>
      </c>
      <c r="BP352" t="s">
        <v>74</v>
      </c>
      <c r="BQ352" t="s">
        <v>74</v>
      </c>
      <c r="BR352" t="s">
        <v>106</v>
      </c>
      <c r="BS352" t="s">
        <v>7085</v>
      </c>
      <c r="BT352" t="str">
        <f>HYPERLINK("https%3A%2F%2Fwww.webofscience.com%2Fwos%2Fwoscc%2Ffull-record%2FWOS:000345818100002","View Full Record in Web of Science")</f>
        <v>View Full Record in Web of Science</v>
      </c>
    </row>
    <row r="353" spans="1:72" x14ac:dyDescent="0.2">
      <c r="A353" t="s">
        <v>72</v>
      </c>
      <c r="B353" t="s">
        <v>7086</v>
      </c>
      <c r="C353" t="s">
        <v>74</v>
      </c>
      <c r="D353" t="s">
        <v>74</v>
      </c>
      <c r="E353" t="s">
        <v>74</v>
      </c>
      <c r="F353" t="s">
        <v>7087</v>
      </c>
      <c r="G353" t="s">
        <v>74</v>
      </c>
      <c r="H353" t="s">
        <v>74</v>
      </c>
      <c r="I353" t="s">
        <v>7088</v>
      </c>
      <c r="J353" t="s">
        <v>7089</v>
      </c>
      <c r="K353" t="s">
        <v>74</v>
      </c>
      <c r="L353" t="s">
        <v>74</v>
      </c>
      <c r="M353" t="s">
        <v>78</v>
      </c>
      <c r="N353" t="s">
        <v>79</v>
      </c>
      <c r="O353" t="s">
        <v>74</v>
      </c>
      <c r="P353" t="s">
        <v>74</v>
      </c>
      <c r="Q353" t="s">
        <v>74</v>
      </c>
      <c r="R353" t="s">
        <v>74</v>
      </c>
      <c r="S353" t="s">
        <v>74</v>
      </c>
      <c r="T353" t="s">
        <v>7090</v>
      </c>
      <c r="U353" t="s">
        <v>74</v>
      </c>
      <c r="V353" t="s">
        <v>7091</v>
      </c>
      <c r="W353" t="s">
        <v>7092</v>
      </c>
      <c r="X353" t="s">
        <v>7093</v>
      </c>
      <c r="Y353" t="s">
        <v>7094</v>
      </c>
      <c r="Z353" t="s">
        <v>74</v>
      </c>
      <c r="AA353" t="s">
        <v>7095</v>
      </c>
      <c r="AB353" t="s">
        <v>74</v>
      </c>
      <c r="AC353" t="s">
        <v>7096</v>
      </c>
      <c r="AD353" t="s">
        <v>7097</v>
      </c>
      <c r="AE353" t="s">
        <v>7098</v>
      </c>
      <c r="AF353" t="s">
        <v>74</v>
      </c>
      <c r="AG353">
        <v>16</v>
      </c>
      <c r="AH353">
        <v>3</v>
      </c>
      <c r="AI353">
        <v>3</v>
      </c>
      <c r="AJ353">
        <v>0</v>
      </c>
      <c r="AK353">
        <v>15</v>
      </c>
      <c r="AL353" t="s">
        <v>7099</v>
      </c>
      <c r="AM353" t="s">
        <v>7100</v>
      </c>
      <c r="AN353" t="s">
        <v>7101</v>
      </c>
      <c r="AO353" t="s">
        <v>7102</v>
      </c>
      <c r="AP353" t="s">
        <v>7103</v>
      </c>
      <c r="AQ353" t="s">
        <v>74</v>
      </c>
      <c r="AR353" t="s">
        <v>7104</v>
      </c>
      <c r="AS353" t="s">
        <v>7105</v>
      </c>
      <c r="AT353" t="s">
        <v>7106</v>
      </c>
      <c r="AU353">
        <v>2017</v>
      </c>
      <c r="AV353">
        <v>28</v>
      </c>
      <c r="AW353">
        <v>1</v>
      </c>
      <c r="AX353" t="s">
        <v>74</v>
      </c>
      <c r="AY353" t="s">
        <v>74</v>
      </c>
      <c r="AZ353" t="s">
        <v>74</v>
      </c>
      <c r="BA353" t="s">
        <v>74</v>
      </c>
      <c r="BB353">
        <v>270</v>
      </c>
      <c r="BC353">
        <v>274</v>
      </c>
      <c r="BD353" t="s">
        <v>74</v>
      </c>
      <c r="BE353" t="s">
        <v>74</v>
      </c>
      <c r="BF353" t="s">
        <v>74</v>
      </c>
      <c r="BG353" t="s">
        <v>74</v>
      </c>
      <c r="BH353" t="s">
        <v>74</v>
      </c>
      <c r="BI353">
        <v>5</v>
      </c>
      <c r="BJ353" t="s">
        <v>2518</v>
      </c>
      <c r="BK353" t="s">
        <v>102</v>
      </c>
      <c r="BL353" t="s">
        <v>2518</v>
      </c>
      <c r="BM353" t="s">
        <v>7107</v>
      </c>
      <c r="BN353" t="s">
        <v>74</v>
      </c>
      <c r="BO353" t="s">
        <v>74</v>
      </c>
      <c r="BP353" t="s">
        <v>74</v>
      </c>
      <c r="BQ353" t="s">
        <v>74</v>
      </c>
      <c r="BR353" t="s">
        <v>106</v>
      </c>
      <c r="BS353" t="s">
        <v>7108</v>
      </c>
      <c r="BT353" t="str">
        <f>HYPERLINK("https%3A%2F%2Fwww.webofscience.com%2Fwos%2Fwoscc%2Ffull-record%2FWOS:000405992100072","View Full Record in Web of Science")</f>
        <v>View Full Record in Web of Science</v>
      </c>
    </row>
    <row r="354" spans="1:72" x14ac:dyDescent="0.2">
      <c r="A354" t="s">
        <v>72</v>
      </c>
      <c r="B354" t="s">
        <v>7109</v>
      </c>
      <c r="C354" t="s">
        <v>74</v>
      </c>
      <c r="D354" t="s">
        <v>74</v>
      </c>
      <c r="E354" t="s">
        <v>74</v>
      </c>
      <c r="F354" t="s">
        <v>7110</v>
      </c>
      <c r="G354" t="s">
        <v>74</v>
      </c>
      <c r="H354" t="s">
        <v>74</v>
      </c>
      <c r="I354" t="s">
        <v>7111</v>
      </c>
      <c r="J354" t="s">
        <v>3061</v>
      </c>
      <c r="K354" t="s">
        <v>74</v>
      </c>
      <c r="L354" t="s">
        <v>74</v>
      </c>
      <c r="M354" t="s">
        <v>78</v>
      </c>
      <c r="N354" t="s">
        <v>79</v>
      </c>
      <c r="O354" t="s">
        <v>74</v>
      </c>
      <c r="P354" t="s">
        <v>74</v>
      </c>
      <c r="Q354" t="s">
        <v>74</v>
      </c>
      <c r="R354" t="s">
        <v>74</v>
      </c>
      <c r="S354" t="s">
        <v>74</v>
      </c>
      <c r="T354" t="s">
        <v>7112</v>
      </c>
      <c r="U354" t="s">
        <v>7113</v>
      </c>
      <c r="V354" t="s">
        <v>7114</v>
      </c>
      <c r="W354" t="s">
        <v>7115</v>
      </c>
      <c r="X354" t="s">
        <v>7116</v>
      </c>
      <c r="Y354" t="s">
        <v>7117</v>
      </c>
      <c r="Z354" t="s">
        <v>7118</v>
      </c>
      <c r="AA354" t="s">
        <v>7119</v>
      </c>
      <c r="AB354" t="s">
        <v>7120</v>
      </c>
      <c r="AC354" t="s">
        <v>7121</v>
      </c>
      <c r="AD354" t="s">
        <v>7121</v>
      </c>
      <c r="AE354" t="s">
        <v>7122</v>
      </c>
      <c r="AF354" t="s">
        <v>74</v>
      </c>
      <c r="AG354">
        <v>73</v>
      </c>
      <c r="AH354">
        <v>13</v>
      </c>
      <c r="AI354">
        <v>16</v>
      </c>
      <c r="AJ354">
        <v>4</v>
      </c>
      <c r="AK354">
        <v>109</v>
      </c>
      <c r="AL354" t="s">
        <v>123</v>
      </c>
      <c r="AM354" t="s">
        <v>124</v>
      </c>
      <c r="AN354" t="s">
        <v>125</v>
      </c>
      <c r="AO354" t="s">
        <v>3074</v>
      </c>
      <c r="AP354" t="s">
        <v>3075</v>
      </c>
      <c r="AQ354" t="s">
        <v>74</v>
      </c>
      <c r="AR354" t="s">
        <v>3061</v>
      </c>
      <c r="AS354" t="s">
        <v>3076</v>
      </c>
      <c r="AT354" t="s">
        <v>130</v>
      </c>
      <c r="AU354">
        <v>2019</v>
      </c>
      <c r="AV354">
        <v>339</v>
      </c>
      <c r="AW354" t="s">
        <v>74</v>
      </c>
      <c r="AX354" t="s">
        <v>74</v>
      </c>
      <c r="AY354" t="s">
        <v>74</v>
      </c>
      <c r="AZ354" t="s">
        <v>74</v>
      </c>
      <c r="BA354" t="s">
        <v>74</v>
      </c>
      <c r="BB354">
        <v>94</v>
      </c>
      <c r="BC354">
        <v>105</v>
      </c>
      <c r="BD354" t="s">
        <v>74</v>
      </c>
      <c r="BE354" t="s">
        <v>7123</v>
      </c>
      <c r="BF354" t="str">
        <f>HYPERLINK("http://dx.doi.org/10.1016/j.geoderma.2018.12.039","http://dx.doi.org/10.1016/j.geoderma.2018.12.039")</f>
        <v>http://dx.doi.org/10.1016/j.geoderma.2018.12.039</v>
      </c>
      <c r="BG354" t="s">
        <v>74</v>
      </c>
      <c r="BH354" t="s">
        <v>74</v>
      </c>
      <c r="BI354">
        <v>12</v>
      </c>
      <c r="BJ354" t="s">
        <v>256</v>
      </c>
      <c r="BK354" t="s">
        <v>102</v>
      </c>
      <c r="BL354" t="s">
        <v>103</v>
      </c>
      <c r="BM354" t="s">
        <v>7124</v>
      </c>
      <c r="BN354" t="s">
        <v>74</v>
      </c>
      <c r="BO354" t="s">
        <v>74</v>
      </c>
      <c r="BP354" t="s">
        <v>74</v>
      </c>
      <c r="BQ354" t="s">
        <v>74</v>
      </c>
      <c r="BR354" t="s">
        <v>106</v>
      </c>
      <c r="BS354" t="s">
        <v>7125</v>
      </c>
      <c r="BT354" t="str">
        <f>HYPERLINK("https%3A%2F%2Fwww.webofscience.com%2Fwos%2Fwoscc%2Ffull-record%2FWOS:000457665000009","View Full Record in Web of Science")</f>
        <v>View Full Record in Web of Science</v>
      </c>
    </row>
    <row r="355" spans="1:72" x14ac:dyDescent="0.2">
      <c r="A355" t="s">
        <v>72</v>
      </c>
      <c r="B355" t="s">
        <v>7126</v>
      </c>
      <c r="C355" t="s">
        <v>74</v>
      </c>
      <c r="D355" t="s">
        <v>74</v>
      </c>
      <c r="E355" t="s">
        <v>74</v>
      </c>
      <c r="F355" t="s">
        <v>7127</v>
      </c>
      <c r="G355" t="s">
        <v>74</v>
      </c>
      <c r="H355" t="s">
        <v>74</v>
      </c>
      <c r="I355" t="s">
        <v>7128</v>
      </c>
      <c r="J355" t="s">
        <v>6361</v>
      </c>
      <c r="K355" t="s">
        <v>74</v>
      </c>
      <c r="L355" t="s">
        <v>74</v>
      </c>
      <c r="M355" t="s">
        <v>78</v>
      </c>
      <c r="N355" t="s">
        <v>79</v>
      </c>
      <c r="O355" t="s">
        <v>74</v>
      </c>
      <c r="P355" t="s">
        <v>74</v>
      </c>
      <c r="Q355" t="s">
        <v>74</v>
      </c>
      <c r="R355" t="s">
        <v>74</v>
      </c>
      <c r="S355" t="s">
        <v>74</v>
      </c>
      <c r="T355" t="s">
        <v>7129</v>
      </c>
      <c r="U355" t="s">
        <v>7130</v>
      </c>
      <c r="V355" t="s">
        <v>7131</v>
      </c>
      <c r="W355" t="s">
        <v>7132</v>
      </c>
      <c r="X355" t="s">
        <v>7133</v>
      </c>
      <c r="Y355" t="s">
        <v>7134</v>
      </c>
      <c r="Z355" t="s">
        <v>7135</v>
      </c>
      <c r="AA355" t="s">
        <v>7136</v>
      </c>
      <c r="AB355" t="s">
        <v>7137</v>
      </c>
      <c r="AC355" t="s">
        <v>7138</v>
      </c>
      <c r="AD355" t="s">
        <v>7139</v>
      </c>
      <c r="AE355" t="s">
        <v>7140</v>
      </c>
      <c r="AF355" t="s">
        <v>74</v>
      </c>
      <c r="AG355">
        <v>36</v>
      </c>
      <c r="AH355">
        <v>1</v>
      </c>
      <c r="AI355">
        <v>1</v>
      </c>
      <c r="AJ355">
        <v>2</v>
      </c>
      <c r="AK355">
        <v>4</v>
      </c>
      <c r="AL355" t="s">
        <v>247</v>
      </c>
      <c r="AM355" t="s">
        <v>248</v>
      </c>
      <c r="AN355" t="s">
        <v>249</v>
      </c>
      <c r="AO355" t="s">
        <v>6373</v>
      </c>
      <c r="AP355" t="s">
        <v>6374</v>
      </c>
      <c r="AQ355" t="s">
        <v>74</v>
      </c>
      <c r="AR355" t="s">
        <v>6361</v>
      </c>
      <c r="AS355" t="s">
        <v>6375</v>
      </c>
      <c r="AT355" t="s">
        <v>2017</v>
      </c>
      <c r="AU355">
        <v>2025</v>
      </c>
      <c r="AV355">
        <v>41</v>
      </c>
      <c r="AW355">
        <v>4</v>
      </c>
      <c r="AX355" t="s">
        <v>74</v>
      </c>
      <c r="AY355" t="s">
        <v>74</v>
      </c>
      <c r="AZ355" t="s">
        <v>1070</v>
      </c>
      <c r="BA355" t="s">
        <v>74</v>
      </c>
      <c r="BB355">
        <v>956</v>
      </c>
      <c r="BC355">
        <v>968</v>
      </c>
      <c r="BD355" t="s">
        <v>74</v>
      </c>
      <c r="BE355" t="s">
        <v>7141</v>
      </c>
      <c r="BF355" t="str">
        <f>HYPERLINK("http://dx.doi.org/10.1002/agr.22018","http://dx.doi.org/10.1002/agr.22018")</f>
        <v>http://dx.doi.org/10.1002/agr.22018</v>
      </c>
      <c r="BG355" t="s">
        <v>74</v>
      </c>
      <c r="BH355" t="s">
        <v>2404</v>
      </c>
      <c r="BI355">
        <v>13</v>
      </c>
      <c r="BJ355" t="s">
        <v>6377</v>
      </c>
      <c r="BK355" t="s">
        <v>186</v>
      </c>
      <c r="BL355" t="s">
        <v>6378</v>
      </c>
      <c r="BM355" t="s">
        <v>7142</v>
      </c>
      <c r="BN355" t="s">
        <v>74</v>
      </c>
      <c r="BO355" t="s">
        <v>74</v>
      </c>
      <c r="BP355" t="s">
        <v>74</v>
      </c>
      <c r="BQ355" t="s">
        <v>74</v>
      </c>
      <c r="BR355" t="s">
        <v>106</v>
      </c>
      <c r="BS355" t="s">
        <v>7143</v>
      </c>
      <c r="BT355" t="str">
        <f>HYPERLINK("https%3A%2F%2Fwww.webofscience.com%2Fwos%2Fwoscc%2Ffull-record%2FWOS:001394814400001","View Full Record in Web of Science")</f>
        <v>View Full Record in Web of Science</v>
      </c>
    </row>
    <row r="356" spans="1:72" x14ac:dyDescent="0.2">
      <c r="A356" t="s">
        <v>72</v>
      </c>
      <c r="B356" t="s">
        <v>7144</v>
      </c>
      <c r="C356" t="s">
        <v>74</v>
      </c>
      <c r="D356" t="s">
        <v>74</v>
      </c>
      <c r="E356" t="s">
        <v>74</v>
      </c>
      <c r="F356" t="s">
        <v>7145</v>
      </c>
      <c r="G356" t="s">
        <v>74</v>
      </c>
      <c r="H356" t="s">
        <v>74</v>
      </c>
      <c r="I356" t="s">
        <v>7146</v>
      </c>
      <c r="J356" t="s">
        <v>2149</v>
      </c>
      <c r="K356" t="s">
        <v>74</v>
      </c>
      <c r="L356" t="s">
        <v>74</v>
      </c>
      <c r="M356" t="s">
        <v>78</v>
      </c>
      <c r="N356" t="s">
        <v>79</v>
      </c>
      <c r="O356" t="s">
        <v>74</v>
      </c>
      <c r="P356" t="s">
        <v>74</v>
      </c>
      <c r="Q356" t="s">
        <v>74</v>
      </c>
      <c r="R356" t="s">
        <v>74</v>
      </c>
      <c r="S356" t="s">
        <v>74</v>
      </c>
      <c r="T356" t="s">
        <v>7147</v>
      </c>
      <c r="U356" t="s">
        <v>7148</v>
      </c>
      <c r="V356" t="s">
        <v>7149</v>
      </c>
      <c r="W356" t="s">
        <v>7150</v>
      </c>
      <c r="X356" t="s">
        <v>7151</v>
      </c>
      <c r="Y356" t="s">
        <v>7152</v>
      </c>
      <c r="Z356" t="s">
        <v>7153</v>
      </c>
      <c r="AA356" t="s">
        <v>74</v>
      </c>
      <c r="AB356" t="s">
        <v>74</v>
      </c>
      <c r="AC356" t="s">
        <v>7154</v>
      </c>
      <c r="AD356" t="s">
        <v>7155</v>
      </c>
      <c r="AE356" t="s">
        <v>7156</v>
      </c>
      <c r="AF356" t="s">
        <v>74</v>
      </c>
      <c r="AG356">
        <v>65</v>
      </c>
      <c r="AH356">
        <v>27</v>
      </c>
      <c r="AI356">
        <v>27</v>
      </c>
      <c r="AJ356">
        <v>112</v>
      </c>
      <c r="AK356">
        <v>466</v>
      </c>
      <c r="AL356" t="s">
        <v>123</v>
      </c>
      <c r="AM356" t="s">
        <v>124</v>
      </c>
      <c r="AN356" t="s">
        <v>125</v>
      </c>
      <c r="AO356" t="s">
        <v>2164</v>
      </c>
      <c r="AP356" t="s">
        <v>2165</v>
      </c>
      <c r="AQ356" t="s">
        <v>74</v>
      </c>
      <c r="AR356" t="s">
        <v>2166</v>
      </c>
      <c r="AS356" t="s">
        <v>2167</v>
      </c>
      <c r="AT356" t="s">
        <v>281</v>
      </c>
      <c r="AU356">
        <v>2024</v>
      </c>
      <c r="AV356">
        <v>239</v>
      </c>
      <c r="AW356" t="s">
        <v>74</v>
      </c>
      <c r="AX356" t="s">
        <v>74</v>
      </c>
      <c r="AY356" t="s">
        <v>74</v>
      </c>
      <c r="AZ356" t="s">
        <v>74</v>
      </c>
      <c r="BA356" t="s">
        <v>74</v>
      </c>
      <c r="BB356" t="s">
        <v>74</v>
      </c>
      <c r="BC356" t="s">
        <v>74</v>
      </c>
      <c r="BD356">
        <v>106031</v>
      </c>
      <c r="BE356" t="s">
        <v>7157</v>
      </c>
      <c r="BF356" t="str">
        <f>HYPERLINK("http://dx.doi.org/10.1016/j.still.2024.106031","http://dx.doi.org/10.1016/j.still.2024.106031")</f>
        <v>http://dx.doi.org/10.1016/j.still.2024.106031</v>
      </c>
      <c r="BG356" t="s">
        <v>74</v>
      </c>
      <c r="BH356" t="s">
        <v>2430</v>
      </c>
      <c r="BI356">
        <v>10</v>
      </c>
      <c r="BJ356" t="s">
        <v>256</v>
      </c>
      <c r="BK356" t="s">
        <v>102</v>
      </c>
      <c r="BL356" t="s">
        <v>103</v>
      </c>
      <c r="BM356" t="s">
        <v>7158</v>
      </c>
      <c r="BN356" t="s">
        <v>74</v>
      </c>
      <c r="BO356" t="s">
        <v>74</v>
      </c>
      <c r="BP356" t="s">
        <v>74</v>
      </c>
      <c r="BQ356" t="s">
        <v>74</v>
      </c>
      <c r="BR356" t="s">
        <v>106</v>
      </c>
      <c r="BS356" t="s">
        <v>7159</v>
      </c>
      <c r="BT356" t="str">
        <f>HYPERLINK("https%3A%2F%2Fwww.webofscience.com%2Fwos%2Fwoscc%2Ffull-record%2FWOS:001184032400001","View Full Record in Web of Science")</f>
        <v>View Full Record in Web of Science</v>
      </c>
    </row>
    <row r="357" spans="1:72" x14ac:dyDescent="0.2">
      <c r="A357" t="s">
        <v>72</v>
      </c>
      <c r="B357" t="s">
        <v>7160</v>
      </c>
      <c r="C357" t="s">
        <v>74</v>
      </c>
      <c r="D357" t="s">
        <v>74</v>
      </c>
      <c r="E357" t="s">
        <v>74</v>
      </c>
      <c r="F357" t="s">
        <v>7161</v>
      </c>
      <c r="G357" t="s">
        <v>74</v>
      </c>
      <c r="H357" t="s">
        <v>74</v>
      </c>
      <c r="I357" t="s">
        <v>7162</v>
      </c>
      <c r="J357" t="s">
        <v>468</v>
      </c>
      <c r="K357" t="s">
        <v>74</v>
      </c>
      <c r="L357" t="s">
        <v>74</v>
      </c>
      <c r="M357" t="s">
        <v>78</v>
      </c>
      <c r="N357" t="s">
        <v>79</v>
      </c>
      <c r="O357" t="s">
        <v>74</v>
      </c>
      <c r="P357" t="s">
        <v>74</v>
      </c>
      <c r="Q357" t="s">
        <v>74</v>
      </c>
      <c r="R357" t="s">
        <v>74</v>
      </c>
      <c r="S357" t="s">
        <v>74</v>
      </c>
      <c r="T357" t="s">
        <v>7163</v>
      </c>
      <c r="U357" t="s">
        <v>7164</v>
      </c>
      <c r="V357" t="s">
        <v>7165</v>
      </c>
      <c r="W357" t="s">
        <v>7166</v>
      </c>
      <c r="X357" t="s">
        <v>7167</v>
      </c>
      <c r="Y357" t="s">
        <v>7168</v>
      </c>
      <c r="Z357" t="s">
        <v>7169</v>
      </c>
      <c r="AA357" t="s">
        <v>74</v>
      </c>
      <c r="AB357" t="s">
        <v>7170</v>
      </c>
      <c r="AC357" t="s">
        <v>74</v>
      </c>
      <c r="AD357" t="s">
        <v>74</v>
      </c>
      <c r="AE357" t="s">
        <v>74</v>
      </c>
      <c r="AF357" t="s">
        <v>74</v>
      </c>
      <c r="AG357">
        <v>60</v>
      </c>
      <c r="AH357">
        <v>3</v>
      </c>
      <c r="AI357">
        <v>4</v>
      </c>
      <c r="AJ357">
        <v>4</v>
      </c>
      <c r="AK357">
        <v>44</v>
      </c>
      <c r="AL357" t="s">
        <v>222</v>
      </c>
      <c r="AM357" t="s">
        <v>223</v>
      </c>
      <c r="AN357" t="s">
        <v>224</v>
      </c>
      <c r="AO357" t="s">
        <v>74</v>
      </c>
      <c r="AP357" t="s">
        <v>479</v>
      </c>
      <c r="AQ357" t="s">
        <v>74</v>
      </c>
      <c r="AR357" t="s">
        <v>480</v>
      </c>
      <c r="AS357" t="s">
        <v>481</v>
      </c>
      <c r="AT357" t="s">
        <v>912</v>
      </c>
      <c r="AU357">
        <v>2024</v>
      </c>
      <c r="AV357">
        <v>16</v>
      </c>
      <c r="AW357">
        <v>9</v>
      </c>
      <c r="AX357" t="s">
        <v>74</v>
      </c>
      <c r="AY357" t="s">
        <v>74</v>
      </c>
      <c r="AZ357" t="s">
        <v>74</v>
      </c>
      <c r="BA357" t="s">
        <v>74</v>
      </c>
      <c r="BB357" t="s">
        <v>74</v>
      </c>
      <c r="BC357" t="s">
        <v>74</v>
      </c>
      <c r="BD357">
        <v>3640</v>
      </c>
      <c r="BE357" t="s">
        <v>7171</v>
      </c>
      <c r="BF357" t="str">
        <f>HYPERLINK("http://dx.doi.org/10.3390/su16093640","http://dx.doi.org/10.3390/su16093640")</f>
        <v>http://dx.doi.org/10.3390/su16093640</v>
      </c>
      <c r="BG357" t="s">
        <v>74</v>
      </c>
      <c r="BH357" t="s">
        <v>74</v>
      </c>
      <c r="BI357">
        <v>21</v>
      </c>
      <c r="BJ357" t="s">
        <v>484</v>
      </c>
      <c r="BK357" t="s">
        <v>186</v>
      </c>
      <c r="BL357" t="s">
        <v>485</v>
      </c>
      <c r="BM357" t="s">
        <v>7172</v>
      </c>
      <c r="BN357" t="s">
        <v>74</v>
      </c>
      <c r="BO357" t="s">
        <v>231</v>
      </c>
      <c r="BP357" t="s">
        <v>74</v>
      </c>
      <c r="BQ357" t="s">
        <v>74</v>
      </c>
      <c r="BR357" t="s">
        <v>106</v>
      </c>
      <c r="BS357" t="s">
        <v>7173</v>
      </c>
      <c r="BT357" t="str">
        <f>HYPERLINK("https%3A%2F%2Fwww.webofscience.com%2Fwos%2Fwoscc%2Ffull-record%2FWOS:001219854500001","View Full Record in Web of Science")</f>
        <v>View Full Record in Web of Science</v>
      </c>
    </row>
    <row r="358" spans="1:72" x14ac:dyDescent="0.2">
      <c r="A358" t="s">
        <v>72</v>
      </c>
      <c r="B358" t="s">
        <v>7174</v>
      </c>
      <c r="C358" t="s">
        <v>74</v>
      </c>
      <c r="D358" t="s">
        <v>74</v>
      </c>
      <c r="E358" t="s">
        <v>74</v>
      </c>
      <c r="F358" t="s">
        <v>7175</v>
      </c>
      <c r="G358" t="s">
        <v>74</v>
      </c>
      <c r="H358" t="s">
        <v>74</v>
      </c>
      <c r="I358" t="s">
        <v>7176</v>
      </c>
      <c r="J358" t="s">
        <v>645</v>
      </c>
      <c r="K358" t="s">
        <v>74</v>
      </c>
      <c r="L358" t="s">
        <v>74</v>
      </c>
      <c r="M358" t="s">
        <v>78</v>
      </c>
      <c r="N358" t="s">
        <v>79</v>
      </c>
      <c r="O358" t="s">
        <v>74</v>
      </c>
      <c r="P358" t="s">
        <v>74</v>
      </c>
      <c r="Q358" t="s">
        <v>74</v>
      </c>
      <c r="R358" t="s">
        <v>74</v>
      </c>
      <c r="S358" t="s">
        <v>74</v>
      </c>
      <c r="T358" t="s">
        <v>7177</v>
      </c>
      <c r="U358" t="s">
        <v>74</v>
      </c>
      <c r="V358" t="s">
        <v>7178</v>
      </c>
      <c r="W358" t="s">
        <v>7179</v>
      </c>
      <c r="X358" t="s">
        <v>7180</v>
      </c>
      <c r="Y358" t="s">
        <v>7181</v>
      </c>
      <c r="Z358" t="s">
        <v>7182</v>
      </c>
      <c r="AA358" t="s">
        <v>7183</v>
      </c>
      <c r="AB358" t="s">
        <v>74</v>
      </c>
      <c r="AC358" t="s">
        <v>74</v>
      </c>
      <c r="AD358" t="s">
        <v>74</v>
      </c>
      <c r="AE358" t="s">
        <v>74</v>
      </c>
      <c r="AF358" t="s">
        <v>74</v>
      </c>
      <c r="AG358">
        <v>61</v>
      </c>
      <c r="AH358">
        <v>83</v>
      </c>
      <c r="AI358">
        <v>100</v>
      </c>
      <c r="AJ358">
        <v>23</v>
      </c>
      <c r="AK358">
        <v>251</v>
      </c>
      <c r="AL358" t="s">
        <v>655</v>
      </c>
      <c r="AM358" t="s">
        <v>405</v>
      </c>
      <c r="AN358" t="s">
        <v>656</v>
      </c>
      <c r="AO358" t="s">
        <v>74</v>
      </c>
      <c r="AP358" t="s">
        <v>657</v>
      </c>
      <c r="AQ358" t="s">
        <v>74</v>
      </c>
      <c r="AR358" t="s">
        <v>658</v>
      </c>
      <c r="AS358" t="s">
        <v>659</v>
      </c>
      <c r="AT358" t="s">
        <v>7184</v>
      </c>
      <c r="AU358">
        <v>2022</v>
      </c>
      <c r="AV358">
        <v>10</v>
      </c>
      <c r="AW358" t="s">
        <v>74</v>
      </c>
      <c r="AX358" t="s">
        <v>74</v>
      </c>
      <c r="AY358" t="s">
        <v>74</v>
      </c>
      <c r="AZ358" t="s">
        <v>74</v>
      </c>
      <c r="BA358" t="s">
        <v>74</v>
      </c>
      <c r="BB358" t="s">
        <v>74</v>
      </c>
      <c r="BC358" t="s">
        <v>74</v>
      </c>
      <c r="BD358">
        <v>838686</v>
      </c>
      <c r="BE358" t="s">
        <v>7185</v>
      </c>
      <c r="BF358" t="str">
        <f>HYPERLINK("http://dx.doi.org/10.3389/fenvs.2022.838686","http://dx.doi.org/10.3389/fenvs.2022.838686")</f>
        <v>http://dx.doi.org/10.3389/fenvs.2022.838686</v>
      </c>
      <c r="BG358" t="s">
        <v>74</v>
      </c>
      <c r="BH358" t="s">
        <v>74</v>
      </c>
      <c r="BI358">
        <v>15</v>
      </c>
      <c r="BJ358" t="s">
        <v>567</v>
      </c>
      <c r="BK358" t="s">
        <v>186</v>
      </c>
      <c r="BL358" t="s">
        <v>568</v>
      </c>
      <c r="BM358" t="s">
        <v>7186</v>
      </c>
      <c r="BN358" t="s">
        <v>74</v>
      </c>
      <c r="BO358" t="s">
        <v>161</v>
      </c>
      <c r="BP358" t="s">
        <v>74</v>
      </c>
      <c r="BQ358" t="s">
        <v>74</v>
      </c>
      <c r="BR358" t="s">
        <v>106</v>
      </c>
      <c r="BS358" t="s">
        <v>7187</v>
      </c>
      <c r="BT358" t="str">
        <f>HYPERLINK("https%3A%2F%2Fwww.webofscience.com%2Fwos%2Fwoscc%2Ffull-record%2FWOS:000760835500001","View Full Record in Web of Science")</f>
        <v>View Full Record in Web of Science</v>
      </c>
    </row>
    <row r="359" spans="1:72" x14ac:dyDescent="0.2">
      <c r="A359" t="s">
        <v>72</v>
      </c>
      <c r="B359" t="s">
        <v>7188</v>
      </c>
      <c r="C359" t="s">
        <v>74</v>
      </c>
      <c r="D359" t="s">
        <v>74</v>
      </c>
      <c r="E359" t="s">
        <v>74</v>
      </c>
      <c r="F359" t="s">
        <v>7189</v>
      </c>
      <c r="G359" t="s">
        <v>74</v>
      </c>
      <c r="H359" t="s">
        <v>74</v>
      </c>
      <c r="I359" t="s">
        <v>7190</v>
      </c>
      <c r="J359" t="s">
        <v>546</v>
      </c>
      <c r="K359" t="s">
        <v>74</v>
      </c>
      <c r="L359" t="s">
        <v>74</v>
      </c>
      <c r="M359" t="s">
        <v>78</v>
      </c>
      <c r="N359" t="s">
        <v>79</v>
      </c>
      <c r="O359" t="s">
        <v>74</v>
      </c>
      <c r="P359" t="s">
        <v>74</v>
      </c>
      <c r="Q359" t="s">
        <v>74</v>
      </c>
      <c r="R359" t="s">
        <v>74</v>
      </c>
      <c r="S359" t="s">
        <v>74</v>
      </c>
      <c r="T359" t="s">
        <v>7191</v>
      </c>
      <c r="U359" t="s">
        <v>7192</v>
      </c>
      <c r="V359" t="s">
        <v>7193</v>
      </c>
      <c r="W359" t="s">
        <v>7194</v>
      </c>
      <c r="X359" t="s">
        <v>7195</v>
      </c>
      <c r="Y359" t="s">
        <v>7196</v>
      </c>
      <c r="Z359" t="s">
        <v>7197</v>
      </c>
      <c r="AA359" t="s">
        <v>7198</v>
      </c>
      <c r="AB359" t="s">
        <v>7199</v>
      </c>
      <c r="AC359" t="s">
        <v>74</v>
      </c>
      <c r="AD359" t="s">
        <v>74</v>
      </c>
      <c r="AE359" t="s">
        <v>74</v>
      </c>
      <c r="AF359" t="s">
        <v>74</v>
      </c>
      <c r="AG359">
        <v>70</v>
      </c>
      <c r="AH359">
        <v>26</v>
      </c>
      <c r="AI359">
        <v>26</v>
      </c>
      <c r="AJ359">
        <v>12</v>
      </c>
      <c r="AK359">
        <v>104</v>
      </c>
      <c r="AL359" t="s">
        <v>559</v>
      </c>
      <c r="AM359" t="s">
        <v>93</v>
      </c>
      <c r="AN359" t="s">
        <v>560</v>
      </c>
      <c r="AO359" t="s">
        <v>561</v>
      </c>
      <c r="AP359" t="s">
        <v>562</v>
      </c>
      <c r="AQ359" t="s">
        <v>74</v>
      </c>
      <c r="AR359" t="s">
        <v>563</v>
      </c>
      <c r="AS359" t="s">
        <v>564</v>
      </c>
      <c r="AT359" t="s">
        <v>130</v>
      </c>
      <c r="AU359">
        <v>2022</v>
      </c>
      <c r="AV359">
        <v>307</v>
      </c>
      <c r="AW359" t="s">
        <v>74</v>
      </c>
      <c r="AX359" t="s">
        <v>74</v>
      </c>
      <c r="AY359" t="s">
        <v>74</v>
      </c>
      <c r="AZ359" t="s">
        <v>74</v>
      </c>
      <c r="BA359" t="s">
        <v>74</v>
      </c>
      <c r="BB359" t="s">
        <v>74</v>
      </c>
      <c r="BC359" t="s">
        <v>74</v>
      </c>
      <c r="BD359">
        <v>114505</v>
      </c>
      <c r="BE359" t="s">
        <v>7200</v>
      </c>
      <c r="BF359" t="str">
        <f>HYPERLINK("http://dx.doi.org/10.1016/j.jenvman.2022.114505","http://dx.doi.org/10.1016/j.jenvman.2022.114505")</f>
        <v>http://dx.doi.org/10.1016/j.jenvman.2022.114505</v>
      </c>
      <c r="BG359" t="s">
        <v>74</v>
      </c>
      <c r="BH359" t="s">
        <v>7201</v>
      </c>
      <c r="BI359">
        <v>10</v>
      </c>
      <c r="BJ359" t="s">
        <v>567</v>
      </c>
      <c r="BK359" t="s">
        <v>102</v>
      </c>
      <c r="BL359" t="s">
        <v>568</v>
      </c>
      <c r="BM359" t="s">
        <v>7202</v>
      </c>
      <c r="BN359">
        <v>35085973</v>
      </c>
      <c r="BO359" t="s">
        <v>74</v>
      </c>
      <c r="BP359" t="s">
        <v>74</v>
      </c>
      <c r="BQ359" t="s">
        <v>74</v>
      </c>
      <c r="BR359" t="s">
        <v>106</v>
      </c>
      <c r="BS359" t="s">
        <v>7203</v>
      </c>
      <c r="BT359" t="str">
        <f>HYPERLINK("https%3A%2F%2Fwww.webofscience.com%2Fwos%2Fwoscc%2Ffull-record%2FWOS:000777336900001","View Full Record in Web of Science")</f>
        <v>View Full Record in Web of Science</v>
      </c>
    </row>
    <row r="360" spans="1:72" x14ac:dyDescent="0.2">
      <c r="A360" t="s">
        <v>72</v>
      </c>
      <c r="B360" t="s">
        <v>7204</v>
      </c>
      <c r="C360" t="s">
        <v>74</v>
      </c>
      <c r="D360" t="s">
        <v>74</v>
      </c>
      <c r="E360" t="s">
        <v>74</v>
      </c>
      <c r="F360" t="s">
        <v>7205</v>
      </c>
      <c r="G360" t="s">
        <v>74</v>
      </c>
      <c r="H360" t="s">
        <v>74</v>
      </c>
      <c r="I360" t="s">
        <v>7206</v>
      </c>
      <c r="J360" t="s">
        <v>7089</v>
      </c>
      <c r="K360" t="s">
        <v>74</v>
      </c>
      <c r="L360" t="s">
        <v>74</v>
      </c>
      <c r="M360" t="s">
        <v>78</v>
      </c>
      <c r="N360" t="s">
        <v>79</v>
      </c>
      <c r="O360" t="s">
        <v>74</v>
      </c>
      <c r="P360" t="s">
        <v>74</v>
      </c>
      <c r="Q360" t="s">
        <v>74</v>
      </c>
      <c r="R360" t="s">
        <v>74</v>
      </c>
      <c r="S360" t="s">
        <v>74</v>
      </c>
      <c r="T360" t="s">
        <v>7207</v>
      </c>
      <c r="U360" t="s">
        <v>74</v>
      </c>
      <c r="V360" t="s">
        <v>7208</v>
      </c>
      <c r="W360" t="s">
        <v>7209</v>
      </c>
      <c r="X360" t="s">
        <v>7210</v>
      </c>
      <c r="Y360" t="s">
        <v>7211</v>
      </c>
      <c r="Z360" t="s">
        <v>74</v>
      </c>
      <c r="AA360" t="s">
        <v>74</v>
      </c>
      <c r="AB360" t="s">
        <v>74</v>
      </c>
      <c r="AC360" t="s">
        <v>7212</v>
      </c>
      <c r="AD360" t="s">
        <v>7213</v>
      </c>
      <c r="AE360" t="s">
        <v>7214</v>
      </c>
      <c r="AF360" t="s">
        <v>74</v>
      </c>
      <c r="AG360">
        <v>15</v>
      </c>
      <c r="AH360">
        <v>1</v>
      </c>
      <c r="AI360">
        <v>1</v>
      </c>
      <c r="AJ360">
        <v>5</v>
      </c>
      <c r="AK360">
        <v>49</v>
      </c>
      <c r="AL360" t="s">
        <v>7099</v>
      </c>
      <c r="AM360" t="s">
        <v>7100</v>
      </c>
      <c r="AN360" t="s">
        <v>7101</v>
      </c>
      <c r="AO360" t="s">
        <v>7102</v>
      </c>
      <c r="AP360" t="s">
        <v>7103</v>
      </c>
      <c r="AQ360" t="s">
        <v>74</v>
      </c>
      <c r="AR360" t="s">
        <v>7104</v>
      </c>
      <c r="AS360" t="s">
        <v>7105</v>
      </c>
      <c r="AT360" t="s">
        <v>7215</v>
      </c>
      <c r="AU360">
        <v>2017</v>
      </c>
      <c r="AV360">
        <v>28</v>
      </c>
      <c r="AW360">
        <v>3</v>
      </c>
      <c r="AX360" t="s">
        <v>74</v>
      </c>
      <c r="AY360" t="s">
        <v>74</v>
      </c>
      <c r="AZ360" t="s">
        <v>74</v>
      </c>
      <c r="BA360" t="s">
        <v>74</v>
      </c>
      <c r="BB360">
        <v>362</v>
      </c>
      <c r="BC360">
        <v>366</v>
      </c>
      <c r="BD360" t="s">
        <v>74</v>
      </c>
      <c r="BE360" t="s">
        <v>74</v>
      </c>
      <c r="BF360" t="s">
        <v>74</v>
      </c>
      <c r="BG360" t="s">
        <v>74</v>
      </c>
      <c r="BH360" t="s">
        <v>74</v>
      </c>
      <c r="BI360">
        <v>5</v>
      </c>
      <c r="BJ360" t="s">
        <v>2518</v>
      </c>
      <c r="BK360" t="s">
        <v>186</v>
      </c>
      <c r="BL360" t="s">
        <v>2518</v>
      </c>
      <c r="BM360" t="s">
        <v>7216</v>
      </c>
      <c r="BN360" t="s">
        <v>74</v>
      </c>
      <c r="BO360" t="s">
        <v>74</v>
      </c>
      <c r="BP360" t="s">
        <v>74</v>
      </c>
      <c r="BQ360" t="s">
        <v>74</v>
      </c>
      <c r="BR360" t="s">
        <v>106</v>
      </c>
      <c r="BS360" t="s">
        <v>7217</v>
      </c>
      <c r="BT360" t="str">
        <f>HYPERLINK("https%3A%2F%2Fwww.webofscience.com%2Fwos%2Fwoscc%2Ffull-record%2FWOS:000405993100075","View Full Record in Web of Science")</f>
        <v>View Full Record in Web of Science</v>
      </c>
    </row>
    <row r="361" spans="1:72" x14ac:dyDescent="0.2">
      <c r="A361" t="s">
        <v>72</v>
      </c>
      <c r="B361" t="s">
        <v>7218</v>
      </c>
      <c r="C361" t="s">
        <v>74</v>
      </c>
      <c r="D361" t="s">
        <v>74</v>
      </c>
      <c r="E361" t="s">
        <v>74</v>
      </c>
      <c r="F361" t="s">
        <v>7219</v>
      </c>
      <c r="G361" t="s">
        <v>74</v>
      </c>
      <c r="H361" t="s">
        <v>74</v>
      </c>
      <c r="I361" t="s">
        <v>7220</v>
      </c>
      <c r="J361" t="s">
        <v>870</v>
      </c>
      <c r="K361" t="s">
        <v>74</v>
      </c>
      <c r="L361" t="s">
        <v>74</v>
      </c>
      <c r="M361" t="s">
        <v>78</v>
      </c>
      <c r="N361" t="s">
        <v>79</v>
      </c>
      <c r="O361" t="s">
        <v>74</v>
      </c>
      <c r="P361" t="s">
        <v>74</v>
      </c>
      <c r="Q361" t="s">
        <v>74</v>
      </c>
      <c r="R361" t="s">
        <v>74</v>
      </c>
      <c r="S361" t="s">
        <v>74</v>
      </c>
      <c r="T361" t="s">
        <v>7221</v>
      </c>
      <c r="U361" t="s">
        <v>7222</v>
      </c>
      <c r="V361" t="s">
        <v>7223</v>
      </c>
      <c r="W361" t="s">
        <v>7224</v>
      </c>
      <c r="X361" t="s">
        <v>7225</v>
      </c>
      <c r="Y361" t="s">
        <v>7226</v>
      </c>
      <c r="Z361" t="s">
        <v>7227</v>
      </c>
      <c r="AA361" t="s">
        <v>7228</v>
      </c>
      <c r="AB361" t="s">
        <v>7229</v>
      </c>
      <c r="AC361" t="s">
        <v>7230</v>
      </c>
      <c r="AD361" t="s">
        <v>7231</v>
      </c>
      <c r="AE361" t="s">
        <v>7232</v>
      </c>
      <c r="AF361" t="s">
        <v>74</v>
      </c>
      <c r="AG361">
        <v>42</v>
      </c>
      <c r="AH361">
        <v>25</v>
      </c>
      <c r="AI361">
        <v>25</v>
      </c>
      <c r="AJ361">
        <v>0</v>
      </c>
      <c r="AK361">
        <v>16</v>
      </c>
      <c r="AL361" t="s">
        <v>247</v>
      </c>
      <c r="AM361" t="s">
        <v>248</v>
      </c>
      <c r="AN361" t="s">
        <v>249</v>
      </c>
      <c r="AO361" t="s">
        <v>883</v>
      </c>
      <c r="AP361" t="s">
        <v>884</v>
      </c>
      <c r="AQ361" t="s">
        <v>74</v>
      </c>
      <c r="AR361" t="s">
        <v>885</v>
      </c>
      <c r="AS361" t="s">
        <v>886</v>
      </c>
      <c r="AT361" t="s">
        <v>183</v>
      </c>
      <c r="AU361">
        <v>2015</v>
      </c>
      <c r="AV361">
        <v>7</v>
      </c>
      <c r="AW361">
        <v>4</v>
      </c>
      <c r="AX361" t="s">
        <v>74</v>
      </c>
      <c r="AY361" t="s">
        <v>74</v>
      </c>
      <c r="AZ361" t="s">
        <v>74</v>
      </c>
      <c r="BA361" t="s">
        <v>74</v>
      </c>
      <c r="BB361">
        <v>785</v>
      </c>
      <c r="BC361">
        <v>796</v>
      </c>
      <c r="BD361" t="s">
        <v>74</v>
      </c>
      <c r="BE361" t="s">
        <v>7233</v>
      </c>
      <c r="BF361" t="str">
        <f>HYPERLINK("http://dx.doi.org/10.1111/gcbb.12174","http://dx.doi.org/10.1111/gcbb.12174")</f>
        <v>http://dx.doi.org/10.1111/gcbb.12174</v>
      </c>
      <c r="BG361" t="s">
        <v>74</v>
      </c>
      <c r="BH361" t="s">
        <v>74</v>
      </c>
      <c r="BI361">
        <v>12</v>
      </c>
      <c r="BJ361" t="s">
        <v>889</v>
      </c>
      <c r="BK361" t="s">
        <v>102</v>
      </c>
      <c r="BL361" t="s">
        <v>890</v>
      </c>
      <c r="BM361" t="s">
        <v>7234</v>
      </c>
      <c r="BN361" t="s">
        <v>74</v>
      </c>
      <c r="BO361" t="s">
        <v>74</v>
      </c>
      <c r="BP361" t="s">
        <v>74</v>
      </c>
      <c r="BQ361" t="s">
        <v>74</v>
      </c>
      <c r="BR361" t="s">
        <v>106</v>
      </c>
      <c r="BS361" t="s">
        <v>7235</v>
      </c>
      <c r="BT361" t="str">
        <f>HYPERLINK("https%3A%2F%2Fwww.webofscience.com%2Fwos%2Fwoscc%2Ffull-record%2FWOS:000356491400020","View Full Record in Web of Science")</f>
        <v>View Full Record in Web of Science</v>
      </c>
    </row>
    <row r="362" spans="1:72" x14ac:dyDescent="0.2">
      <c r="A362" t="s">
        <v>72</v>
      </c>
      <c r="B362" t="s">
        <v>7236</v>
      </c>
      <c r="C362" t="s">
        <v>74</v>
      </c>
      <c r="D362" t="s">
        <v>74</v>
      </c>
      <c r="E362" t="s">
        <v>74</v>
      </c>
      <c r="F362" t="s">
        <v>7237</v>
      </c>
      <c r="G362" t="s">
        <v>74</v>
      </c>
      <c r="H362" t="s">
        <v>74</v>
      </c>
      <c r="I362" t="s">
        <v>7238</v>
      </c>
      <c r="J362" t="s">
        <v>3413</v>
      </c>
      <c r="K362" t="s">
        <v>74</v>
      </c>
      <c r="L362" t="s">
        <v>74</v>
      </c>
      <c r="M362" t="s">
        <v>78</v>
      </c>
      <c r="N362" t="s">
        <v>79</v>
      </c>
      <c r="O362" t="s">
        <v>74</v>
      </c>
      <c r="P362" t="s">
        <v>74</v>
      </c>
      <c r="Q362" t="s">
        <v>74</v>
      </c>
      <c r="R362" t="s">
        <v>74</v>
      </c>
      <c r="S362" t="s">
        <v>74</v>
      </c>
      <c r="T362" t="s">
        <v>7239</v>
      </c>
      <c r="U362" t="s">
        <v>74</v>
      </c>
      <c r="V362" t="s">
        <v>7240</v>
      </c>
      <c r="W362" t="s">
        <v>7241</v>
      </c>
      <c r="X362" t="s">
        <v>7242</v>
      </c>
      <c r="Y362" t="s">
        <v>4126</v>
      </c>
      <c r="Z362" t="s">
        <v>7243</v>
      </c>
      <c r="AA362" t="s">
        <v>7244</v>
      </c>
      <c r="AB362" t="s">
        <v>7245</v>
      </c>
      <c r="AC362" t="s">
        <v>74</v>
      </c>
      <c r="AD362" t="s">
        <v>74</v>
      </c>
      <c r="AE362" t="s">
        <v>74</v>
      </c>
      <c r="AF362" t="s">
        <v>74</v>
      </c>
      <c r="AG362">
        <v>65</v>
      </c>
      <c r="AH362">
        <v>178</v>
      </c>
      <c r="AI362">
        <v>203</v>
      </c>
      <c r="AJ362">
        <v>5</v>
      </c>
      <c r="AK362">
        <v>196</v>
      </c>
      <c r="AL362" t="s">
        <v>123</v>
      </c>
      <c r="AM362" t="s">
        <v>124</v>
      </c>
      <c r="AN362" t="s">
        <v>125</v>
      </c>
      <c r="AO362" t="s">
        <v>3425</v>
      </c>
      <c r="AP362" t="s">
        <v>3426</v>
      </c>
      <c r="AQ362" t="s">
        <v>74</v>
      </c>
      <c r="AR362" t="s">
        <v>3427</v>
      </c>
      <c r="AS362" t="s">
        <v>3428</v>
      </c>
      <c r="AT362" t="s">
        <v>281</v>
      </c>
      <c r="AU362">
        <v>2021</v>
      </c>
      <c r="AV362">
        <v>125</v>
      </c>
      <c r="AW362" t="s">
        <v>74</v>
      </c>
      <c r="AX362" t="s">
        <v>74</v>
      </c>
      <c r="AY362" t="s">
        <v>74</v>
      </c>
      <c r="AZ362" t="s">
        <v>74</v>
      </c>
      <c r="BA362" t="s">
        <v>74</v>
      </c>
      <c r="BB362" t="s">
        <v>74</v>
      </c>
      <c r="BC362" t="s">
        <v>74</v>
      </c>
      <c r="BD362">
        <v>107460</v>
      </c>
      <c r="BE362" t="s">
        <v>7246</v>
      </c>
      <c r="BF362" t="str">
        <f>HYPERLINK("http://dx.doi.org/10.1016/j.ecolind.2021.107460","http://dx.doi.org/10.1016/j.ecolind.2021.107460")</f>
        <v>http://dx.doi.org/10.1016/j.ecolind.2021.107460</v>
      </c>
      <c r="BG362" t="s">
        <v>74</v>
      </c>
      <c r="BH362" t="s">
        <v>4131</v>
      </c>
      <c r="BI362">
        <v>11</v>
      </c>
      <c r="BJ362" t="s">
        <v>3430</v>
      </c>
      <c r="BK362" t="s">
        <v>186</v>
      </c>
      <c r="BL362" t="s">
        <v>756</v>
      </c>
      <c r="BM362" t="s">
        <v>7247</v>
      </c>
      <c r="BN362" t="s">
        <v>74</v>
      </c>
      <c r="BO362" t="s">
        <v>161</v>
      </c>
      <c r="BP362" t="s">
        <v>4815</v>
      </c>
      <c r="BQ362" t="s">
        <v>4816</v>
      </c>
      <c r="BR362" t="s">
        <v>106</v>
      </c>
      <c r="BS362" t="s">
        <v>7248</v>
      </c>
      <c r="BT362" t="str">
        <f>HYPERLINK("https%3A%2F%2Fwww.webofscience.com%2Fwos%2Fwoscc%2Ffull-record%2FWOS:000636843600004","View Full Record in Web of Science")</f>
        <v>View Full Record in Web of Science</v>
      </c>
    </row>
    <row r="363" spans="1:72" x14ac:dyDescent="0.2">
      <c r="A363" t="s">
        <v>72</v>
      </c>
      <c r="B363" t="s">
        <v>7249</v>
      </c>
      <c r="C363" t="s">
        <v>74</v>
      </c>
      <c r="D363" t="s">
        <v>74</v>
      </c>
      <c r="E363" t="s">
        <v>74</v>
      </c>
      <c r="F363" t="s">
        <v>7250</v>
      </c>
      <c r="G363" t="s">
        <v>74</v>
      </c>
      <c r="H363" t="s">
        <v>74</v>
      </c>
      <c r="I363" t="s">
        <v>7251</v>
      </c>
      <c r="J363" t="s">
        <v>4459</v>
      </c>
      <c r="K363" t="s">
        <v>74</v>
      </c>
      <c r="L363" t="s">
        <v>74</v>
      </c>
      <c r="M363" t="s">
        <v>78</v>
      </c>
      <c r="N363" t="s">
        <v>79</v>
      </c>
      <c r="O363" t="s">
        <v>74</v>
      </c>
      <c r="P363" t="s">
        <v>74</v>
      </c>
      <c r="Q363" t="s">
        <v>74</v>
      </c>
      <c r="R363" t="s">
        <v>74</v>
      </c>
      <c r="S363" t="s">
        <v>74</v>
      </c>
      <c r="T363" t="s">
        <v>7252</v>
      </c>
      <c r="U363" t="s">
        <v>7253</v>
      </c>
      <c r="V363" t="s">
        <v>7254</v>
      </c>
      <c r="W363" t="s">
        <v>7255</v>
      </c>
      <c r="X363" t="s">
        <v>7256</v>
      </c>
      <c r="Y363" t="s">
        <v>7257</v>
      </c>
      <c r="Z363" t="s">
        <v>7258</v>
      </c>
      <c r="AA363" t="s">
        <v>7259</v>
      </c>
      <c r="AB363" t="s">
        <v>7260</v>
      </c>
      <c r="AC363" t="s">
        <v>7261</v>
      </c>
      <c r="AD363" t="s">
        <v>7261</v>
      </c>
      <c r="AE363" t="s">
        <v>7262</v>
      </c>
      <c r="AF363" t="s">
        <v>74</v>
      </c>
      <c r="AG363">
        <v>51</v>
      </c>
      <c r="AH363">
        <v>5</v>
      </c>
      <c r="AI363">
        <v>6</v>
      </c>
      <c r="AJ363">
        <v>7</v>
      </c>
      <c r="AK363">
        <v>29</v>
      </c>
      <c r="AL363" t="s">
        <v>4471</v>
      </c>
      <c r="AM363" t="s">
        <v>4472</v>
      </c>
      <c r="AN363" t="s">
        <v>4473</v>
      </c>
      <c r="AO363" t="s">
        <v>4474</v>
      </c>
      <c r="AP363" t="s">
        <v>4475</v>
      </c>
      <c r="AQ363" t="s">
        <v>74</v>
      </c>
      <c r="AR363" t="s">
        <v>4476</v>
      </c>
      <c r="AS363" t="s">
        <v>4477</v>
      </c>
      <c r="AT363" t="s">
        <v>7263</v>
      </c>
      <c r="AU363">
        <v>2022</v>
      </c>
      <c r="AV363">
        <v>46</v>
      </c>
      <c r="AW363">
        <v>8</v>
      </c>
      <c r="AX363" t="s">
        <v>74</v>
      </c>
      <c r="AY363" t="s">
        <v>74</v>
      </c>
      <c r="AZ363" t="s">
        <v>74</v>
      </c>
      <c r="BA363" t="s">
        <v>74</v>
      </c>
      <c r="BB363">
        <v>1173</v>
      </c>
      <c r="BC363">
        <v>1197</v>
      </c>
      <c r="BD363" t="s">
        <v>74</v>
      </c>
      <c r="BE363" t="s">
        <v>7264</v>
      </c>
      <c r="BF363" t="str">
        <f>HYPERLINK("http://dx.doi.org/10.1080/21683565.2022.2106009","http://dx.doi.org/10.1080/21683565.2022.2106009")</f>
        <v>http://dx.doi.org/10.1080/21683565.2022.2106009</v>
      </c>
      <c r="BG363" t="s">
        <v>74</v>
      </c>
      <c r="BH363" t="s">
        <v>1014</v>
      </c>
      <c r="BI363">
        <v>25</v>
      </c>
      <c r="BJ363" t="s">
        <v>1846</v>
      </c>
      <c r="BK363" t="s">
        <v>102</v>
      </c>
      <c r="BL363" t="s">
        <v>1847</v>
      </c>
      <c r="BM363" t="s">
        <v>7265</v>
      </c>
      <c r="BN363" t="s">
        <v>74</v>
      </c>
      <c r="BO363" t="s">
        <v>74</v>
      </c>
      <c r="BP363" t="s">
        <v>74</v>
      </c>
      <c r="BQ363" t="s">
        <v>74</v>
      </c>
      <c r="BR363" t="s">
        <v>106</v>
      </c>
      <c r="BS363" t="s">
        <v>7266</v>
      </c>
      <c r="BT363" t="str">
        <f>HYPERLINK("https%3A%2F%2Fwww.webofscience.com%2Fwos%2Fwoscc%2Ffull-record%2FWOS:000831151900001","View Full Record in Web of Science")</f>
        <v>View Full Record in Web of Science</v>
      </c>
    </row>
    <row r="364" spans="1:72" x14ac:dyDescent="0.2">
      <c r="A364" t="s">
        <v>72</v>
      </c>
      <c r="B364" t="s">
        <v>7267</v>
      </c>
      <c r="C364" t="s">
        <v>74</v>
      </c>
      <c r="D364" t="s">
        <v>74</v>
      </c>
      <c r="E364" t="s">
        <v>74</v>
      </c>
      <c r="F364" t="s">
        <v>7268</v>
      </c>
      <c r="G364" t="s">
        <v>74</v>
      </c>
      <c r="H364" t="s">
        <v>74</v>
      </c>
      <c r="I364" t="s">
        <v>7269</v>
      </c>
      <c r="J364" t="s">
        <v>5444</v>
      </c>
      <c r="K364" t="s">
        <v>74</v>
      </c>
      <c r="L364" t="s">
        <v>74</v>
      </c>
      <c r="M364" t="s">
        <v>78</v>
      </c>
      <c r="N364" t="s">
        <v>79</v>
      </c>
      <c r="O364" t="s">
        <v>74</v>
      </c>
      <c r="P364" t="s">
        <v>74</v>
      </c>
      <c r="Q364" t="s">
        <v>74</v>
      </c>
      <c r="R364" t="s">
        <v>74</v>
      </c>
      <c r="S364" t="s">
        <v>74</v>
      </c>
      <c r="T364" t="s">
        <v>7270</v>
      </c>
      <c r="U364" t="s">
        <v>7271</v>
      </c>
      <c r="V364" t="s">
        <v>7272</v>
      </c>
      <c r="W364" t="s">
        <v>7273</v>
      </c>
      <c r="X364" t="s">
        <v>7274</v>
      </c>
      <c r="Y364" t="s">
        <v>7275</v>
      </c>
      <c r="Z364" t="s">
        <v>7276</v>
      </c>
      <c r="AA364" t="s">
        <v>7277</v>
      </c>
      <c r="AB364" t="s">
        <v>7278</v>
      </c>
      <c r="AC364" t="s">
        <v>7279</v>
      </c>
      <c r="AD364" t="s">
        <v>7280</v>
      </c>
      <c r="AE364" t="s">
        <v>7281</v>
      </c>
      <c r="AF364" t="s">
        <v>74</v>
      </c>
      <c r="AG364">
        <v>69</v>
      </c>
      <c r="AH364">
        <v>36</v>
      </c>
      <c r="AI364">
        <v>42</v>
      </c>
      <c r="AJ364">
        <v>0</v>
      </c>
      <c r="AK364">
        <v>43</v>
      </c>
      <c r="AL364" t="s">
        <v>176</v>
      </c>
      <c r="AM364" t="s">
        <v>177</v>
      </c>
      <c r="AN364" t="s">
        <v>178</v>
      </c>
      <c r="AO364" t="s">
        <v>5457</v>
      </c>
      <c r="AP364" t="s">
        <v>5458</v>
      </c>
      <c r="AQ364" t="s">
        <v>74</v>
      </c>
      <c r="AR364" t="s">
        <v>5459</v>
      </c>
      <c r="AS364" t="s">
        <v>5460</v>
      </c>
      <c r="AT364" t="s">
        <v>411</v>
      </c>
      <c r="AU364">
        <v>2015</v>
      </c>
      <c r="AV364">
        <v>154</v>
      </c>
      <c r="AW364" t="s">
        <v>74</v>
      </c>
      <c r="AX364" t="s">
        <v>74</v>
      </c>
      <c r="AY364" t="s">
        <v>74</v>
      </c>
      <c r="AZ364" t="s">
        <v>74</v>
      </c>
      <c r="BA364" t="s">
        <v>74</v>
      </c>
      <c r="BB364">
        <v>122</v>
      </c>
      <c r="BC364">
        <v>130</v>
      </c>
      <c r="BD364" t="s">
        <v>74</v>
      </c>
      <c r="BE364" t="s">
        <v>7282</v>
      </c>
      <c r="BF364" t="str">
        <f>HYPERLINK("http://dx.doi.org/10.1016/j.apenergy.2015.04.097","http://dx.doi.org/10.1016/j.apenergy.2015.04.097")</f>
        <v>http://dx.doi.org/10.1016/j.apenergy.2015.04.097</v>
      </c>
      <c r="BG364" t="s">
        <v>74</v>
      </c>
      <c r="BH364" t="s">
        <v>74</v>
      </c>
      <c r="BI364">
        <v>9</v>
      </c>
      <c r="BJ364" t="s">
        <v>2979</v>
      </c>
      <c r="BK364" t="s">
        <v>102</v>
      </c>
      <c r="BL364" t="s">
        <v>2980</v>
      </c>
      <c r="BM364" t="s">
        <v>7283</v>
      </c>
      <c r="BN364" t="s">
        <v>74</v>
      </c>
      <c r="BO364" t="s">
        <v>2296</v>
      </c>
      <c r="BP364" t="s">
        <v>74</v>
      </c>
      <c r="BQ364" t="s">
        <v>74</v>
      </c>
      <c r="BR364" t="s">
        <v>106</v>
      </c>
      <c r="BS364" t="s">
        <v>7284</v>
      </c>
      <c r="BT364" t="str">
        <f>HYPERLINK("https%3A%2F%2Fwww.webofscience.com%2Fwos%2Fwoscc%2Ffull-record%2FWOS:000359875100013","View Full Record in Web of Science")</f>
        <v>View Full Record in Web of Science</v>
      </c>
    </row>
    <row r="365" spans="1:72" x14ac:dyDescent="0.2">
      <c r="A365" t="s">
        <v>72</v>
      </c>
      <c r="B365" t="s">
        <v>7285</v>
      </c>
      <c r="C365" t="s">
        <v>74</v>
      </c>
      <c r="D365" t="s">
        <v>74</v>
      </c>
      <c r="E365" t="s">
        <v>74</v>
      </c>
      <c r="F365" t="s">
        <v>7286</v>
      </c>
      <c r="G365" t="s">
        <v>74</v>
      </c>
      <c r="H365" t="s">
        <v>74</v>
      </c>
      <c r="I365" t="s">
        <v>7287</v>
      </c>
      <c r="J365" t="s">
        <v>7288</v>
      </c>
      <c r="K365" t="s">
        <v>74</v>
      </c>
      <c r="L365" t="s">
        <v>74</v>
      </c>
      <c r="M365" t="s">
        <v>78</v>
      </c>
      <c r="N365" t="s">
        <v>79</v>
      </c>
      <c r="O365" t="s">
        <v>74</v>
      </c>
      <c r="P365" t="s">
        <v>74</v>
      </c>
      <c r="Q365" t="s">
        <v>74</v>
      </c>
      <c r="R365" t="s">
        <v>74</v>
      </c>
      <c r="S365" t="s">
        <v>74</v>
      </c>
      <c r="T365" t="s">
        <v>7289</v>
      </c>
      <c r="U365" t="s">
        <v>7290</v>
      </c>
      <c r="V365" t="s">
        <v>7291</v>
      </c>
      <c r="W365" t="s">
        <v>7292</v>
      </c>
      <c r="X365" t="s">
        <v>7293</v>
      </c>
      <c r="Y365" t="s">
        <v>7294</v>
      </c>
      <c r="Z365" t="s">
        <v>7295</v>
      </c>
      <c r="AA365" t="s">
        <v>7296</v>
      </c>
      <c r="AB365" t="s">
        <v>74</v>
      </c>
      <c r="AC365" t="s">
        <v>7297</v>
      </c>
      <c r="AD365" t="s">
        <v>7298</v>
      </c>
      <c r="AE365" t="s">
        <v>7299</v>
      </c>
      <c r="AF365" t="s">
        <v>74</v>
      </c>
      <c r="AG365">
        <v>27</v>
      </c>
      <c r="AH365">
        <v>15</v>
      </c>
      <c r="AI365">
        <v>18</v>
      </c>
      <c r="AJ365">
        <v>5</v>
      </c>
      <c r="AK365">
        <v>162</v>
      </c>
      <c r="AL365" t="s">
        <v>247</v>
      </c>
      <c r="AM365" t="s">
        <v>248</v>
      </c>
      <c r="AN365" t="s">
        <v>249</v>
      </c>
      <c r="AO365" t="s">
        <v>7300</v>
      </c>
      <c r="AP365" t="s">
        <v>7301</v>
      </c>
      <c r="AQ365" t="s">
        <v>74</v>
      </c>
      <c r="AR365" t="s">
        <v>7302</v>
      </c>
      <c r="AS365" t="s">
        <v>7303</v>
      </c>
      <c r="AT365" t="s">
        <v>1109</v>
      </c>
      <c r="AU365">
        <v>2020</v>
      </c>
      <c r="AV365">
        <v>34</v>
      </c>
      <c r="AW365" t="s">
        <v>74</v>
      </c>
      <c r="AX365" t="s">
        <v>74</v>
      </c>
      <c r="AY365">
        <v>1</v>
      </c>
      <c r="AZ365" t="s">
        <v>74</v>
      </c>
      <c r="BA365" t="s">
        <v>74</v>
      </c>
      <c r="BB365">
        <v>121</v>
      </c>
      <c r="BC365">
        <v>130</v>
      </c>
      <c r="BD365" t="s">
        <v>74</v>
      </c>
      <c r="BE365" t="s">
        <v>7304</v>
      </c>
      <c r="BF365" t="str">
        <f>HYPERLINK("http://dx.doi.org/10.1111/wej.12511","http://dx.doi.org/10.1111/wej.12511")</f>
        <v>http://dx.doi.org/10.1111/wej.12511</v>
      </c>
      <c r="BG365" t="s">
        <v>74</v>
      </c>
      <c r="BH365" t="s">
        <v>7305</v>
      </c>
      <c r="BI365">
        <v>10</v>
      </c>
      <c r="BJ365" t="s">
        <v>7306</v>
      </c>
      <c r="BK365" t="s">
        <v>102</v>
      </c>
      <c r="BL365" t="s">
        <v>7307</v>
      </c>
      <c r="BM365" t="s">
        <v>7308</v>
      </c>
      <c r="BN365" t="s">
        <v>74</v>
      </c>
      <c r="BO365" t="s">
        <v>74</v>
      </c>
      <c r="BP365" t="s">
        <v>74</v>
      </c>
      <c r="BQ365" t="s">
        <v>74</v>
      </c>
      <c r="BR365" t="s">
        <v>106</v>
      </c>
      <c r="BS365" t="s">
        <v>7309</v>
      </c>
      <c r="BT365" t="str">
        <f>HYPERLINK("https%3A%2F%2Fwww.webofscience.com%2Fwos%2Fwoscc%2Ffull-record%2FWOS:000485118100001","View Full Record in Web of Science")</f>
        <v>View Full Record in Web of Science</v>
      </c>
    </row>
    <row r="366" spans="1:72" x14ac:dyDescent="0.2">
      <c r="A366" t="s">
        <v>72</v>
      </c>
      <c r="B366" t="s">
        <v>7310</v>
      </c>
      <c r="C366" t="s">
        <v>74</v>
      </c>
      <c r="D366" t="s">
        <v>74</v>
      </c>
      <c r="E366" t="s">
        <v>74</v>
      </c>
      <c r="F366" t="s">
        <v>7311</v>
      </c>
      <c r="G366" t="s">
        <v>74</v>
      </c>
      <c r="H366" t="s">
        <v>74</v>
      </c>
      <c r="I366" t="s">
        <v>7312</v>
      </c>
      <c r="J366" t="s">
        <v>7313</v>
      </c>
      <c r="K366" t="s">
        <v>74</v>
      </c>
      <c r="L366" t="s">
        <v>74</v>
      </c>
      <c r="M366" t="s">
        <v>78</v>
      </c>
      <c r="N366" t="s">
        <v>79</v>
      </c>
      <c r="O366" t="s">
        <v>74</v>
      </c>
      <c r="P366" t="s">
        <v>74</v>
      </c>
      <c r="Q366" t="s">
        <v>74</v>
      </c>
      <c r="R366" t="s">
        <v>74</v>
      </c>
      <c r="S366" t="s">
        <v>74</v>
      </c>
      <c r="T366" t="s">
        <v>74</v>
      </c>
      <c r="U366" t="s">
        <v>7314</v>
      </c>
      <c r="V366" t="s">
        <v>7315</v>
      </c>
      <c r="W366" t="s">
        <v>7316</v>
      </c>
      <c r="X366" t="s">
        <v>7317</v>
      </c>
      <c r="Y366" t="s">
        <v>7318</v>
      </c>
      <c r="Z366" t="s">
        <v>7319</v>
      </c>
      <c r="AA366" t="s">
        <v>7320</v>
      </c>
      <c r="AB366" t="s">
        <v>7321</v>
      </c>
      <c r="AC366" t="s">
        <v>7322</v>
      </c>
      <c r="AD366" t="s">
        <v>7322</v>
      </c>
      <c r="AE366" t="s">
        <v>7323</v>
      </c>
      <c r="AF366" t="s">
        <v>74</v>
      </c>
      <c r="AG366">
        <v>56</v>
      </c>
      <c r="AH366">
        <v>64</v>
      </c>
      <c r="AI366">
        <v>67</v>
      </c>
      <c r="AJ366">
        <v>3</v>
      </c>
      <c r="AK366">
        <v>41</v>
      </c>
      <c r="AL366" t="s">
        <v>7324</v>
      </c>
      <c r="AM366" t="s">
        <v>1996</v>
      </c>
      <c r="AN366" t="s">
        <v>7325</v>
      </c>
      <c r="AO366" t="s">
        <v>7326</v>
      </c>
      <c r="AP366" t="s">
        <v>7327</v>
      </c>
      <c r="AQ366" t="s">
        <v>74</v>
      </c>
      <c r="AR366" t="s">
        <v>7328</v>
      </c>
      <c r="AS366" t="s">
        <v>7329</v>
      </c>
      <c r="AT366" t="s">
        <v>2017</v>
      </c>
      <c r="AU366">
        <v>2014</v>
      </c>
      <c r="AV366">
        <v>16</v>
      </c>
      <c r="AW366">
        <v>10</v>
      </c>
      <c r="AX366" t="s">
        <v>74</v>
      </c>
      <c r="AY366" t="s">
        <v>74</v>
      </c>
      <c r="AZ366" t="s">
        <v>74</v>
      </c>
      <c r="BA366" t="s">
        <v>74</v>
      </c>
      <c r="BB366">
        <v>2371</v>
      </c>
      <c r="BC366">
        <v>2379</v>
      </c>
      <c r="BD366" t="s">
        <v>74</v>
      </c>
      <c r="BE366" t="s">
        <v>7330</v>
      </c>
      <c r="BF366" t="str">
        <f>HYPERLINK("http://dx.doi.org/10.1039/c4em00307a","http://dx.doi.org/10.1039/c4em00307a")</f>
        <v>http://dx.doi.org/10.1039/c4em00307a</v>
      </c>
      <c r="BG366" t="s">
        <v>74</v>
      </c>
      <c r="BH366" t="s">
        <v>74</v>
      </c>
      <c r="BI366">
        <v>9</v>
      </c>
      <c r="BJ366" t="s">
        <v>7331</v>
      </c>
      <c r="BK366" t="s">
        <v>102</v>
      </c>
      <c r="BL366" t="s">
        <v>7332</v>
      </c>
      <c r="BM366" t="s">
        <v>7333</v>
      </c>
      <c r="BN366">
        <v>25124269</v>
      </c>
      <c r="BO366" t="s">
        <v>74</v>
      </c>
      <c r="BP366" t="s">
        <v>74</v>
      </c>
      <c r="BQ366" t="s">
        <v>74</v>
      </c>
      <c r="BR366" t="s">
        <v>106</v>
      </c>
      <c r="BS366" t="s">
        <v>7334</v>
      </c>
      <c r="BT366" t="str">
        <f>HYPERLINK("https%3A%2F%2Fwww.webofscience.com%2Fwos%2Fwoscc%2Ffull-record%2FWOS:000343196600015","View Full Record in Web of Science")</f>
        <v>View Full Record in Web of Science</v>
      </c>
    </row>
    <row r="367" spans="1:72" x14ac:dyDescent="0.2">
      <c r="A367" t="s">
        <v>72</v>
      </c>
      <c r="B367" t="s">
        <v>7335</v>
      </c>
      <c r="C367" t="s">
        <v>74</v>
      </c>
      <c r="D367" t="s">
        <v>74</v>
      </c>
      <c r="E367" t="s">
        <v>74</v>
      </c>
      <c r="F367" t="s">
        <v>7336</v>
      </c>
      <c r="G367" t="s">
        <v>74</v>
      </c>
      <c r="H367" t="s">
        <v>74</v>
      </c>
      <c r="I367" t="s">
        <v>7337</v>
      </c>
      <c r="J367" t="s">
        <v>6869</v>
      </c>
      <c r="K367" t="s">
        <v>74</v>
      </c>
      <c r="L367" t="s">
        <v>74</v>
      </c>
      <c r="M367" t="s">
        <v>78</v>
      </c>
      <c r="N367" t="s">
        <v>79</v>
      </c>
      <c r="O367" t="s">
        <v>74</v>
      </c>
      <c r="P367" t="s">
        <v>74</v>
      </c>
      <c r="Q367" t="s">
        <v>74</v>
      </c>
      <c r="R367" t="s">
        <v>74</v>
      </c>
      <c r="S367" t="s">
        <v>74</v>
      </c>
      <c r="T367" t="s">
        <v>7338</v>
      </c>
      <c r="U367" t="s">
        <v>7339</v>
      </c>
      <c r="V367" t="s">
        <v>7340</v>
      </c>
      <c r="W367" t="s">
        <v>7341</v>
      </c>
      <c r="X367" t="s">
        <v>7342</v>
      </c>
      <c r="Y367" t="s">
        <v>7343</v>
      </c>
      <c r="Z367" t="s">
        <v>7344</v>
      </c>
      <c r="AA367" t="s">
        <v>74</v>
      </c>
      <c r="AB367" t="s">
        <v>7345</v>
      </c>
      <c r="AC367" t="s">
        <v>7346</v>
      </c>
      <c r="AD367" t="s">
        <v>7347</v>
      </c>
      <c r="AE367" t="s">
        <v>7348</v>
      </c>
      <c r="AF367" t="s">
        <v>74</v>
      </c>
      <c r="AG367">
        <v>11</v>
      </c>
      <c r="AH367">
        <v>1</v>
      </c>
      <c r="AI367">
        <v>1</v>
      </c>
      <c r="AJ367">
        <v>2</v>
      </c>
      <c r="AK367">
        <v>8</v>
      </c>
      <c r="AL367" t="s">
        <v>247</v>
      </c>
      <c r="AM367" t="s">
        <v>248</v>
      </c>
      <c r="AN367" t="s">
        <v>249</v>
      </c>
      <c r="AO367" t="s">
        <v>6879</v>
      </c>
      <c r="AP367" t="s">
        <v>6880</v>
      </c>
      <c r="AQ367" t="s">
        <v>74</v>
      </c>
      <c r="AR367" t="s">
        <v>6881</v>
      </c>
      <c r="AS367" t="s">
        <v>6882</v>
      </c>
      <c r="AT367" t="s">
        <v>1710</v>
      </c>
      <c r="AU367">
        <v>2024</v>
      </c>
      <c r="AV367">
        <v>35</v>
      </c>
      <c r="AW367">
        <v>8</v>
      </c>
      <c r="AX367" t="s">
        <v>74</v>
      </c>
      <c r="AY367" t="s">
        <v>74</v>
      </c>
      <c r="AZ367" t="s">
        <v>74</v>
      </c>
      <c r="BA367" t="s">
        <v>74</v>
      </c>
      <c r="BB367">
        <v>2956</v>
      </c>
      <c r="BC367">
        <v>2959</v>
      </c>
      <c r="BD367" t="s">
        <v>74</v>
      </c>
      <c r="BE367" t="s">
        <v>7349</v>
      </c>
      <c r="BF367" t="str">
        <f>HYPERLINK("http://dx.doi.org/10.1002/ldr.5095","http://dx.doi.org/10.1002/ldr.5095")</f>
        <v>http://dx.doi.org/10.1002/ldr.5095</v>
      </c>
      <c r="BG367" t="s">
        <v>74</v>
      </c>
      <c r="BH367" t="s">
        <v>5349</v>
      </c>
      <c r="BI367">
        <v>4</v>
      </c>
      <c r="BJ367" t="s">
        <v>4942</v>
      </c>
      <c r="BK367" t="s">
        <v>102</v>
      </c>
      <c r="BL367" t="s">
        <v>4943</v>
      </c>
      <c r="BM367" t="s">
        <v>7350</v>
      </c>
      <c r="BN367" t="s">
        <v>74</v>
      </c>
      <c r="BO367" t="s">
        <v>74</v>
      </c>
      <c r="BP367" t="s">
        <v>74</v>
      </c>
      <c r="BQ367" t="s">
        <v>74</v>
      </c>
      <c r="BR367" t="s">
        <v>106</v>
      </c>
      <c r="BS367" t="s">
        <v>7351</v>
      </c>
      <c r="BT367" t="str">
        <f>HYPERLINK("https%3A%2F%2Fwww.webofscience.com%2Fwos%2Fwoscc%2Ffull-record%2FWOS:001181992800001","View Full Record in Web of Science")</f>
        <v>View Full Record in Web of Science</v>
      </c>
    </row>
    <row r="368" spans="1:72" x14ac:dyDescent="0.2">
      <c r="A368" t="s">
        <v>72</v>
      </c>
      <c r="B368" t="s">
        <v>7352</v>
      </c>
      <c r="C368" t="s">
        <v>74</v>
      </c>
      <c r="D368" t="s">
        <v>74</v>
      </c>
      <c r="E368" t="s">
        <v>74</v>
      </c>
      <c r="F368" t="s">
        <v>7353</v>
      </c>
      <c r="G368" t="s">
        <v>74</v>
      </c>
      <c r="H368" t="s">
        <v>74</v>
      </c>
      <c r="I368" t="s">
        <v>7354</v>
      </c>
      <c r="J368" t="s">
        <v>7355</v>
      </c>
      <c r="K368" t="s">
        <v>74</v>
      </c>
      <c r="L368" t="s">
        <v>74</v>
      </c>
      <c r="M368" t="s">
        <v>78</v>
      </c>
      <c r="N368" t="s">
        <v>79</v>
      </c>
      <c r="O368" t="s">
        <v>74</v>
      </c>
      <c r="P368" t="s">
        <v>74</v>
      </c>
      <c r="Q368" t="s">
        <v>74</v>
      </c>
      <c r="R368" t="s">
        <v>74</v>
      </c>
      <c r="S368" t="s">
        <v>74</v>
      </c>
      <c r="T368" t="s">
        <v>7356</v>
      </c>
      <c r="U368" t="s">
        <v>7357</v>
      </c>
      <c r="V368" t="s">
        <v>7358</v>
      </c>
      <c r="W368" t="s">
        <v>7359</v>
      </c>
      <c r="X368" t="s">
        <v>7360</v>
      </c>
      <c r="Y368" t="s">
        <v>7361</v>
      </c>
      <c r="Z368" t="s">
        <v>7362</v>
      </c>
      <c r="AA368" t="s">
        <v>7363</v>
      </c>
      <c r="AB368" t="s">
        <v>7364</v>
      </c>
      <c r="AC368" t="s">
        <v>7365</v>
      </c>
      <c r="AD368" t="s">
        <v>7366</v>
      </c>
      <c r="AE368" t="s">
        <v>7367</v>
      </c>
      <c r="AF368" t="s">
        <v>74</v>
      </c>
      <c r="AG368">
        <v>27</v>
      </c>
      <c r="AH368">
        <v>2</v>
      </c>
      <c r="AI368">
        <v>2</v>
      </c>
      <c r="AJ368">
        <v>1</v>
      </c>
      <c r="AK368">
        <v>14</v>
      </c>
      <c r="AL368" t="s">
        <v>7368</v>
      </c>
      <c r="AM368" t="s">
        <v>630</v>
      </c>
      <c r="AN368" t="s">
        <v>7369</v>
      </c>
      <c r="AO368" t="s">
        <v>7370</v>
      </c>
      <c r="AP368" t="s">
        <v>7371</v>
      </c>
      <c r="AQ368" t="s">
        <v>74</v>
      </c>
      <c r="AR368" t="s">
        <v>7372</v>
      </c>
      <c r="AS368" t="s">
        <v>7373</v>
      </c>
      <c r="AT368" t="s">
        <v>805</v>
      </c>
      <c r="AU368">
        <v>2017</v>
      </c>
      <c r="AV368">
        <v>10</v>
      </c>
      <c r="AW368">
        <v>6</v>
      </c>
      <c r="AX368" t="s">
        <v>74</v>
      </c>
      <c r="AY368" t="s">
        <v>74</v>
      </c>
      <c r="AZ368" t="s">
        <v>74</v>
      </c>
      <c r="BA368" t="s">
        <v>74</v>
      </c>
      <c r="BB368">
        <v>86</v>
      </c>
      <c r="BC368">
        <v>93</v>
      </c>
      <c r="BD368" t="s">
        <v>74</v>
      </c>
      <c r="BE368" t="s">
        <v>7374</v>
      </c>
      <c r="BF368" t="str">
        <f>HYPERLINK("http://dx.doi.org/10.25165/j.ijabe.20171006.3094","http://dx.doi.org/10.25165/j.ijabe.20171006.3094")</f>
        <v>http://dx.doi.org/10.25165/j.ijabe.20171006.3094</v>
      </c>
      <c r="BG368" t="s">
        <v>74</v>
      </c>
      <c r="BH368" t="s">
        <v>74</v>
      </c>
      <c r="BI368">
        <v>8</v>
      </c>
      <c r="BJ368" t="s">
        <v>842</v>
      </c>
      <c r="BK368" t="s">
        <v>186</v>
      </c>
      <c r="BL368" t="s">
        <v>103</v>
      </c>
      <c r="BM368" t="s">
        <v>7375</v>
      </c>
      <c r="BN368" t="s">
        <v>74</v>
      </c>
      <c r="BO368" t="s">
        <v>231</v>
      </c>
      <c r="BP368" t="s">
        <v>74</v>
      </c>
      <c r="BQ368" t="s">
        <v>74</v>
      </c>
      <c r="BR368" t="s">
        <v>106</v>
      </c>
      <c r="BS368" t="s">
        <v>7376</v>
      </c>
      <c r="BT368" t="str">
        <f>HYPERLINK("https%3A%2F%2Fwww.webofscience.com%2Fwos%2Fwoscc%2Ffull-record%2FWOS:000417884400009","View Full Record in Web of Science")</f>
        <v>View Full Record in Web of Science</v>
      </c>
    </row>
    <row r="369" spans="1:72" x14ac:dyDescent="0.2">
      <c r="A369" t="s">
        <v>72</v>
      </c>
      <c r="B369" t="s">
        <v>7377</v>
      </c>
      <c r="C369" t="s">
        <v>74</v>
      </c>
      <c r="D369" t="s">
        <v>74</v>
      </c>
      <c r="E369" t="s">
        <v>74</v>
      </c>
      <c r="F369" t="s">
        <v>7378</v>
      </c>
      <c r="G369" t="s">
        <v>74</v>
      </c>
      <c r="H369" t="s">
        <v>74</v>
      </c>
      <c r="I369" t="s">
        <v>7379</v>
      </c>
      <c r="J369" t="s">
        <v>1451</v>
      </c>
      <c r="K369" t="s">
        <v>74</v>
      </c>
      <c r="L369" t="s">
        <v>74</v>
      </c>
      <c r="M369" t="s">
        <v>78</v>
      </c>
      <c r="N369" t="s">
        <v>79</v>
      </c>
      <c r="O369" t="s">
        <v>74</v>
      </c>
      <c r="P369" t="s">
        <v>74</v>
      </c>
      <c r="Q369" t="s">
        <v>74</v>
      </c>
      <c r="R369" t="s">
        <v>74</v>
      </c>
      <c r="S369" t="s">
        <v>74</v>
      </c>
      <c r="T369" t="s">
        <v>7380</v>
      </c>
      <c r="U369" t="s">
        <v>7381</v>
      </c>
      <c r="V369" t="s">
        <v>7382</v>
      </c>
      <c r="W369" t="s">
        <v>7383</v>
      </c>
      <c r="X369" t="s">
        <v>7384</v>
      </c>
      <c r="Y369" t="s">
        <v>7385</v>
      </c>
      <c r="Z369" t="s">
        <v>7386</v>
      </c>
      <c r="AA369" t="s">
        <v>7387</v>
      </c>
      <c r="AB369" t="s">
        <v>7388</v>
      </c>
      <c r="AC369" t="s">
        <v>7389</v>
      </c>
      <c r="AD369" t="s">
        <v>7390</v>
      </c>
      <c r="AE369" t="s">
        <v>7391</v>
      </c>
      <c r="AF369" t="s">
        <v>74</v>
      </c>
      <c r="AG369">
        <v>88</v>
      </c>
      <c r="AH369">
        <v>21</v>
      </c>
      <c r="AI369">
        <v>23</v>
      </c>
      <c r="AJ369">
        <v>48</v>
      </c>
      <c r="AK369">
        <v>225</v>
      </c>
      <c r="AL369" t="s">
        <v>123</v>
      </c>
      <c r="AM369" t="s">
        <v>124</v>
      </c>
      <c r="AN369" t="s">
        <v>125</v>
      </c>
      <c r="AO369" t="s">
        <v>1464</v>
      </c>
      <c r="AP369" t="s">
        <v>1465</v>
      </c>
      <c r="AQ369" t="s">
        <v>74</v>
      </c>
      <c r="AR369" t="s">
        <v>1466</v>
      </c>
      <c r="AS369" t="s">
        <v>1467</v>
      </c>
      <c r="AT369" t="s">
        <v>7392</v>
      </c>
      <c r="AU369">
        <v>2024</v>
      </c>
      <c r="AV369">
        <v>368</v>
      </c>
      <c r="AW369" t="s">
        <v>74</v>
      </c>
      <c r="AX369" t="s">
        <v>74</v>
      </c>
      <c r="AY369" t="s">
        <v>74</v>
      </c>
      <c r="AZ369" t="s">
        <v>74</v>
      </c>
      <c r="BA369" t="s">
        <v>74</v>
      </c>
      <c r="BB369" t="s">
        <v>74</v>
      </c>
      <c r="BC369" t="s">
        <v>74</v>
      </c>
      <c r="BD369">
        <v>109001</v>
      </c>
      <c r="BE369" t="s">
        <v>7393</v>
      </c>
      <c r="BF369" t="str">
        <f>HYPERLINK("http://dx.doi.org/10.1016/j.agee.2024.109001","http://dx.doi.org/10.1016/j.agee.2024.109001")</f>
        <v>http://dx.doi.org/10.1016/j.agee.2024.109001</v>
      </c>
      <c r="BG369" t="s">
        <v>74</v>
      </c>
      <c r="BH369" t="s">
        <v>2038</v>
      </c>
      <c r="BI369">
        <v>13</v>
      </c>
      <c r="BJ369" t="s">
        <v>1470</v>
      </c>
      <c r="BK369" t="s">
        <v>102</v>
      </c>
      <c r="BL369" t="s">
        <v>1471</v>
      </c>
      <c r="BM369" t="s">
        <v>7394</v>
      </c>
      <c r="BN369" t="s">
        <v>74</v>
      </c>
      <c r="BO369" t="s">
        <v>74</v>
      </c>
      <c r="BP369" t="s">
        <v>74</v>
      </c>
      <c r="BQ369" t="s">
        <v>74</v>
      </c>
      <c r="BR369" t="s">
        <v>106</v>
      </c>
      <c r="BS369" t="s">
        <v>7395</v>
      </c>
      <c r="BT369" t="str">
        <f>HYPERLINK("https%3A%2F%2Fwww.webofscience.com%2Fwos%2Fwoscc%2Ffull-record%2FWOS:001221777500001","View Full Record in Web of Science")</f>
        <v>View Full Record in Web of Science</v>
      </c>
    </row>
    <row r="370" spans="1:72" x14ac:dyDescent="0.2">
      <c r="A370" t="s">
        <v>72</v>
      </c>
      <c r="B370" t="s">
        <v>7396</v>
      </c>
      <c r="C370" t="s">
        <v>74</v>
      </c>
      <c r="D370" t="s">
        <v>74</v>
      </c>
      <c r="E370" t="s">
        <v>74</v>
      </c>
      <c r="F370" t="s">
        <v>7397</v>
      </c>
      <c r="G370" t="s">
        <v>74</v>
      </c>
      <c r="H370" t="s">
        <v>74</v>
      </c>
      <c r="I370" t="s">
        <v>7398</v>
      </c>
      <c r="J370" t="s">
        <v>995</v>
      </c>
      <c r="K370" t="s">
        <v>74</v>
      </c>
      <c r="L370" t="s">
        <v>74</v>
      </c>
      <c r="M370" t="s">
        <v>78</v>
      </c>
      <c r="N370" t="s">
        <v>79</v>
      </c>
      <c r="O370" t="s">
        <v>74</v>
      </c>
      <c r="P370" t="s">
        <v>74</v>
      </c>
      <c r="Q370" t="s">
        <v>74</v>
      </c>
      <c r="R370" t="s">
        <v>74</v>
      </c>
      <c r="S370" t="s">
        <v>74</v>
      </c>
      <c r="T370" t="s">
        <v>7399</v>
      </c>
      <c r="U370" t="s">
        <v>7400</v>
      </c>
      <c r="V370" t="s">
        <v>7401</v>
      </c>
      <c r="W370" t="s">
        <v>7402</v>
      </c>
      <c r="X370" t="s">
        <v>7403</v>
      </c>
      <c r="Y370" t="s">
        <v>7404</v>
      </c>
      <c r="Z370" t="s">
        <v>7405</v>
      </c>
      <c r="AA370" t="s">
        <v>7406</v>
      </c>
      <c r="AB370" t="s">
        <v>74</v>
      </c>
      <c r="AC370" t="s">
        <v>7407</v>
      </c>
      <c r="AD370" t="s">
        <v>7408</v>
      </c>
      <c r="AE370" t="s">
        <v>7409</v>
      </c>
      <c r="AF370" t="s">
        <v>74</v>
      </c>
      <c r="AG370">
        <v>70</v>
      </c>
      <c r="AH370">
        <v>51</v>
      </c>
      <c r="AI370">
        <v>54</v>
      </c>
      <c r="AJ370">
        <v>9</v>
      </c>
      <c r="AK370">
        <v>77</v>
      </c>
      <c r="AL370" t="s">
        <v>123</v>
      </c>
      <c r="AM370" t="s">
        <v>124</v>
      </c>
      <c r="AN370" t="s">
        <v>125</v>
      </c>
      <c r="AO370" t="s">
        <v>1008</v>
      </c>
      <c r="AP370" t="s">
        <v>1009</v>
      </c>
      <c r="AQ370" t="s">
        <v>74</v>
      </c>
      <c r="AR370" t="s">
        <v>1010</v>
      </c>
      <c r="AS370" t="s">
        <v>1011</v>
      </c>
      <c r="AT370" t="s">
        <v>1632</v>
      </c>
      <c r="AU370">
        <v>2024</v>
      </c>
      <c r="AV370">
        <v>906</v>
      </c>
      <c r="AW370" t="s">
        <v>74</v>
      </c>
      <c r="AX370" t="s">
        <v>74</v>
      </c>
      <c r="AY370" t="s">
        <v>74</v>
      </c>
      <c r="AZ370" t="s">
        <v>74</v>
      </c>
      <c r="BA370" t="s">
        <v>74</v>
      </c>
      <c r="BB370" t="s">
        <v>74</v>
      </c>
      <c r="BC370" t="s">
        <v>74</v>
      </c>
      <c r="BD370">
        <v>167692</v>
      </c>
      <c r="BE370" t="s">
        <v>7410</v>
      </c>
      <c r="BF370" t="str">
        <f>HYPERLINK("http://dx.doi.org/10.1016/j.scitotenv.2023.167692","http://dx.doi.org/10.1016/j.scitotenv.2023.167692")</f>
        <v>http://dx.doi.org/10.1016/j.scitotenv.2023.167692</v>
      </c>
      <c r="BG370" t="s">
        <v>74</v>
      </c>
      <c r="BH370" t="s">
        <v>1688</v>
      </c>
      <c r="BI370">
        <v>17</v>
      </c>
      <c r="BJ370" t="s">
        <v>567</v>
      </c>
      <c r="BK370" t="s">
        <v>102</v>
      </c>
      <c r="BL370" t="s">
        <v>568</v>
      </c>
      <c r="BM370" t="s">
        <v>7411</v>
      </c>
      <c r="BN370">
        <v>37827314</v>
      </c>
      <c r="BO370" t="s">
        <v>74</v>
      </c>
      <c r="BP370" t="s">
        <v>74</v>
      </c>
      <c r="BQ370" t="s">
        <v>74</v>
      </c>
      <c r="BR370" t="s">
        <v>106</v>
      </c>
      <c r="BS370" t="s">
        <v>7412</v>
      </c>
      <c r="BT370" t="str">
        <f>HYPERLINK("https%3A%2F%2Fwww.webofscience.com%2Fwos%2Fwoscc%2Ffull-record%2FWOS:001102623100001","View Full Record in Web of Science")</f>
        <v>View Full Record in Web of Science</v>
      </c>
    </row>
    <row r="371" spans="1:72" x14ac:dyDescent="0.2">
      <c r="A371" t="s">
        <v>72</v>
      </c>
      <c r="B371" t="s">
        <v>7413</v>
      </c>
      <c r="C371" t="s">
        <v>74</v>
      </c>
      <c r="D371" t="s">
        <v>74</v>
      </c>
      <c r="E371" t="s">
        <v>74</v>
      </c>
      <c r="F371" t="s">
        <v>7414</v>
      </c>
      <c r="G371" t="s">
        <v>74</v>
      </c>
      <c r="H371" t="s">
        <v>74</v>
      </c>
      <c r="I371" t="s">
        <v>7415</v>
      </c>
      <c r="J371" t="s">
        <v>1231</v>
      </c>
      <c r="K371" t="s">
        <v>74</v>
      </c>
      <c r="L371" t="s">
        <v>74</v>
      </c>
      <c r="M371" t="s">
        <v>78</v>
      </c>
      <c r="N371" t="s">
        <v>79</v>
      </c>
      <c r="O371" t="s">
        <v>74</v>
      </c>
      <c r="P371" t="s">
        <v>74</v>
      </c>
      <c r="Q371" t="s">
        <v>74</v>
      </c>
      <c r="R371" t="s">
        <v>74</v>
      </c>
      <c r="S371" t="s">
        <v>74</v>
      </c>
      <c r="T371" t="s">
        <v>7416</v>
      </c>
      <c r="U371" t="s">
        <v>7417</v>
      </c>
      <c r="V371" t="s">
        <v>7418</v>
      </c>
      <c r="W371" t="s">
        <v>7419</v>
      </c>
      <c r="X371" t="s">
        <v>7420</v>
      </c>
      <c r="Y371" t="s">
        <v>7421</v>
      </c>
      <c r="Z371" t="s">
        <v>7422</v>
      </c>
      <c r="AA371" t="s">
        <v>7423</v>
      </c>
      <c r="AB371" t="s">
        <v>7424</v>
      </c>
      <c r="AC371" t="s">
        <v>7425</v>
      </c>
      <c r="AD371" t="s">
        <v>7425</v>
      </c>
      <c r="AE371" t="s">
        <v>7426</v>
      </c>
      <c r="AF371" t="s">
        <v>74</v>
      </c>
      <c r="AG371">
        <v>24</v>
      </c>
      <c r="AH371">
        <v>43</v>
      </c>
      <c r="AI371">
        <v>50</v>
      </c>
      <c r="AJ371">
        <v>5</v>
      </c>
      <c r="AK371">
        <v>105</v>
      </c>
      <c r="AL371" t="s">
        <v>1242</v>
      </c>
      <c r="AM371" t="s">
        <v>1243</v>
      </c>
      <c r="AN371" t="s">
        <v>1244</v>
      </c>
      <c r="AO371" t="s">
        <v>1245</v>
      </c>
      <c r="AP371" t="s">
        <v>1246</v>
      </c>
      <c r="AQ371" t="s">
        <v>74</v>
      </c>
      <c r="AR371" t="s">
        <v>1247</v>
      </c>
      <c r="AS371" t="s">
        <v>1248</v>
      </c>
      <c r="AT371" t="s">
        <v>281</v>
      </c>
      <c r="AU371">
        <v>2019</v>
      </c>
      <c r="AV371">
        <v>26</v>
      </c>
      <c r="AW371">
        <v>18</v>
      </c>
      <c r="AX371" t="s">
        <v>74</v>
      </c>
      <c r="AY371" t="s">
        <v>74</v>
      </c>
      <c r="AZ371" t="s">
        <v>74</v>
      </c>
      <c r="BA371" t="s">
        <v>74</v>
      </c>
      <c r="BB371">
        <v>17965</v>
      </c>
      <c r="BC371">
        <v>17973</v>
      </c>
      <c r="BD371" t="s">
        <v>74</v>
      </c>
      <c r="BE371" t="s">
        <v>7427</v>
      </c>
      <c r="BF371" t="str">
        <f>HYPERLINK("http://dx.doi.org/10.1007/s11356-018-2161-5","http://dx.doi.org/10.1007/s11356-018-2161-5")</f>
        <v>http://dx.doi.org/10.1007/s11356-018-2161-5</v>
      </c>
      <c r="BG371" t="s">
        <v>74</v>
      </c>
      <c r="BH371" t="s">
        <v>74</v>
      </c>
      <c r="BI371">
        <v>9</v>
      </c>
      <c r="BJ371" t="s">
        <v>567</v>
      </c>
      <c r="BK371" t="s">
        <v>102</v>
      </c>
      <c r="BL371" t="s">
        <v>568</v>
      </c>
      <c r="BM371" t="s">
        <v>7428</v>
      </c>
      <c r="BN371">
        <v>29785607</v>
      </c>
      <c r="BO371" t="s">
        <v>74</v>
      </c>
      <c r="BP371" t="s">
        <v>74</v>
      </c>
      <c r="BQ371" t="s">
        <v>74</v>
      </c>
      <c r="BR371" t="s">
        <v>106</v>
      </c>
      <c r="BS371" t="s">
        <v>7429</v>
      </c>
      <c r="BT371" t="str">
        <f>HYPERLINK("https%3A%2F%2Fwww.webofscience.com%2Fwos%2Fwoscc%2Ffull-record%2FWOS:000471725900012","View Full Record in Web of Science")</f>
        <v>View Full Record in Web of Science</v>
      </c>
    </row>
    <row r="372" spans="1:72" x14ac:dyDescent="0.2">
      <c r="A372" t="s">
        <v>72</v>
      </c>
      <c r="B372" t="s">
        <v>7430</v>
      </c>
      <c r="C372" t="s">
        <v>74</v>
      </c>
      <c r="D372" t="s">
        <v>74</v>
      </c>
      <c r="E372" t="s">
        <v>74</v>
      </c>
      <c r="F372" t="s">
        <v>7431</v>
      </c>
      <c r="G372" t="s">
        <v>74</v>
      </c>
      <c r="H372" t="s">
        <v>74</v>
      </c>
      <c r="I372" t="s">
        <v>7432</v>
      </c>
      <c r="J372" t="s">
        <v>1912</v>
      </c>
      <c r="K372" t="s">
        <v>74</v>
      </c>
      <c r="L372" t="s">
        <v>74</v>
      </c>
      <c r="M372" t="s">
        <v>78</v>
      </c>
      <c r="N372" t="s">
        <v>79</v>
      </c>
      <c r="O372" t="s">
        <v>74</v>
      </c>
      <c r="P372" t="s">
        <v>74</v>
      </c>
      <c r="Q372" t="s">
        <v>74</v>
      </c>
      <c r="R372" t="s">
        <v>74</v>
      </c>
      <c r="S372" t="s">
        <v>74</v>
      </c>
      <c r="T372" t="s">
        <v>7433</v>
      </c>
      <c r="U372" t="s">
        <v>7434</v>
      </c>
      <c r="V372" t="s">
        <v>7435</v>
      </c>
      <c r="W372" t="s">
        <v>7436</v>
      </c>
      <c r="X372" t="s">
        <v>7437</v>
      </c>
      <c r="Y372" t="s">
        <v>7438</v>
      </c>
      <c r="Z372" t="s">
        <v>7439</v>
      </c>
      <c r="AA372" t="s">
        <v>74</v>
      </c>
      <c r="AB372" t="s">
        <v>74</v>
      </c>
      <c r="AC372" t="s">
        <v>7440</v>
      </c>
      <c r="AD372" t="s">
        <v>7441</v>
      </c>
      <c r="AE372" t="s">
        <v>7442</v>
      </c>
      <c r="AF372" t="s">
        <v>74</v>
      </c>
      <c r="AG372">
        <v>60</v>
      </c>
      <c r="AH372">
        <v>5</v>
      </c>
      <c r="AI372">
        <v>6</v>
      </c>
      <c r="AJ372">
        <v>1</v>
      </c>
      <c r="AK372">
        <v>38</v>
      </c>
      <c r="AL372" t="s">
        <v>1921</v>
      </c>
      <c r="AM372" t="s">
        <v>1922</v>
      </c>
      <c r="AN372" t="s">
        <v>1923</v>
      </c>
      <c r="AO372" t="s">
        <v>1924</v>
      </c>
      <c r="AP372" t="s">
        <v>1925</v>
      </c>
      <c r="AQ372" t="s">
        <v>74</v>
      </c>
      <c r="AR372" t="s">
        <v>1926</v>
      </c>
      <c r="AS372" t="s">
        <v>1927</v>
      </c>
      <c r="AT372" t="s">
        <v>74</v>
      </c>
      <c r="AU372">
        <v>2015</v>
      </c>
      <c r="AV372">
        <v>24</v>
      </c>
      <c r="AW372" t="s">
        <v>7443</v>
      </c>
      <c r="AX372" t="s">
        <v>74</v>
      </c>
      <c r="AY372" t="s">
        <v>74</v>
      </c>
      <c r="AZ372" t="s">
        <v>74</v>
      </c>
      <c r="BA372" t="s">
        <v>74</v>
      </c>
      <c r="BB372">
        <v>3743</v>
      </c>
      <c r="BC372">
        <v>3753</v>
      </c>
      <c r="BD372" t="s">
        <v>74</v>
      </c>
      <c r="BE372" t="s">
        <v>74</v>
      </c>
      <c r="BF372" t="s">
        <v>74</v>
      </c>
      <c r="BG372" t="s">
        <v>74</v>
      </c>
      <c r="BH372" t="s">
        <v>74</v>
      </c>
      <c r="BI372">
        <v>11</v>
      </c>
      <c r="BJ372" t="s">
        <v>567</v>
      </c>
      <c r="BK372" t="s">
        <v>186</v>
      </c>
      <c r="BL372" t="s">
        <v>568</v>
      </c>
      <c r="BM372" t="s">
        <v>7444</v>
      </c>
      <c r="BN372" t="s">
        <v>74</v>
      </c>
      <c r="BO372" t="s">
        <v>74</v>
      </c>
      <c r="BP372" t="s">
        <v>74</v>
      </c>
      <c r="BQ372" t="s">
        <v>74</v>
      </c>
      <c r="BR372" t="s">
        <v>106</v>
      </c>
      <c r="BS372" t="s">
        <v>7445</v>
      </c>
      <c r="BT372" t="str">
        <f>HYPERLINK("https%3A%2F%2Fwww.webofscience.com%2Fwos%2Fwoscc%2Ffull-record%2FWOS:000367698500006","View Full Record in Web of Science")</f>
        <v>View Full Record in Web of Science</v>
      </c>
    </row>
    <row r="373" spans="1:72" x14ac:dyDescent="0.2">
      <c r="A373" t="s">
        <v>72</v>
      </c>
      <c r="B373" t="s">
        <v>7446</v>
      </c>
      <c r="C373" t="s">
        <v>74</v>
      </c>
      <c r="D373" t="s">
        <v>74</v>
      </c>
      <c r="E373" t="s">
        <v>74</v>
      </c>
      <c r="F373" t="s">
        <v>7447</v>
      </c>
      <c r="G373" t="s">
        <v>74</v>
      </c>
      <c r="H373" t="s">
        <v>74</v>
      </c>
      <c r="I373" t="s">
        <v>7448</v>
      </c>
      <c r="J373" t="s">
        <v>7449</v>
      </c>
      <c r="K373" t="s">
        <v>74</v>
      </c>
      <c r="L373" t="s">
        <v>74</v>
      </c>
      <c r="M373" t="s">
        <v>78</v>
      </c>
      <c r="N373" t="s">
        <v>79</v>
      </c>
      <c r="O373" t="s">
        <v>74</v>
      </c>
      <c r="P373" t="s">
        <v>74</v>
      </c>
      <c r="Q373" t="s">
        <v>74</v>
      </c>
      <c r="R373" t="s">
        <v>74</v>
      </c>
      <c r="S373" t="s">
        <v>74</v>
      </c>
      <c r="T373" t="s">
        <v>7450</v>
      </c>
      <c r="U373" t="s">
        <v>7451</v>
      </c>
      <c r="V373" t="s">
        <v>7452</v>
      </c>
      <c r="W373" t="s">
        <v>7453</v>
      </c>
      <c r="X373" t="s">
        <v>7454</v>
      </c>
      <c r="Y373" t="s">
        <v>7455</v>
      </c>
      <c r="Z373" t="s">
        <v>7456</v>
      </c>
      <c r="AA373" t="s">
        <v>7457</v>
      </c>
      <c r="AB373" t="s">
        <v>7458</v>
      </c>
      <c r="AC373" t="s">
        <v>7459</v>
      </c>
      <c r="AD373" t="s">
        <v>7460</v>
      </c>
      <c r="AE373" t="s">
        <v>7461</v>
      </c>
      <c r="AF373" t="s">
        <v>74</v>
      </c>
      <c r="AG373">
        <v>68</v>
      </c>
      <c r="AH373">
        <v>21</v>
      </c>
      <c r="AI373">
        <v>25</v>
      </c>
      <c r="AJ373">
        <v>6</v>
      </c>
      <c r="AK373">
        <v>130</v>
      </c>
      <c r="AL373" t="s">
        <v>5093</v>
      </c>
      <c r="AM373" t="s">
        <v>676</v>
      </c>
      <c r="AN373" t="s">
        <v>5094</v>
      </c>
      <c r="AO373" t="s">
        <v>7462</v>
      </c>
      <c r="AP373" t="s">
        <v>7463</v>
      </c>
      <c r="AQ373" t="s">
        <v>74</v>
      </c>
      <c r="AR373" t="s">
        <v>7464</v>
      </c>
      <c r="AS373" t="s">
        <v>7465</v>
      </c>
      <c r="AT373" t="s">
        <v>5750</v>
      </c>
      <c r="AU373">
        <v>2020</v>
      </c>
      <c r="AV373">
        <v>245</v>
      </c>
      <c r="AW373" t="s">
        <v>74</v>
      </c>
      <c r="AX373" t="s">
        <v>74</v>
      </c>
      <c r="AY373" t="s">
        <v>74</v>
      </c>
      <c r="AZ373" t="s">
        <v>74</v>
      </c>
      <c r="BA373" t="s">
        <v>74</v>
      </c>
      <c r="BB373" t="s">
        <v>74</v>
      </c>
      <c r="BC373" t="s">
        <v>74</v>
      </c>
      <c r="BD373">
        <v>105140</v>
      </c>
      <c r="BE373" t="s">
        <v>7466</v>
      </c>
      <c r="BF373" t="str">
        <f>HYPERLINK("http://dx.doi.org/10.1016/j.atmosres.2020.105140","http://dx.doi.org/10.1016/j.atmosres.2020.105140")</f>
        <v>http://dx.doi.org/10.1016/j.atmosres.2020.105140</v>
      </c>
      <c r="BG373" t="s">
        <v>74</v>
      </c>
      <c r="BH373" t="s">
        <v>74</v>
      </c>
      <c r="BI373">
        <v>10</v>
      </c>
      <c r="BJ373" t="s">
        <v>4096</v>
      </c>
      <c r="BK373" t="s">
        <v>102</v>
      </c>
      <c r="BL373" t="s">
        <v>4096</v>
      </c>
      <c r="BM373" t="s">
        <v>7467</v>
      </c>
      <c r="BN373" t="s">
        <v>74</v>
      </c>
      <c r="BO373" t="s">
        <v>74</v>
      </c>
      <c r="BP373" t="s">
        <v>74</v>
      </c>
      <c r="BQ373" t="s">
        <v>74</v>
      </c>
      <c r="BR373" t="s">
        <v>106</v>
      </c>
      <c r="BS373" t="s">
        <v>7468</v>
      </c>
      <c r="BT373" t="str">
        <f>HYPERLINK("https%3A%2F%2Fwww.webofscience.com%2Fwos%2Fwoscc%2Ffull-record%2FWOS:000567779300003","View Full Record in Web of Science")</f>
        <v>View Full Record in Web of Science</v>
      </c>
    </row>
    <row r="374" spans="1:72" x14ac:dyDescent="0.2">
      <c r="A374" t="s">
        <v>72</v>
      </c>
      <c r="B374" t="s">
        <v>7469</v>
      </c>
      <c r="C374" t="s">
        <v>74</v>
      </c>
      <c r="D374" t="s">
        <v>74</v>
      </c>
      <c r="E374" t="s">
        <v>74</v>
      </c>
      <c r="F374" t="s">
        <v>7470</v>
      </c>
      <c r="G374" t="s">
        <v>74</v>
      </c>
      <c r="H374" t="s">
        <v>74</v>
      </c>
      <c r="I374" t="s">
        <v>7471</v>
      </c>
      <c r="J374" t="s">
        <v>1020</v>
      </c>
      <c r="K374" t="s">
        <v>74</v>
      </c>
      <c r="L374" t="s">
        <v>74</v>
      </c>
      <c r="M374" t="s">
        <v>78</v>
      </c>
      <c r="N374" t="s">
        <v>79</v>
      </c>
      <c r="O374" t="s">
        <v>74</v>
      </c>
      <c r="P374" t="s">
        <v>74</v>
      </c>
      <c r="Q374" t="s">
        <v>74</v>
      </c>
      <c r="R374" t="s">
        <v>74</v>
      </c>
      <c r="S374" t="s">
        <v>74</v>
      </c>
      <c r="T374" t="s">
        <v>7472</v>
      </c>
      <c r="U374" t="s">
        <v>7473</v>
      </c>
      <c r="V374" t="s">
        <v>7474</v>
      </c>
      <c r="W374" t="s">
        <v>7475</v>
      </c>
      <c r="X374" t="s">
        <v>7476</v>
      </c>
      <c r="Y374" t="s">
        <v>7477</v>
      </c>
      <c r="Z374" t="s">
        <v>7478</v>
      </c>
      <c r="AA374" t="s">
        <v>74</v>
      </c>
      <c r="AB374" t="s">
        <v>7479</v>
      </c>
      <c r="AC374" t="s">
        <v>7480</v>
      </c>
      <c r="AD374" t="s">
        <v>7481</v>
      </c>
      <c r="AE374" t="s">
        <v>7482</v>
      </c>
      <c r="AF374" t="s">
        <v>74</v>
      </c>
      <c r="AG374">
        <v>88</v>
      </c>
      <c r="AH374">
        <v>10</v>
      </c>
      <c r="AI374">
        <v>12</v>
      </c>
      <c r="AJ374">
        <v>47</v>
      </c>
      <c r="AK374">
        <v>168</v>
      </c>
      <c r="AL374" t="s">
        <v>1033</v>
      </c>
      <c r="AM374" t="s">
        <v>1034</v>
      </c>
      <c r="AN374" t="s">
        <v>1035</v>
      </c>
      <c r="AO374" t="s">
        <v>1036</v>
      </c>
      <c r="AP374" t="s">
        <v>1037</v>
      </c>
      <c r="AQ374" t="s">
        <v>74</v>
      </c>
      <c r="AR374" t="s">
        <v>1038</v>
      </c>
      <c r="AS374" t="s">
        <v>1039</v>
      </c>
      <c r="AT374" t="s">
        <v>7392</v>
      </c>
      <c r="AU374">
        <v>2024</v>
      </c>
      <c r="AV374">
        <v>252</v>
      </c>
      <c r="AW374" t="s">
        <v>74</v>
      </c>
      <c r="AX374">
        <v>2</v>
      </c>
      <c r="AY374" t="s">
        <v>74</v>
      </c>
      <c r="AZ374" t="s">
        <v>74</v>
      </c>
      <c r="BA374" t="s">
        <v>74</v>
      </c>
      <c r="BB374" t="s">
        <v>74</v>
      </c>
      <c r="BC374" t="s">
        <v>74</v>
      </c>
      <c r="BD374">
        <v>118940</v>
      </c>
      <c r="BE374" t="s">
        <v>7483</v>
      </c>
      <c r="BF374" t="str">
        <f>HYPERLINK("http://dx.doi.org/10.1016/j.envres.2024.118940","http://dx.doi.org/10.1016/j.envres.2024.118940")</f>
        <v>http://dx.doi.org/10.1016/j.envres.2024.118940</v>
      </c>
      <c r="BG374" t="s">
        <v>74</v>
      </c>
      <c r="BH374" t="s">
        <v>2038</v>
      </c>
      <c r="BI374">
        <v>16</v>
      </c>
      <c r="BJ374" t="s">
        <v>1042</v>
      </c>
      <c r="BK374" t="s">
        <v>102</v>
      </c>
      <c r="BL374" t="s">
        <v>1043</v>
      </c>
      <c r="BM374" t="s">
        <v>7484</v>
      </c>
      <c r="BN374">
        <v>38626871</v>
      </c>
      <c r="BO374" t="s">
        <v>74</v>
      </c>
      <c r="BP374" t="s">
        <v>74</v>
      </c>
      <c r="BQ374" t="s">
        <v>74</v>
      </c>
      <c r="BR374" t="s">
        <v>106</v>
      </c>
      <c r="BS374" t="s">
        <v>7485</v>
      </c>
      <c r="BT374" t="str">
        <f>HYPERLINK("https%3A%2F%2Fwww.webofscience.com%2Fwos%2Fwoscc%2Ffull-record%2FWOS:001294715200001","View Full Record in Web of Science")</f>
        <v>View Full Record in Web of Science</v>
      </c>
    </row>
    <row r="375" spans="1:72" x14ac:dyDescent="0.2">
      <c r="A375" t="s">
        <v>72</v>
      </c>
      <c r="B375" t="s">
        <v>7486</v>
      </c>
      <c r="C375" t="s">
        <v>74</v>
      </c>
      <c r="D375" t="s">
        <v>74</v>
      </c>
      <c r="E375" t="s">
        <v>74</v>
      </c>
      <c r="F375" t="s">
        <v>7487</v>
      </c>
      <c r="G375" t="s">
        <v>74</v>
      </c>
      <c r="H375" t="s">
        <v>74</v>
      </c>
      <c r="I375" t="s">
        <v>7488</v>
      </c>
      <c r="J375" t="s">
        <v>468</v>
      </c>
      <c r="K375" t="s">
        <v>74</v>
      </c>
      <c r="L375" t="s">
        <v>74</v>
      </c>
      <c r="M375" t="s">
        <v>78</v>
      </c>
      <c r="N375" t="s">
        <v>79</v>
      </c>
      <c r="O375" t="s">
        <v>74</v>
      </c>
      <c r="P375" t="s">
        <v>74</v>
      </c>
      <c r="Q375" t="s">
        <v>74</v>
      </c>
      <c r="R375" t="s">
        <v>74</v>
      </c>
      <c r="S375" t="s">
        <v>74</v>
      </c>
      <c r="T375" t="s">
        <v>7489</v>
      </c>
      <c r="U375" t="s">
        <v>7490</v>
      </c>
      <c r="V375" t="s">
        <v>7491</v>
      </c>
      <c r="W375" t="s">
        <v>7492</v>
      </c>
      <c r="X375" t="s">
        <v>7493</v>
      </c>
      <c r="Y375" t="s">
        <v>7494</v>
      </c>
      <c r="Z375" t="s">
        <v>7495</v>
      </c>
      <c r="AA375" t="s">
        <v>7496</v>
      </c>
      <c r="AB375" t="s">
        <v>7497</v>
      </c>
      <c r="AC375" t="s">
        <v>7498</v>
      </c>
      <c r="AD375" t="s">
        <v>7499</v>
      </c>
      <c r="AE375" t="s">
        <v>7500</v>
      </c>
      <c r="AF375" t="s">
        <v>74</v>
      </c>
      <c r="AG375">
        <v>52</v>
      </c>
      <c r="AH375">
        <v>0</v>
      </c>
      <c r="AI375">
        <v>0</v>
      </c>
      <c r="AJ375">
        <v>5</v>
      </c>
      <c r="AK375">
        <v>7</v>
      </c>
      <c r="AL375" t="s">
        <v>222</v>
      </c>
      <c r="AM375" t="s">
        <v>223</v>
      </c>
      <c r="AN375" t="s">
        <v>478</v>
      </c>
      <c r="AO375" t="s">
        <v>74</v>
      </c>
      <c r="AP375" t="s">
        <v>479</v>
      </c>
      <c r="AQ375" t="s">
        <v>74</v>
      </c>
      <c r="AR375" t="s">
        <v>480</v>
      </c>
      <c r="AS375" t="s">
        <v>481</v>
      </c>
      <c r="AT375" t="s">
        <v>7501</v>
      </c>
      <c r="AU375">
        <v>2025</v>
      </c>
      <c r="AV375">
        <v>17</v>
      </c>
      <c r="AW375">
        <v>7</v>
      </c>
      <c r="AX375" t="s">
        <v>74</v>
      </c>
      <c r="AY375" t="s">
        <v>74</v>
      </c>
      <c r="AZ375" t="s">
        <v>74</v>
      </c>
      <c r="BA375" t="s">
        <v>74</v>
      </c>
      <c r="BB375" t="s">
        <v>74</v>
      </c>
      <c r="BC375" t="s">
        <v>74</v>
      </c>
      <c r="BD375">
        <v>3006</v>
      </c>
      <c r="BE375" t="s">
        <v>7502</v>
      </c>
      <c r="BF375" t="str">
        <f>HYPERLINK("http://dx.doi.org/10.3390/su17073006","http://dx.doi.org/10.3390/su17073006")</f>
        <v>http://dx.doi.org/10.3390/su17073006</v>
      </c>
      <c r="BG375" t="s">
        <v>74</v>
      </c>
      <c r="BH375" t="s">
        <v>74</v>
      </c>
      <c r="BI375">
        <v>18</v>
      </c>
      <c r="BJ375" t="s">
        <v>484</v>
      </c>
      <c r="BK375" t="s">
        <v>186</v>
      </c>
      <c r="BL375" t="s">
        <v>485</v>
      </c>
      <c r="BM375" t="s">
        <v>7503</v>
      </c>
      <c r="BN375" t="s">
        <v>74</v>
      </c>
      <c r="BO375" t="s">
        <v>231</v>
      </c>
      <c r="BP375" t="s">
        <v>74</v>
      </c>
      <c r="BQ375" t="s">
        <v>74</v>
      </c>
      <c r="BR375" t="s">
        <v>106</v>
      </c>
      <c r="BS375" t="s">
        <v>7504</v>
      </c>
      <c r="BT375" t="str">
        <f>HYPERLINK("https%3A%2F%2Fwww.webofscience.com%2Fwos%2Fwoscc%2Ffull-record%2FWOS:001466145100001","View Full Record in Web of Science")</f>
        <v>View Full Record in Web of Science</v>
      </c>
    </row>
    <row r="376" spans="1:72" x14ac:dyDescent="0.2">
      <c r="A376" t="s">
        <v>72</v>
      </c>
      <c r="B376" t="s">
        <v>7505</v>
      </c>
      <c r="C376" t="s">
        <v>74</v>
      </c>
      <c r="D376" t="s">
        <v>74</v>
      </c>
      <c r="E376" t="s">
        <v>74</v>
      </c>
      <c r="F376" t="s">
        <v>7506</v>
      </c>
      <c r="G376" t="s">
        <v>74</v>
      </c>
      <c r="H376" t="s">
        <v>74</v>
      </c>
      <c r="I376" t="s">
        <v>7507</v>
      </c>
      <c r="J376" t="s">
        <v>7508</v>
      </c>
      <c r="K376" t="s">
        <v>74</v>
      </c>
      <c r="L376" t="s">
        <v>74</v>
      </c>
      <c r="M376" t="s">
        <v>78</v>
      </c>
      <c r="N376" t="s">
        <v>79</v>
      </c>
      <c r="O376" t="s">
        <v>74</v>
      </c>
      <c r="P376" t="s">
        <v>74</v>
      </c>
      <c r="Q376" t="s">
        <v>74</v>
      </c>
      <c r="R376" t="s">
        <v>74</v>
      </c>
      <c r="S376" t="s">
        <v>74</v>
      </c>
      <c r="T376" t="s">
        <v>7509</v>
      </c>
      <c r="U376" t="s">
        <v>7510</v>
      </c>
      <c r="V376" t="s">
        <v>7511</v>
      </c>
      <c r="W376" t="s">
        <v>7512</v>
      </c>
      <c r="X376" t="s">
        <v>7513</v>
      </c>
      <c r="Y376" t="s">
        <v>7514</v>
      </c>
      <c r="Z376" t="s">
        <v>7515</v>
      </c>
      <c r="AA376" t="s">
        <v>74</v>
      </c>
      <c r="AB376" t="s">
        <v>7516</v>
      </c>
      <c r="AC376" t="s">
        <v>7517</v>
      </c>
      <c r="AD376" t="s">
        <v>7518</v>
      </c>
      <c r="AE376" t="s">
        <v>7519</v>
      </c>
      <c r="AF376" t="s">
        <v>74</v>
      </c>
      <c r="AG376">
        <v>20</v>
      </c>
      <c r="AH376">
        <v>13</v>
      </c>
      <c r="AI376">
        <v>15</v>
      </c>
      <c r="AJ376">
        <v>5</v>
      </c>
      <c r="AK376">
        <v>72</v>
      </c>
      <c r="AL376" t="s">
        <v>4935</v>
      </c>
      <c r="AM376" t="s">
        <v>4936</v>
      </c>
      <c r="AN376" t="s">
        <v>7520</v>
      </c>
      <c r="AO376" t="s">
        <v>7521</v>
      </c>
      <c r="AP376" t="s">
        <v>7522</v>
      </c>
      <c r="AQ376" t="s">
        <v>74</v>
      </c>
      <c r="AR376" t="s">
        <v>7523</v>
      </c>
      <c r="AS376" t="s">
        <v>7524</v>
      </c>
      <c r="AT376" t="s">
        <v>1752</v>
      </c>
      <c r="AU376">
        <v>2017</v>
      </c>
      <c r="AV376">
        <v>60</v>
      </c>
      <c r="AW376">
        <v>4</v>
      </c>
      <c r="AX376" t="s">
        <v>74</v>
      </c>
      <c r="AY376" t="s">
        <v>74</v>
      </c>
      <c r="AZ376" t="s">
        <v>74</v>
      </c>
      <c r="BA376" t="s">
        <v>74</v>
      </c>
      <c r="BB376">
        <v>467</v>
      </c>
      <c r="BC376">
        <v>472</v>
      </c>
      <c r="BD376" t="s">
        <v>74</v>
      </c>
      <c r="BE376" t="s">
        <v>7525</v>
      </c>
      <c r="BF376" t="str">
        <f>HYPERLINK("http://dx.doi.org/10.1007/s13765-017-0298-4","http://dx.doi.org/10.1007/s13765-017-0298-4")</f>
        <v>http://dx.doi.org/10.1007/s13765-017-0298-4</v>
      </c>
      <c r="BG376" t="s">
        <v>74</v>
      </c>
      <c r="BH376" t="s">
        <v>74</v>
      </c>
      <c r="BI376">
        <v>6</v>
      </c>
      <c r="BJ376" t="s">
        <v>864</v>
      </c>
      <c r="BK376" t="s">
        <v>102</v>
      </c>
      <c r="BL376" t="s">
        <v>864</v>
      </c>
      <c r="BM376" t="s">
        <v>7526</v>
      </c>
      <c r="BN376" t="s">
        <v>74</v>
      </c>
      <c r="BO376" t="s">
        <v>231</v>
      </c>
      <c r="BP376" t="s">
        <v>74</v>
      </c>
      <c r="BQ376" t="s">
        <v>74</v>
      </c>
      <c r="BR376" t="s">
        <v>106</v>
      </c>
      <c r="BS376" t="s">
        <v>7527</v>
      </c>
      <c r="BT376" t="str">
        <f>HYPERLINK("https%3A%2F%2Fwww.webofscience.com%2Fwos%2Fwoscc%2Ffull-record%2FWOS:000408613000013","View Full Record in Web of Science")</f>
        <v>View Full Record in Web of Science</v>
      </c>
    </row>
    <row r="377" spans="1:72" x14ac:dyDescent="0.2">
      <c r="A377" t="s">
        <v>72</v>
      </c>
      <c r="B377" t="s">
        <v>7528</v>
      </c>
      <c r="C377" t="s">
        <v>74</v>
      </c>
      <c r="D377" t="s">
        <v>74</v>
      </c>
      <c r="E377" t="s">
        <v>74</v>
      </c>
      <c r="F377" t="s">
        <v>7529</v>
      </c>
      <c r="G377" t="s">
        <v>74</v>
      </c>
      <c r="H377" t="s">
        <v>74</v>
      </c>
      <c r="I377" t="s">
        <v>7530</v>
      </c>
      <c r="J377" t="s">
        <v>546</v>
      </c>
      <c r="K377" t="s">
        <v>74</v>
      </c>
      <c r="L377" t="s">
        <v>74</v>
      </c>
      <c r="M377" t="s">
        <v>78</v>
      </c>
      <c r="N377" t="s">
        <v>79</v>
      </c>
      <c r="O377" t="s">
        <v>74</v>
      </c>
      <c r="P377" t="s">
        <v>74</v>
      </c>
      <c r="Q377" t="s">
        <v>74</v>
      </c>
      <c r="R377" t="s">
        <v>74</v>
      </c>
      <c r="S377" t="s">
        <v>74</v>
      </c>
      <c r="T377" t="s">
        <v>7531</v>
      </c>
      <c r="U377" t="s">
        <v>7532</v>
      </c>
      <c r="V377" t="s">
        <v>7533</v>
      </c>
      <c r="W377" t="s">
        <v>7534</v>
      </c>
      <c r="X377" t="s">
        <v>7535</v>
      </c>
      <c r="Y377" t="s">
        <v>7536</v>
      </c>
      <c r="Z377" t="s">
        <v>7537</v>
      </c>
      <c r="AA377" t="s">
        <v>7538</v>
      </c>
      <c r="AB377" t="s">
        <v>7539</v>
      </c>
      <c r="AC377" t="s">
        <v>74</v>
      </c>
      <c r="AD377" t="s">
        <v>74</v>
      </c>
      <c r="AE377" t="s">
        <v>74</v>
      </c>
      <c r="AF377" t="s">
        <v>74</v>
      </c>
      <c r="AG377">
        <v>62</v>
      </c>
      <c r="AH377">
        <v>97</v>
      </c>
      <c r="AI377">
        <v>102</v>
      </c>
      <c r="AJ377">
        <v>1</v>
      </c>
      <c r="AK377">
        <v>108</v>
      </c>
      <c r="AL377" t="s">
        <v>559</v>
      </c>
      <c r="AM377" t="s">
        <v>93</v>
      </c>
      <c r="AN377" t="s">
        <v>560</v>
      </c>
      <c r="AO377" t="s">
        <v>561</v>
      </c>
      <c r="AP377" t="s">
        <v>562</v>
      </c>
      <c r="AQ377" t="s">
        <v>74</v>
      </c>
      <c r="AR377" t="s">
        <v>563</v>
      </c>
      <c r="AS377" t="s">
        <v>564</v>
      </c>
      <c r="AT377" t="s">
        <v>411</v>
      </c>
      <c r="AU377">
        <v>2021</v>
      </c>
      <c r="AV377">
        <v>294</v>
      </c>
      <c r="AW377" t="s">
        <v>74</v>
      </c>
      <c r="AX377" t="s">
        <v>74</v>
      </c>
      <c r="AY377" t="s">
        <v>74</v>
      </c>
      <c r="AZ377" t="s">
        <v>74</v>
      </c>
      <c r="BA377" t="s">
        <v>74</v>
      </c>
      <c r="BB377" t="s">
        <v>74</v>
      </c>
      <c r="BC377" t="s">
        <v>74</v>
      </c>
      <c r="BD377">
        <v>113059</v>
      </c>
      <c r="BE377" t="s">
        <v>7540</v>
      </c>
      <c r="BF377" t="str">
        <f>HYPERLINK("http://dx.doi.org/10.1016/j.jenvman.2021.113059","http://dx.doi.org/10.1016/j.jenvman.2021.113059")</f>
        <v>http://dx.doi.org/10.1016/j.jenvman.2021.113059</v>
      </c>
      <c r="BG377" t="s">
        <v>74</v>
      </c>
      <c r="BH377" t="s">
        <v>7541</v>
      </c>
      <c r="BI377">
        <v>10</v>
      </c>
      <c r="BJ377" t="s">
        <v>567</v>
      </c>
      <c r="BK377" t="s">
        <v>186</v>
      </c>
      <c r="BL377" t="s">
        <v>568</v>
      </c>
      <c r="BM377" t="s">
        <v>7542</v>
      </c>
      <c r="BN377">
        <v>34146929</v>
      </c>
      <c r="BO377" t="s">
        <v>74</v>
      </c>
      <c r="BP377" t="s">
        <v>74</v>
      </c>
      <c r="BQ377" t="s">
        <v>74</v>
      </c>
      <c r="BR377" t="s">
        <v>106</v>
      </c>
      <c r="BS377" t="s">
        <v>7543</v>
      </c>
      <c r="BT377" t="str">
        <f>HYPERLINK("https%3A%2F%2Fwww.webofscience.com%2Fwos%2Fwoscc%2Ffull-record%2FWOS:000677929700003","View Full Record in Web of Science")</f>
        <v>View Full Record in Web of Science</v>
      </c>
    </row>
    <row r="378" spans="1:72" x14ac:dyDescent="0.2">
      <c r="A378" t="s">
        <v>72</v>
      </c>
      <c r="B378" t="s">
        <v>7544</v>
      </c>
      <c r="C378" t="s">
        <v>74</v>
      </c>
      <c r="D378" t="s">
        <v>74</v>
      </c>
      <c r="E378" t="s">
        <v>74</v>
      </c>
      <c r="F378" t="s">
        <v>7545</v>
      </c>
      <c r="G378" t="s">
        <v>74</v>
      </c>
      <c r="H378" t="s">
        <v>74</v>
      </c>
      <c r="I378" t="s">
        <v>7546</v>
      </c>
      <c r="J378" t="s">
        <v>546</v>
      </c>
      <c r="K378" t="s">
        <v>74</v>
      </c>
      <c r="L378" t="s">
        <v>74</v>
      </c>
      <c r="M378" t="s">
        <v>78</v>
      </c>
      <c r="N378" t="s">
        <v>79</v>
      </c>
      <c r="O378" t="s">
        <v>74</v>
      </c>
      <c r="P378" t="s">
        <v>74</v>
      </c>
      <c r="Q378" t="s">
        <v>74</v>
      </c>
      <c r="R378" t="s">
        <v>74</v>
      </c>
      <c r="S378" t="s">
        <v>74</v>
      </c>
      <c r="T378" t="s">
        <v>7547</v>
      </c>
      <c r="U378" t="s">
        <v>7548</v>
      </c>
      <c r="V378" t="s">
        <v>7549</v>
      </c>
      <c r="W378" t="s">
        <v>7550</v>
      </c>
      <c r="X378" t="s">
        <v>7551</v>
      </c>
      <c r="Y378" t="s">
        <v>7552</v>
      </c>
      <c r="Z378" t="s">
        <v>7553</v>
      </c>
      <c r="AA378" t="s">
        <v>7554</v>
      </c>
      <c r="AB378" t="s">
        <v>74</v>
      </c>
      <c r="AC378" t="s">
        <v>74</v>
      </c>
      <c r="AD378" t="s">
        <v>74</v>
      </c>
      <c r="AE378" t="s">
        <v>74</v>
      </c>
      <c r="AF378" t="s">
        <v>74</v>
      </c>
      <c r="AG378">
        <v>61</v>
      </c>
      <c r="AH378">
        <v>3</v>
      </c>
      <c r="AI378">
        <v>3</v>
      </c>
      <c r="AJ378">
        <v>17</v>
      </c>
      <c r="AK378">
        <v>17</v>
      </c>
      <c r="AL378" t="s">
        <v>559</v>
      </c>
      <c r="AM378" t="s">
        <v>93</v>
      </c>
      <c r="AN378" t="s">
        <v>560</v>
      </c>
      <c r="AO378" t="s">
        <v>561</v>
      </c>
      <c r="AP378" t="s">
        <v>562</v>
      </c>
      <c r="AQ378" t="s">
        <v>74</v>
      </c>
      <c r="AR378" t="s">
        <v>563</v>
      </c>
      <c r="AS378" t="s">
        <v>564</v>
      </c>
      <c r="AT378" t="s">
        <v>1752</v>
      </c>
      <c r="AU378">
        <v>2025</v>
      </c>
      <c r="AV378">
        <v>389</v>
      </c>
      <c r="AW378" t="s">
        <v>74</v>
      </c>
      <c r="AX378" t="s">
        <v>74</v>
      </c>
      <c r="AY378" t="s">
        <v>74</v>
      </c>
      <c r="AZ378" t="s">
        <v>74</v>
      </c>
      <c r="BA378" t="s">
        <v>74</v>
      </c>
      <c r="BB378" t="s">
        <v>74</v>
      </c>
      <c r="BC378" t="s">
        <v>74</v>
      </c>
      <c r="BD378">
        <v>126090</v>
      </c>
      <c r="BE378" t="s">
        <v>7555</v>
      </c>
      <c r="BF378" t="str">
        <f>HYPERLINK("http://dx.doi.org/10.1016/j.jenvman.2025.126090","http://dx.doi.org/10.1016/j.jenvman.2025.126090")</f>
        <v>http://dx.doi.org/10.1016/j.jenvman.2025.126090</v>
      </c>
      <c r="BG378" t="s">
        <v>74</v>
      </c>
      <c r="BH378" t="s">
        <v>413</v>
      </c>
      <c r="BI378">
        <v>12</v>
      </c>
      <c r="BJ378" t="s">
        <v>567</v>
      </c>
      <c r="BK378" t="s">
        <v>102</v>
      </c>
      <c r="BL378" t="s">
        <v>568</v>
      </c>
      <c r="BM378" t="s">
        <v>7556</v>
      </c>
      <c r="BN378">
        <v>40532628</v>
      </c>
      <c r="BO378" t="s">
        <v>74</v>
      </c>
      <c r="BP378" t="s">
        <v>74</v>
      </c>
      <c r="BQ378" t="s">
        <v>74</v>
      </c>
      <c r="BR378" t="s">
        <v>106</v>
      </c>
      <c r="BS378" t="s">
        <v>7557</v>
      </c>
      <c r="BT378" t="str">
        <f>HYPERLINK("https%3A%2F%2Fwww.webofscience.com%2Fwos%2Fwoscc%2Ffull-record%2FWOS:001518607400001","View Full Record in Web of Science")</f>
        <v>View Full Record in Web of Science</v>
      </c>
    </row>
    <row r="379" spans="1:72" x14ac:dyDescent="0.2">
      <c r="A379" t="s">
        <v>72</v>
      </c>
      <c r="B379" t="s">
        <v>7558</v>
      </c>
      <c r="C379" t="s">
        <v>74</v>
      </c>
      <c r="D379" t="s">
        <v>74</v>
      </c>
      <c r="E379" t="s">
        <v>74</v>
      </c>
      <c r="F379" t="s">
        <v>7559</v>
      </c>
      <c r="G379" t="s">
        <v>74</v>
      </c>
      <c r="H379" t="s">
        <v>74</v>
      </c>
      <c r="I379" t="s">
        <v>7560</v>
      </c>
      <c r="J379" t="s">
        <v>4281</v>
      </c>
      <c r="K379" t="s">
        <v>74</v>
      </c>
      <c r="L379" t="s">
        <v>74</v>
      </c>
      <c r="M379" t="s">
        <v>78</v>
      </c>
      <c r="N379" t="s">
        <v>79</v>
      </c>
      <c r="O379" t="s">
        <v>74</v>
      </c>
      <c r="P379" t="s">
        <v>74</v>
      </c>
      <c r="Q379" t="s">
        <v>74</v>
      </c>
      <c r="R379" t="s">
        <v>74</v>
      </c>
      <c r="S379" t="s">
        <v>74</v>
      </c>
      <c r="T379" t="s">
        <v>74</v>
      </c>
      <c r="U379" t="s">
        <v>7561</v>
      </c>
      <c r="V379" t="s">
        <v>7562</v>
      </c>
      <c r="W379" t="s">
        <v>7563</v>
      </c>
      <c r="X379" t="s">
        <v>7564</v>
      </c>
      <c r="Y379" t="s">
        <v>7565</v>
      </c>
      <c r="Z379" t="s">
        <v>7566</v>
      </c>
      <c r="AA379" t="s">
        <v>7567</v>
      </c>
      <c r="AB379" t="s">
        <v>7568</v>
      </c>
      <c r="AC379" t="s">
        <v>7569</v>
      </c>
      <c r="AD379" t="s">
        <v>7570</v>
      </c>
      <c r="AE379" t="s">
        <v>7571</v>
      </c>
      <c r="AF379" t="s">
        <v>74</v>
      </c>
      <c r="AG379">
        <v>67</v>
      </c>
      <c r="AH379">
        <v>25</v>
      </c>
      <c r="AI379">
        <v>28</v>
      </c>
      <c r="AJ379">
        <v>31</v>
      </c>
      <c r="AK379">
        <v>174</v>
      </c>
      <c r="AL379" t="s">
        <v>274</v>
      </c>
      <c r="AM379" t="s">
        <v>275</v>
      </c>
      <c r="AN379" t="s">
        <v>276</v>
      </c>
      <c r="AO379" t="s">
        <v>74</v>
      </c>
      <c r="AP379" t="s">
        <v>4293</v>
      </c>
      <c r="AQ379" t="s">
        <v>74</v>
      </c>
      <c r="AR379" t="s">
        <v>4294</v>
      </c>
      <c r="AS379" t="s">
        <v>4295</v>
      </c>
      <c r="AT379" t="s">
        <v>7572</v>
      </c>
      <c r="AU379">
        <v>2024</v>
      </c>
      <c r="AV379">
        <v>15</v>
      </c>
      <c r="AW379">
        <v>1</v>
      </c>
      <c r="AX379" t="s">
        <v>74</v>
      </c>
      <c r="AY379" t="s">
        <v>74</v>
      </c>
      <c r="AZ379" t="s">
        <v>74</v>
      </c>
      <c r="BA379" t="s">
        <v>74</v>
      </c>
      <c r="BB379" t="s">
        <v>74</v>
      </c>
      <c r="BC379" t="s">
        <v>74</v>
      </c>
      <c r="BD379">
        <v>5880</v>
      </c>
      <c r="BE379" t="s">
        <v>7573</v>
      </c>
      <c r="BF379" t="str">
        <f>HYPERLINK("http://dx.doi.org/10.1038/s41467-024-50327-8","http://dx.doi.org/10.1038/s41467-024-50327-8")</f>
        <v>http://dx.doi.org/10.1038/s41467-024-50327-8</v>
      </c>
      <c r="BG379" t="s">
        <v>74</v>
      </c>
      <c r="BH379" t="s">
        <v>74</v>
      </c>
      <c r="BI379">
        <v>11</v>
      </c>
      <c r="BJ379" t="s">
        <v>158</v>
      </c>
      <c r="BK379" t="s">
        <v>102</v>
      </c>
      <c r="BL379" t="s">
        <v>159</v>
      </c>
      <c r="BM379" t="s">
        <v>7574</v>
      </c>
      <c r="BN379">
        <v>38997317</v>
      </c>
      <c r="BO379" t="s">
        <v>161</v>
      </c>
      <c r="BP379" t="s">
        <v>74</v>
      </c>
      <c r="BQ379" t="s">
        <v>74</v>
      </c>
      <c r="BR379" t="s">
        <v>106</v>
      </c>
      <c r="BS379" t="s">
        <v>7575</v>
      </c>
      <c r="BT379" t="str">
        <f>HYPERLINK("https%3A%2F%2Fwww.webofscience.com%2Fwos%2Fwoscc%2Ffull-record%2FWOS:001266864200005","View Full Record in Web of Science")</f>
        <v>View Full Record in Web of Science</v>
      </c>
    </row>
    <row r="380" spans="1:72" x14ac:dyDescent="0.2">
      <c r="A380" t="s">
        <v>72</v>
      </c>
      <c r="B380" t="s">
        <v>7576</v>
      </c>
      <c r="C380" t="s">
        <v>74</v>
      </c>
      <c r="D380" t="s">
        <v>74</v>
      </c>
      <c r="E380" t="s">
        <v>74</v>
      </c>
      <c r="F380" t="s">
        <v>7577</v>
      </c>
      <c r="G380" t="s">
        <v>74</v>
      </c>
      <c r="H380" t="s">
        <v>74</v>
      </c>
      <c r="I380" t="s">
        <v>7578</v>
      </c>
      <c r="J380" t="s">
        <v>7579</v>
      </c>
      <c r="K380" t="s">
        <v>74</v>
      </c>
      <c r="L380" t="s">
        <v>74</v>
      </c>
      <c r="M380" t="s">
        <v>78</v>
      </c>
      <c r="N380" t="s">
        <v>7580</v>
      </c>
      <c r="O380" t="s">
        <v>74</v>
      </c>
      <c r="P380" t="s">
        <v>74</v>
      </c>
      <c r="Q380" t="s">
        <v>74</v>
      </c>
      <c r="R380" t="s">
        <v>74</v>
      </c>
      <c r="S380" t="s">
        <v>74</v>
      </c>
      <c r="T380" t="s">
        <v>7581</v>
      </c>
      <c r="U380" t="s">
        <v>7582</v>
      </c>
      <c r="V380" t="s">
        <v>7583</v>
      </c>
      <c r="W380" t="s">
        <v>7584</v>
      </c>
      <c r="X380" t="s">
        <v>7585</v>
      </c>
      <c r="Y380" t="s">
        <v>7586</v>
      </c>
      <c r="Z380" t="s">
        <v>7587</v>
      </c>
      <c r="AA380" t="s">
        <v>7588</v>
      </c>
      <c r="AB380" t="s">
        <v>7589</v>
      </c>
      <c r="AC380" t="s">
        <v>7590</v>
      </c>
      <c r="AD380" t="s">
        <v>7591</v>
      </c>
      <c r="AE380" t="s">
        <v>7592</v>
      </c>
      <c r="AF380" t="s">
        <v>74</v>
      </c>
      <c r="AG380">
        <v>79</v>
      </c>
      <c r="AH380">
        <v>74</v>
      </c>
      <c r="AI380">
        <v>77</v>
      </c>
      <c r="AJ380">
        <v>22</v>
      </c>
      <c r="AK380">
        <v>325</v>
      </c>
      <c r="AL380" t="s">
        <v>655</v>
      </c>
      <c r="AM380" t="s">
        <v>405</v>
      </c>
      <c r="AN380" t="s">
        <v>656</v>
      </c>
      <c r="AO380" t="s">
        <v>74</v>
      </c>
      <c r="AP380" t="s">
        <v>7593</v>
      </c>
      <c r="AQ380" t="s">
        <v>74</v>
      </c>
      <c r="AR380" t="s">
        <v>7594</v>
      </c>
      <c r="AS380" t="s">
        <v>7595</v>
      </c>
      <c r="AT380" t="s">
        <v>7596</v>
      </c>
      <c r="AU380">
        <v>2022</v>
      </c>
      <c r="AV380">
        <v>10</v>
      </c>
      <c r="AW380" t="s">
        <v>74</v>
      </c>
      <c r="AX380" t="s">
        <v>74</v>
      </c>
      <c r="AY380" t="s">
        <v>74</v>
      </c>
      <c r="AZ380" t="s">
        <v>74</v>
      </c>
      <c r="BA380" t="s">
        <v>74</v>
      </c>
      <c r="BB380" t="s">
        <v>74</v>
      </c>
      <c r="BC380" t="s">
        <v>74</v>
      </c>
      <c r="BD380">
        <v>835210</v>
      </c>
      <c r="BE380" t="s">
        <v>7597</v>
      </c>
      <c r="BF380" t="str">
        <f>HYPERLINK("http://dx.doi.org/10.3389/fpubh.2022.835210","http://dx.doi.org/10.3389/fpubh.2022.835210")</f>
        <v>http://dx.doi.org/10.3389/fpubh.2022.835210</v>
      </c>
      <c r="BG380" t="s">
        <v>74</v>
      </c>
      <c r="BH380" t="s">
        <v>74</v>
      </c>
      <c r="BI380">
        <v>15</v>
      </c>
      <c r="BJ380" t="s">
        <v>7598</v>
      </c>
      <c r="BK380" t="s">
        <v>186</v>
      </c>
      <c r="BL380" t="s">
        <v>7598</v>
      </c>
      <c r="BM380" t="s">
        <v>7599</v>
      </c>
      <c r="BN380">
        <v>35223746</v>
      </c>
      <c r="BO380" t="s">
        <v>161</v>
      </c>
      <c r="BP380" t="s">
        <v>74</v>
      </c>
      <c r="BQ380" t="s">
        <v>74</v>
      </c>
      <c r="BR380" t="s">
        <v>106</v>
      </c>
      <c r="BS380" t="s">
        <v>7600</v>
      </c>
      <c r="BT380" t="str">
        <f>HYPERLINK("https%3A%2F%2Fwww.webofscience.com%2Fwos%2Fwoscc%2Ffull-record%2FWOS:000761419500001","View Full Record in Web of Science")</f>
        <v>View Full Record in Web of Science</v>
      </c>
    </row>
    <row r="381" spans="1:72" x14ac:dyDescent="0.2">
      <c r="A381" t="s">
        <v>72</v>
      </c>
      <c r="B381" t="s">
        <v>7601</v>
      </c>
      <c r="C381" t="s">
        <v>74</v>
      </c>
      <c r="D381" t="s">
        <v>74</v>
      </c>
      <c r="E381" t="s">
        <v>74</v>
      </c>
      <c r="F381" t="s">
        <v>7602</v>
      </c>
      <c r="G381" t="s">
        <v>74</v>
      </c>
      <c r="H381" t="s">
        <v>74</v>
      </c>
      <c r="I381" t="s">
        <v>7603</v>
      </c>
      <c r="J381" t="s">
        <v>4059</v>
      </c>
      <c r="K381" t="s">
        <v>74</v>
      </c>
      <c r="L381" t="s">
        <v>74</v>
      </c>
      <c r="M381" t="s">
        <v>78</v>
      </c>
      <c r="N381" t="s">
        <v>79</v>
      </c>
      <c r="O381" t="s">
        <v>74</v>
      </c>
      <c r="P381" t="s">
        <v>74</v>
      </c>
      <c r="Q381" t="s">
        <v>74</v>
      </c>
      <c r="R381" t="s">
        <v>74</v>
      </c>
      <c r="S381" t="s">
        <v>74</v>
      </c>
      <c r="T381" t="s">
        <v>7604</v>
      </c>
      <c r="U381" t="s">
        <v>7605</v>
      </c>
      <c r="V381" t="s">
        <v>7606</v>
      </c>
      <c r="W381" t="s">
        <v>7607</v>
      </c>
      <c r="X381" t="s">
        <v>7608</v>
      </c>
      <c r="Y381" t="s">
        <v>7609</v>
      </c>
      <c r="Z381" t="s">
        <v>7610</v>
      </c>
      <c r="AA381" t="s">
        <v>7611</v>
      </c>
      <c r="AB381" t="s">
        <v>7612</v>
      </c>
      <c r="AC381" t="s">
        <v>7613</v>
      </c>
      <c r="AD381" t="s">
        <v>1591</v>
      </c>
      <c r="AE381" t="s">
        <v>7614</v>
      </c>
      <c r="AF381" t="s">
        <v>74</v>
      </c>
      <c r="AG381">
        <v>61</v>
      </c>
      <c r="AH381">
        <v>13</v>
      </c>
      <c r="AI381">
        <v>13</v>
      </c>
      <c r="AJ381">
        <v>1</v>
      </c>
      <c r="AK381">
        <v>67</v>
      </c>
      <c r="AL381" t="s">
        <v>123</v>
      </c>
      <c r="AM381" t="s">
        <v>124</v>
      </c>
      <c r="AN381" t="s">
        <v>125</v>
      </c>
      <c r="AO381" t="s">
        <v>4069</v>
      </c>
      <c r="AP381" t="s">
        <v>74</v>
      </c>
      <c r="AQ381" t="s">
        <v>74</v>
      </c>
      <c r="AR381" t="s">
        <v>4070</v>
      </c>
      <c r="AS381" t="s">
        <v>4071</v>
      </c>
      <c r="AT381" t="s">
        <v>227</v>
      </c>
      <c r="AU381">
        <v>2022</v>
      </c>
      <c r="AV381">
        <v>29</v>
      </c>
      <c r="AW381" t="s">
        <v>74</v>
      </c>
      <c r="AX381" t="s">
        <v>74</v>
      </c>
      <c r="AY381" t="s">
        <v>74</v>
      </c>
      <c r="AZ381" t="s">
        <v>74</v>
      </c>
      <c r="BA381" t="s">
        <v>74</v>
      </c>
      <c r="BB381">
        <v>744</v>
      </c>
      <c r="BC381">
        <v>760</v>
      </c>
      <c r="BD381" t="s">
        <v>74</v>
      </c>
      <c r="BE381" t="s">
        <v>7615</v>
      </c>
      <c r="BF381" t="str">
        <f>HYPERLINK("http://dx.doi.org/10.1016/j.spc.2021.11.022","http://dx.doi.org/10.1016/j.spc.2021.11.022")</f>
        <v>http://dx.doi.org/10.1016/j.spc.2021.11.022</v>
      </c>
      <c r="BG381" t="s">
        <v>74</v>
      </c>
      <c r="BH381" t="s">
        <v>7616</v>
      </c>
      <c r="BI381">
        <v>17</v>
      </c>
      <c r="BJ381" t="s">
        <v>4073</v>
      </c>
      <c r="BK381" t="s">
        <v>186</v>
      </c>
      <c r="BL381" t="s">
        <v>485</v>
      </c>
      <c r="BM381" t="s">
        <v>7617</v>
      </c>
      <c r="BN381" t="s">
        <v>74</v>
      </c>
      <c r="BO381" t="s">
        <v>74</v>
      </c>
      <c r="BP381" t="s">
        <v>74</v>
      </c>
      <c r="BQ381" t="s">
        <v>74</v>
      </c>
      <c r="BR381" t="s">
        <v>106</v>
      </c>
      <c r="BS381" t="s">
        <v>7618</v>
      </c>
      <c r="BT381" t="str">
        <f>HYPERLINK("https%3A%2F%2Fwww.webofscience.com%2Fwos%2Fwoscc%2Ffull-record%2FWOS:000729693900007","View Full Record in Web of Science")</f>
        <v>View Full Record in Web of Science</v>
      </c>
    </row>
    <row r="382" spans="1:72" x14ac:dyDescent="0.2">
      <c r="A382" t="s">
        <v>72</v>
      </c>
      <c r="B382" t="s">
        <v>7619</v>
      </c>
      <c r="C382" t="s">
        <v>74</v>
      </c>
      <c r="D382" t="s">
        <v>74</v>
      </c>
      <c r="E382" t="s">
        <v>74</v>
      </c>
      <c r="F382" t="s">
        <v>7620</v>
      </c>
      <c r="G382" t="s">
        <v>74</v>
      </c>
      <c r="H382" t="s">
        <v>74</v>
      </c>
      <c r="I382" t="s">
        <v>7621</v>
      </c>
      <c r="J382" t="s">
        <v>7355</v>
      </c>
      <c r="K382" t="s">
        <v>74</v>
      </c>
      <c r="L382" t="s">
        <v>74</v>
      </c>
      <c r="M382" t="s">
        <v>78</v>
      </c>
      <c r="N382" t="s">
        <v>79</v>
      </c>
      <c r="O382" t="s">
        <v>74</v>
      </c>
      <c r="P382" t="s">
        <v>74</v>
      </c>
      <c r="Q382" t="s">
        <v>74</v>
      </c>
      <c r="R382" t="s">
        <v>74</v>
      </c>
      <c r="S382" t="s">
        <v>74</v>
      </c>
      <c r="T382" t="s">
        <v>7622</v>
      </c>
      <c r="U382" t="s">
        <v>74</v>
      </c>
      <c r="V382" t="s">
        <v>7623</v>
      </c>
      <c r="W382" t="s">
        <v>7624</v>
      </c>
      <c r="X382" t="s">
        <v>7360</v>
      </c>
      <c r="Y382" t="s">
        <v>7625</v>
      </c>
      <c r="Z382" t="s">
        <v>7626</v>
      </c>
      <c r="AA382" t="s">
        <v>7627</v>
      </c>
      <c r="AB382" t="s">
        <v>74</v>
      </c>
      <c r="AC382" t="s">
        <v>7628</v>
      </c>
      <c r="AD382" t="s">
        <v>7629</v>
      </c>
      <c r="AE382" t="s">
        <v>7630</v>
      </c>
      <c r="AF382" t="s">
        <v>74</v>
      </c>
      <c r="AG382">
        <v>18</v>
      </c>
      <c r="AH382">
        <v>5</v>
      </c>
      <c r="AI382">
        <v>7</v>
      </c>
      <c r="AJ382">
        <v>3</v>
      </c>
      <c r="AK382">
        <v>36</v>
      </c>
      <c r="AL382" t="s">
        <v>7368</v>
      </c>
      <c r="AM382" t="s">
        <v>630</v>
      </c>
      <c r="AN382" t="s">
        <v>7369</v>
      </c>
      <c r="AO382" t="s">
        <v>7370</v>
      </c>
      <c r="AP382" t="s">
        <v>7371</v>
      </c>
      <c r="AQ382" t="s">
        <v>74</v>
      </c>
      <c r="AR382" t="s">
        <v>7372</v>
      </c>
      <c r="AS382" t="s">
        <v>7373</v>
      </c>
      <c r="AT382" t="s">
        <v>99</v>
      </c>
      <c r="AU382">
        <v>2016</v>
      </c>
      <c r="AV382">
        <v>9</v>
      </c>
      <c r="AW382">
        <v>2</v>
      </c>
      <c r="AX382" t="s">
        <v>74</v>
      </c>
      <c r="AY382" t="s">
        <v>74</v>
      </c>
      <c r="AZ382" t="s">
        <v>74</v>
      </c>
      <c r="BA382" t="s">
        <v>74</v>
      </c>
      <c r="BB382">
        <v>48</v>
      </c>
      <c r="BC382">
        <v>53</v>
      </c>
      <c r="BD382" t="s">
        <v>74</v>
      </c>
      <c r="BE382" t="s">
        <v>7631</v>
      </c>
      <c r="BF382" t="str">
        <f>HYPERLINK("http://dx.doi.org/10.3965/j.ijabe.20160902.2188","http://dx.doi.org/10.3965/j.ijabe.20160902.2188")</f>
        <v>http://dx.doi.org/10.3965/j.ijabe.20160902.2188</v>
      </c>
      <c r="BG382" t="s">
        <v>74</v>
      </c>
      <c r="BH382" t="s">
        <v>74</v>
      </c>
      <c r="BI382">
        <v>6</v>
      </c>
      <c r="BJ382" t="s">
        <v>842</v>
      </c>
      <c r="BK382" t="s">
        <v>102</v>
      </c>
      <c r="BL382" t="s">
        <v>103</v>
      </c>
      <c r="BM382" t="s">
        <v>7632</v>
      </c>
      <c r="BN382" t="s">
        <v>74</v>
      </c>
      <c r="BO382" t="s">
        <v>74</v>
      </c>
      <c r="BP382" t="s">
        <v>74</v>
      </c>
      <c r="BQ382" t="s">
        <v>74</v>
      </c>
      <c r="BR382" t="s">
        <v>106</v>
      </c>
      <c r="BS382" t="s">
        <v>7633</v>
      </c>
      <c r="BT382" t="str">
        <f>HYPERLINK("https%3A%2F%2Fwww.webofscience.com%2Fwos%2Fwoscc%2Ffull-record%2FWOS:000373965800006","View Full Record in Web of Science")</f>
        <v>View Full Record in Web of Science</v>
      </c>
    </row>
    <row r="383" spans="1:72" x14ac:dyDescent="0.2">
      <c r="A383" t="s">
        <v>72</v>
      </c>
      <c r="B383" t="s">
        <v>7634</v>
      </c>
      <c r="C383" t="s">
        <v>74</v>
      </c>
      <c r="D383" t="s">
        <v>74</v>
      </c>
      <c r="E383" t="s">
        <v>74</v>
      </c>
      <c r="F383" t="s">
        <v>7635</v>
      </c>
      <c r="G383" t="s">
        <v>74</v>
      </c>
      <c r="H383" t="s">
        <v>74</v>
      </c>
      <c r="I383" t="s">
        <v>7636</v>
      </c>
      <c r="J383" t="s">
        <v>3061</v>
      </c>
      <c r="K383" t="s">
        <v>74</v>
      </c>
      <c r="L383" t="s">
        <v>74</v>
      </c>
      <c r="M383" t="s">
        <v>78</v>
      </c>
      <c r="N383" t="s">
        <v>79</v>
      </c>
      <c r="O383" t="s">
        <v>74</v>
      </c>
      <c r="P383" t="s">
        <v>74</v>
      </c>
      <c r="Q383" t="s">
        <v>74</v>
      </c>
      <c r="R383" t="s">
        <v>74</v>
      </c>
      <c r="S383" t="s">
        <v>74</v>
      </c>
      <c r="T383" t="s">
        <v>7637</v>
      </c>
      <c r="U383" t="s">
        <v>7638</v>
      </c>
      <c r="V383" t="s">
        <v>7639</v>
      </c>
      <c r="W383" t="s">
        <v>7640</v>
      </c>
      <c r="X383" t="s">
        <v>7641</v>
      </c>
      <c r="Y383" t="s">
        <v>7642</v>
      </c>
      <c r="Z383" t="s">
        <v>7643</v>
      </c>
      <c r="AA383" t="s">
        <v>7644</v>
      </c>
      <c r="AB383" t="s">
        <v>7645</v>
      </c>
      <c r="AC383" t="s">
        <v>7646</v>
      </c>
      <c r="AD383" t="s">
        <v>7647</v>
      </c>
      <c r="AE383" t="s">
        <v>7648</v>
      </c>
      <c r="AF383" t="s">
        <v>74</v>
      </c>
      <c r="AG383">
        <v>93</v>
      </c>
      <c r="AH383">
        <v>42</v>
      </c>
      <c r="AI383">
        <v>46</v>
      </c>
      <c r="AJ383">
        <v>12</v>
      </c>
      <c r="AK383">
        <v>155</v>
      </c>
      <c r="AL383" t="s">
        <v>123</v>
      </c>
      <c r="AM383" t="s">
        <v>124</v>
      </c>
      <c r="AN383" t="s">
        <v>125</v>
      </c>
      <c r="AO383" t="s">
        <v>3074</v>
      </c>
      <c r="AP383" t="s">
        <v>3075</v>
      </c>
      <c r="AQ383" t="s">
        <v>74</v>
      </c>
      <c r="AR383" t="s">
        <v>3061</v>
      </c>
      <c r="AS383" t="s">
        <v>3076</v>
      </c>
      <c r="AT383" t="s">
        <v>3270</v>
      </c>
      <c r="AU383">
        <v>2016</v>
      </c>
      <c r="AV383">
        <v>275</v>
      </c>
      <c r="AW383" t="s">
        <v>74</v>
      </c>
      <c r="AX383" t="s">
        <v>74</v>
      </c>
      <c r="AY383" t="s">
        <v>74</v>
      </c>
      <c r="AZ383" t="s">
        <v>74</v>
      </c>
      <c r="BA383" t="s">
        <v>74</v>
      </c>
      <c r="BB383">
        <v>28</v>
      </c>
      <c r="BC383">
        <v>39</v>
      </c>
      <c r="BD383" t="s">
        <v>74</v>
      </c>
      <c r="BE383" t="s">
        <v>7649</v>
      </c>
      <c r="BF383" t="str">
        <f>HYPERLINK("http://dx.doi.org/10.1016/j.geoderma.2016.04.001","http://dx.doi.org/10.1016/j.geoderma.2016.04.001")</f>
        <v>http://dx.doi.org/10.1016/j.geoderma.2016.04.001</v>
      </c>
      <c r="BG383" t="s">
        <v>74</v>
      </c>
      <c r="BH383" t="s">
        <v>74</v>
      </c>
      <c r="BI383">
        <v>12</v>
      </c>
      <c r="BJ383" t="s">
        <v>256</v>
      </c>
      <c r="BK383" t="s">
        <v>102</v>
      </c>
      <c r="BL383" t="s">
        <v>103</v>
      </c>
      <c r="BM383" t="s">
        <v>7650</v>
      </c>
      <c r="BN383" t="s">
        <v>74</v>
      </c>
      <c r="BO383" t="s">
        <v>74</v>
      </c>
      <c r="BP383" t="s">
        <v>74</v>
      </c>
      <c r="BQ383" t="s">
        <v>74</v>
      </c>
      <c r="BR383" t="s">
        <v>106</v>
      </c>
      <c r="BS383" t="s">
        <v>7651</v>
      </c>
      <c r="BT383" t="str">
        <f>HYPERLINK("https%3A%2F%2Fwww.webofscience.com%2Fwos%2Fwoscc%2Ffull-record%2FWOS:000376831300004","View Full Record in Web of Science")</f>
        <v>View Full Record in Web of Science</v>
      </c>
    </row>
    <row r="384" spans="1:72" x14ac:dyDescent="0.2">
      <c r="A384" t="s">
        <v>72</v>
      </c>
      <c r="B384" t="s">
        <v>7652</v>
      </c>
      <c r="C384" t="s">
        <v>74</v>
      </c>
      <c r="D384" t="s">
        <v>74</v>
      </c>
      <c r="E384" t="s">
        <v>74</v>
      </c>
      <c r="F384" t="s">
        <v>7653</v>
      </c>
      <c r="G384" t="s">
        <v>74</v>
      </c>
      <c r="H384" t="s">
        <v>74</v>
      </c>
      <c r="I384" t="s">
        <v>7654</v>
      </c>
      <c r="J384" t="s">
        <v>166</v>
      </c>
      <c r="K384" t="s">
        <v>74</v>
      </c>
      <c r="L384" t="s">
        <v>74</v>
      </c>
      <c r="M384" t="s">
        <v>78</v>
      </c>
      <c r="N384" t="s">
        <v>79</v>
      </c>
      <c r="O384" t="s">
        <v>74</v>
      </c>
      <c r="P384" t="s">
        <v>74</v>
      </c>
      <c r="Q384" t="s">
        <v>74</v>
      </c>
      <c r="R384" t="s">
        <v>74</v>
      </c>
      <c r="S384" t="s">
        <v>74</v>
      </c>
      <c r="T384" t="s">
        <v>7655</v>
      </c>
      <c r="U384" t="s">
        <v>7656</v>
      </c>
      <c r="V384" t="s">
        <v>7657</v>
      </c>
      <c r="W384" t="s">
        <v>7658</v>
      </c>
      <c r="X384" t="s">
        <v>7659</v>
      </c>
      <c r="Y384" t="s">
        <v>7660</v>
      </c>
      <c r="Z384" t="s">
        <v>7661</v>
      </c>
      <c r="AA384" t="s">
        <v>7662</v>
      </c>
      <c r="AB384" t="s">
        <v>7663</v>
      </c>
      <c r="AC384" t="s">
        <v>7664</v>
      </c>
      <c r="AD384" t="s">
        <v>7665</v>
      </c>
      <c r="AE384" t="s">
        <v>7666</v>
      </c>
      <c r="AF384" t="s">
        <v>74</v>
      </c>
      <c r="AG384">
        <v>62</v>
      </c>
      <c r="AH384">
        <v>34</v>
      </c>
      <c r="AI384">
        <v>43</v>
      </c>
      <c r="AJ384">
        <v>3</v>
      </c>
      <c r="AK384">
        <v>85</v>
      </c>
      <c r="AL384" t="s">
        <v>176</v>
      </c>
      <c r="AM384" t="s">
        <v>177</v>
      </c>
      <c r="AN384" t="s">
        <v>178</v>
      </c>
      <c r="AO384" t="s">
        <v>179</v>
      </c>
      <c r="AP384" t="s">
        <v>180</v>
      </c>
      <c r="AQ384" t="s">
        <v>74</v>
      </c>
      <c r="AR384" t="s">
        <v>181</v>
      </c>
      <c r="AS384" t="s">
        <v>182</v>
      </c>
      <c r="AT384" t="s">
        <v>805</v>
      </c>
      <c r="AU384">
        <v>2015</v>
      </c>
      <c r="AV384">
        <v>35</v>
      </c>
      <c r="AW384" t="s">
        <v>74</v>
      </c>
      <c r="AX384" t="s">
        <v>74</v>
      </c>
      <c r="AY384" t="s">
        <v>74</v>
      </c>
      <c r="AZ384" t="s">
        <v>74</v>
      </c>
      <c r="BA384" t="s">
        <v>74</v>
      </c>
      <c r="BB384">
        <v>269</v>
      </c>
      <c r="BC384">
        <v>278</v>
      </c>
      <c r="BD384" t="s">
        <v>74</v>
      </c>
      <c r="BE384" t="s">
        <v>7667</v>
      </c>
      <c r="BF384" t="str">
        <f>HYPERLINK("http://dx.doi.org/10.1016/j.gloenvcha.2015.08.004","http://dx.doi.org/10.1016/j.gloenvcha.2015.08.004")</f>
        <v>http://dx.doi.org/10.1016/j.gloenvcha.2015.08.004</v>
      </c>
      <c r="BG384" t="s">
        <v>74</v>
      </c>
      <c r="BH384" t="s">
        <v>74</v>
      </c>
      <c r="BI384">
        <v>10</v>
      </c>
      <c r="BJ384" t="s">
        <v>185</v>
      </c>
      <c r="BK384" t="s">
        <v>186</v>
      </c>
      <c r="BL384" t="s">
        <v>187</v>
      </c>
      <c r="BM384" t="s">
        <v>7668</v>
      </c>
      <c r="BN384" t="s">
        <v>74</v>
      </c>
      <c r="BO384" t="s">
        <v>74</v>
      </c>
      <c r="BP384" t="s">
        <v>74</v>
      </c>
      <c r="BQ384" t="s">
        <v>74</v>
      </c>
      <c r="BR384" t="s">
        <v>106</v>
      </c>
      <c r="BS384" t="s">
        <v>7669</v>
      </c>
      <c r="BT384" t="str">
        <f>HYPERLINK("https%3A%2F%2Fwww.webofscience.com%2Fwos%2Fwoscc%2Ffull-record%2FWOS:000366767100024","View Full Record in Web of Science")</f>
        <v>View Full Record in Web of Science</v>
      </c>
    </row>
    <row r="385" spans="1:72" x14ac:dyDescent="0.2">
      <c r="A385" t="s">
        <v>72</v>
      </c>
      <c r="B385" t="s">
        <v>7670</v>
      </c>
      <c r="C385" t="s">
        <v>74</v>
      </c>
      <c r="D385" t="s">
        <v>74</v>
      </c>
      <c r="E385" t="s">
        <v>74</v>
      </c>
      <c r="F385" t="s">
        <v>7671</v>
      </c>
      <c r="G385" t="s">
        <v>74</v>
      </c>
      <c r="H385" t="s">
        <v>74</v>
      </c>
      <c r="I385" t="s">
        <v>7672</v>
      </c>
      <c r="J385" t="s">
        <v>5977</v>
      </c>
      <c r="K385" t="s">
        <v>74</v>
      </c>
      <c r="L385" t="s">
        <v>74</v>
      </c>
      <c r="M385" t="s">
        <v>78</v>
      </c>
      <c r="N385" t="s">
        <v>79</v>
      </c>
      <c r="O385" t="s">
        <v>74</v>
      </c>
      <c r="P385" t="s">
        <v>74</v>
      </c>
      <c r="Q385" t="s">
        <v>74</v>
      </c>
      <c r="R385" t="s">
        <v>74</v>
      </c>
      <c r="S385" t="s">
        <v>74</v>
      </c>
      <c r="T385" t="s">
        <v>7673</v>
      </c>
      <c r="U385" t="s">
        <v>7674</v>
      </c>
      <c r="V385" t="s">
        <v>7675</v>
      </c>
      <c r="W385" t="s">
        <v>7676</v>
      </c>
      <c r="X385" t="s">
        <v>7677</v>
      </c>
      <c r="Y385" t="s">
        <v>7678</v>
      </c>
      <c r="Z385" t="s">
        <v>7679</v>
      </c>
      <c r="AA385" t="s">
        <v>7680</v>
      </c>
      <c r="AB385" t="s">
        <v>7681</v>
      </c>
      <c r="AC385" t="s">
        <v>7682</v>
      </c>
      <c r="AD385" t="s">
        <v>7683</v>
      </c>
      <c r="AE385" t="s">
        <v>7684</v>
      </c>
      <c r="AF385" t="s">
        <v>74</v>
      </c>
      <c r="AG385">
        <v>67</v>
      </c>
      <c r="AH385">
        <v>8</v>
      </c>
      <c r="AI385">
        <v>9</v>
      </c>
      <c r="AJ385">
        <v>4</v>
      </c>
      <c r="AK385">
        <v>56</v>
      </c>
      <c r="AL385" t="s">
        <v>5988</v>
      </c>
      <c r="AM385" t="s">
        <v>93</v>
      </c>
      <c r="AN385" t="s">
        <v>5989</v>
      </c>
      <c r="AO385" t="s">
        <v>5990</v>
      </c>
      <c r="AP385" t="s">
        <v>74</v>
      </c>
      <c r="AQ385" t="s">
        <v>74</v>
      </c>
      <c r="AR385" t="s">
        <v>5977</v>
      </c>
      <c r="AS385" t="s">
        <v>5991</v>
      </c>
      <c r="AT385" t="s">
        <v>7685</v>
      </c>
      <c r="AU385">
        <v>2018</v>
      </c>
      <c r="AV385">
        <v>6</v>
      </c>
      <c r="AW385" t="s">
        <v>74</v>
      </c>
      <c r="AX385" t="s">
        <v>74</v>
      </c>
      <c r="AY385" t="s">
        <v>74</v>
      </c>
      <c r="AZ385" t="s">
        <v>74</v>
      </c>
      <c r="BA385" t="s">
        <v>74</v>
      </c>
      <c r="BB385" t="s">
        <v>74</v>
      </c>
      <c r="BC385" t="s">
        <v>74</v>
      </c>
      <c r="BD385" t="s">
        <v>7686</v>
      </c>
      <c r="BE385" t="s">
        <v>7687</v>
      </c>
      <c r="BF385" t="str">
        <f>HYPERLINK("http://dx.doi.org/10.7717/peerj.5465","http://dx.doi.org/10.7717/peerj.5465")</f>
        <v>http://dx.doi.org/10.7717/peerj.5465</v>
      </c>
      <c r="BG385" t="s">
        <v>74</v>
      </c>
      <c r="BH385" t="s">
        <v>74</v>
      </c>
      <c r="BI385">
        <v>25</v>
      </c>
      <c r="BJ385" t="s">
        <v>158</v>
      </c>
      <c r="BK385" t="s">
        <v>102</v>
      </c>
      <c r="BL385" t="s">
        <v>159</v>
      </c>
      <c r="BM385" t="s">
        <v>7688</v>
      </c>
      <c r="BN385">
        <v>30186683</v>
      </c>
      <c r="BO385" t="s">
        <v>161</v>
      </c>
      <c r="BP385" t="s">
        <v>74</v>
      </c>
      <c r="BQ385" t="s">
        <v>74</v>
      </c>
      <c r="BR385" t="s">
        <v>106</v>
      </c>
      <c r="BS385" t="s">
        <v>7689</v>
      </c>
      <c r="BT385" t="str">
        <f>HYPERLINK("https%3A%2F%2Fwww.webofscience.com%2Fwos%2Fwoscc%2Ffull-record%2FWOS:000443311800003","View Full Record in Web of Science")</f>
        <v>View Full Record in Web of Science</v>
      </c>
    </row>
    <row r="386" spans="1:72" x14ac:dyDescent="0.2">
      <c r="A386" t="s">
        <v>72</v>
      </c>
      <c r="B386" t="s">
        <v>7690</v>
      </c>
      <c r="C386" t="s">
        <v>74</v>
      </c>
      <c r="D386" t="s">
        <v>74</v>
      </c>
      <c r="E386" t="s">
        <v>74</v>
      </c>
      <c r="F386" t="s">
        <v>7691</v>
      </c>
      <c r="G386" t="s">
        <v>74</v>
      </c>
      <c r="H386" t="s">
        <v>74</v>
      </c>
      <c r="I386" t="s">
        <v>7692</v>
      </c>
      <c r="J386" t="s">
        <v>921</v>
      </c>
      <c r="K386" t="s">
        <v>74</v>
      </c>
      <c r="L386" t="s">
        <v>74</v>
      </c>
      <c r="M386" t="s">
        <v>78</v>
      </c>
      <c r="N386" t="s">
        <v>79</v>
      </c>
      <c r="O386" t="s">
        <v>74</v>
      </c>
      <c r="P386" t="s">
        <v>74</v>
      </c>
      <c r="Q386" t="s">
        <v>74</v>
      </c>
      <c r="R386" t="s">
        <v>74</v>
      </c>
      <c r="S386" t="s">
        <v>74</v>
      </c>
      <c r="T386" t="s">
        <v>7693</v>
      </c>
      <c r="U386" t="s">
        <v>7694</v>
      </c>
      <c r="V386" t="s">
        <v>7695</v>
      </c>
      <c r="W386" t="s">
        <v>7696</v>
      </c>
      <c r="X386" t="s">
        <v>74</v>
      </c>
      <c r="Y386" t="s">
        <v>7697</v>
      </c>
      <c r="Z386" t="s">
        <v>7698</v>
      </c>
      <c r="AA386" t="s">
        <v>74</v>
      </c>
      <c r="AB386" t="s">
        <v>7699</v>
      </c>
      <c r="AC386" t="s">
        <v>74</v>
      </c>
      <c r="AD386" t="s">
        <v>74</v>
      </c>
      <c r="AE386" t="s">
        <v>74</v>
      </c>
      <c r="AF386" t="s">
        <v>74</v>
      </c>
      <c r="AG386">
        <v>58</v>
      </c>
      <c r="AH386">
        <v>1</v>
      </c>
      <c r="AI386">
        <v>1</v>
      </c>
      <c r="AJ386">
        <v>21</v>
      </c>
      <c r="AK386">
        <v>28</v>
      </c>
      <c r="AL386" t="s">
        <v>934</v>
      </c>
      <c r="AM386" t="s">
        <v>177</v>
      </c>
      <c r="AN386" t="s">
        <v>935</v>
      </c>
      <c r="AO386" t="s">
        <v>936</v>
      </c>
      <c r="AP386" t="s">
        <v>937</v>
      </c>
      <c r="AQ386" t="s">
        <v>74</v>
      </c>
      <c r="AR386" t="s">
        <v>938</v>
      </c>
      <c r="AS386" t="s">
        <v>939</v>
      </c>
      <c r="AT386" t="s">
        <v>1752</v>
      </c>
      <c r="AU386">
        <v>2025</v>
      </c>
      <c r="AV386">
        <v>207</v>
      </c>
      <c r="AW386" t="s">
        <v>74</v>
      </c>
      <c r="AX386" t="s">
        <v>74</v>
      </c>
      <c r="AY386" t="s">
        <v>74</v>
      </c>
      <c r="AZ386" t="s">
        <v>74</v>
      </c>
      <c r="BA386" t="s">
        <v>74</v>
      </c>
      <c r="BB386" t="s">
        <v>74</v>
      </c>
      <c r="BC386" t="s">
        <v>74</v>
      </c>
      <c r="BD386">
        <v>109836</v>
      </c>
      <c r="BE386" t="s">
        <v>7700</v>
      </c>
      <c r="BF386" t="str">
        <f>HYPERLINK("http://dx.doi.org/10.1016/j.soilbio.2025.109836","http://dx.doi.org/10.1016/j.soilbio.2025.109836")</f>
        <v>http://dx.doi.org/10.1016/j.soilbio.2025.109836</v>
      </c>
      <c r="BG386" t="s">
        <v>74</v>
      </c>
      <c r="BH386" t="s">
        <v>339</v>
      </c>
      <c r="BI386">
        <v>9</v>
      </c>
      <c r="BJ386" t="s">
        <v>256</v>
      </c>
      <c r="BK386" t="s">
        <v>102</v>
      </c>
      <c r="BL386" t="s">
        <v>103</v>
      </c>
      <c r="BM386" t="s">
        <v>7701</v>
      </c>
      <c r="BN386" t="s">
        <v>74</v>
      </c>
      <c r="BO386" t="s">
        <v>74</v>
      </c>
      <c r="BP386" t="s">
        <v>74</v>
      </c>
      <c r="BQ386" t="s">
        <v>74</v>
      </c>
      <c r="BR386" t="s">
        <v>106</v>
      </c>
      <c r="BS386" t="s">
        <v>7702</v>
      </c>
      <c r="BT386" t="str">
        <f>HYPERLINK("https%3A%2F%2Fwww.webofscience.com%2Fwos%2Fwoscc%2Ffull-record%2FWOS:001487038700001","View Full Record in Web of Science")</f>
        <v>View Full Record in Web of Science</v>
      </c>
    </row>
    <row r="387" spans="1:72" x14ac:dyDescent="0.2">
      <c r="A387" t="s">
        <v>72</v>
      </c>
      <c r="B387" t="s">
        <v>7703</v>
      </c>
      <c r="C387" t="s">
        <v>74</v>
      </c>
      <c r="D387" t="s">
        <v>74</v>
      </c>
      <c r="E387" t="s">
        <v>74</v>
      </c>
      <c r="F387" t="s">
        <v>7704</v>
      </c>
      <c r="G387" t="s">
        <v>74</v>
      </c>
      <c r="H387" t="s">
        <v>74</v>
      </c>
      <c r="I387" t="s">
        <v>7705</v>
      </c>
      <c r="J387" t="s">
        <v>762</v>
      </c>
      <c r="K387" t="s">
        <v>74</v>
      </c>
      <c r="L387" t="s">
        <v>74</v>
      </c>
      <c r="M387" t="s">
        <v>78</v>
      </c>
      <c r="N387" t="s">
        <v>79</v>
      </c>
      <c r="O387" t="s">
        <v>74</v>
      </c>
      <c r="P387" t="s">
        <v>74</v>
      </c>
      <c r="Q387" t="s">
        <v>74</v>
      </c>
      <c r="R387" t="s">
        <v>74</v>
      </c>
      <c r="S387" t="s">
        <v>74</v>
      </c>
      <c r="T387" t="s">
        <v>7706</v>
      </c>
      <c r="U387" t="s">
        <v>7707</v>
      </c>
      <c r="V387" t="s">
        <v>7708</v>
      </c>
      <c r="W387" t="s">
        <v>7709</v>
      </c>
      <c r="X387" t="s">
        <v>7710</v>
      </c>
      <c r="Y387" t="s">
        <v>7711</v>
      </c>
      <c r="Z387" t="s">
        <v>7712</v>
      </c>
      <c r="AA387" t="s">
        <v>7713</v>
      </c>
      <c r="AB387" t="s">
        <v>74</v>
      </c>
      <c r="AC387" t="s">
        <v>7714</v>
      </c>
      <c r="AD387" t="s">
        <v>7715</v>
      </c>
      <c r="AE387" t="s">
        <v>7716</v>
      </c>
      <c r="AF387" t="s">
        <v>74</v>
      </c>
      <c r="AG387">
        <v>67</v>
      </c>
      <c r="AH387">
        <v>0</v>
      </c>
      <c r="AI387">
        <v>0</v>
      </c>
      <c r="AJ387">
        <v>8</v>
      </c>
      <c r="AK387">
        <v>8</v>
      </c>
      <c r="AL387" t="s">
        <v>1631</v>
      </c>
      <c r="AM387" t="s">
        <v>776</v>
      </c>
      <c r="AN387" t="s">
        <v>777</v>
      </c>
      <c r="AO387" t="s">
        <v>778</v>
      </c>
      <c r="AP387" t="s">
        <v>74</v>
      </c>
      <c r="AQ387" t="s">
        <v>74</v>
      </c>
      <c r="AR387" t="s">
        <v>779</v>
      </c>
      <c r="AS387" t="s">
        <v>780</v>
      </c>
      <c r="AT387" t="s">
        <v>1612</v>
      </c>
      <c r="AU387">
        <v>2025</v>
      </c>
      <c r="AV387">
        <v>20</v>
      </c>
      <c r="AW387">
        <v>10</v>
      </c>
      <c r="AX387" t="s">
        <v>74</v>
      </c>
      <c r="AY387" t="s">
        <v>74</v>
      </c>
      <c r="AZ387" t="s">
        <v>74</v>
      </c>
      <c r="BA387" t="s">
        <v>74</v>
      </c>
      <c r="BB387" t="s">
        <v>74</v>
      </c>
      <c r="BC387" t="s">
        <v>74</v>
      </c>
      <c r="BD387">
        <v>104026</v>
      </c>
      <c r="BE387" t="s">
        <v>7717</v>
      </c>
      <c r="BF387" t="str">
        <f>HYPERLINK("http://dx.doi.org/10.1088/1748-9326/adfbfd","http://dx.doi.org/10.1088/1748-9326/adfbfd")</f>
        <v>http://dx.doi.org/10.1088/1748-9326/adfbfd</v>
      </c>
      <c r="BG387" t="s">
        <v>74</v>
      </c>
      <c r="BH387" t="s">
        <v>74</v>
      </c>
      <c r="BI387">
        <v>18</v>
      </c>
      <c r="BJ387" t="s">
        <v>782</v>
      </c>
      <c r="BK387" t="s">
        <v>102</v>
      </c>
      <c r="BL387" t="s">
        <v>783</v>
      </c>
      <c r="BM387" t="s">
        <v>7718</v>
      </c>
      <c r="BN387" t="s">
        <v>74</v>
      </c>
      <c r="BO387" t="s">
        <v>231</v>
      </c>
      <c r="BP387" t="s">
        <v>74</v>
      </c>
      <c r="BQ387" t="s">
        <v>74</v>
      </c>
      <c r="BR387" t="s">
        <v>106</v>
      </c>
      <c r="BS387" t="s">
        <v>7719</v>
      </c>
      <c r="BT387" t="str">
        <f>HYPERLINK("https%3A%2F%2Fwww.webofscience.com%2Fwos%2Fwoscc%2Ffull-record%2FWOS:001564727300001","View Full Record in Web of Science")</f>
        <v>View Full Record in Web of Science</v>
      </c>
    </row>
    <row r="388" spans="1:72" x14ac:dyDescent="0.2">
      <c r="A388" t="s">
        <v>72</v>
      </c>
      <c r="B388" t="s">
        <v>7720</v>
      </c>
      <c r="C388" t="s">
        <v>74</v>
      </c>
      <c r="D388" t="s">
        <v>74</v>
      </c>
      <c r="E388" t="s">
        <v>74</v>
      </c>
      <c r="F388" t="s">
        <v>7721</v>
      </c>
      <c r="G388" t="s">
        <v>74</v>
      </c>
      <c r="H388" t="s">
        <v>74</v>
      </c>
      <c r="I388" t="s">
        <v>7722</v>
      </c>
      <c r="J388" t="s">
        <v>468</v>
      </c>
      <c r="K388" t="s">
        <v>74</v>
      </c>
      <c r="L388" t="s">
        <v>74</v>
      </c>
      <c r="M388" t="s">
        <v>78</v>
      </c>
      <c r="N388" t="s">
        <v>79</v>
      </c>
      <c r="O388" t="s">
        <v>74</v>
      </c>
      <c r="P388" t="s">
        <v>74</v>
      </c>
      <c r="Q388" t="s">
        <v>74</v>
      </c>
      <c r="R388" t="s">
        <v>74</v>
      </c>
      <c r="S388" t="s">
        <v>74</v>
      </c>
      <c r="T388" t="s">
        <v>7723</v>
      </c>
      <c r="U388" t="s">
        <v>7724</v>
      </c>
      <c r="V388" t="s">
        <v>7725</v>
      </c>
      <c r="W388" t="s">
        <v>7726</v>
      </c>
      <c r="X388" t="s">
        <v>7727</v>
      </c>
      <c r="Y388" t="s">
        <v>7728</v>
      </c>
      <c r="Z388" t="s">
        <v>7729</v>
      </c>
      <c r="AA388" t="s">
        <v>7730</v>
      </c>
      <c r="AB388" t="s">
        <v>7731</v>
      </c>
      <c r="AC388" t="s">
        <v>7732</v>
      </c>
      <c r="AD388" t="s">
        <v>7732</v>
      </c>
      <c r="AE388" t="s">
        <v>7733</v>
      </c>
      <c r="AF388" t="s">
        <v>74</v>
      </c>
      <c r="AG388">
        <v>26</v>
      </c>
      <c r="AH388">
        <v>15</v>
      </c>
      <c r="AI388">
        <v>16</v>
      </c>
      <c r="AJ388">
        <v>0</v>
      </c>
      <c r="AK388">
        <v>27</v>
      </c>
      <c r="AL388" t="s">
        <v>222</v>
      </c>
      <c r="AM388" t="s">
        <v>223</v>
      </c>
      <c r="AN388" t="s">
        <v>224</v>
      </c>
      <c r="AO388" t="s">
        <v>74</v>
      </c>
      <c r="AP388" t="s">
        <v>479</v>
      </c>
      <c r="AQ388" t="s">
        <v>74</v>
      </c>
      <c r="AR388" t="s">
        <v>480</v>
      </c>
      <c r="AS388" t="s">
        <v>481</v>
      </c>
      <c r="AT388" t="s">
        <v>227</v>
      </c>
      <c r="AU388">
        <v>2018</v>
      </c>
      <c r="AV388">
        <v>10</v>
      </c>
      <c r="AW388">
        <v>1</v>
      </c>
      <c r="AX388" t="s">
        <v>74</v>
      </c>
      <c r="AY388" t="s">
        <v>74</v>
      </c>
      <c r="AZ388" t="s">
        <v>74</v>
      </c>
      <c r="BA388" t="s">
        <v>74</v>
      </c>
      <c r="BB388" t="s">
        <v>74</v>
      </c>
      <c r="BC388" t="s">
        <v>74</v>
      </c>
      <c r="BD388">
        <v>152</v>
      </c>
      <c r="BE388" t="s">
        <v>7734</v>
      </c>
      <c r="BF388" t="str">
        <f>HYPERLINK("http://dx.doi.org/10.3390/su10010152","http://dx.doi.org/10.3390/su10010152")</f>
        <v>http://dx.doi.org/10.3390/su10010152</v>
      </c>
      <c r="BG388" t="s">
        <v>74</v>
      </c>
      <c r="BH388" t="s">
        <v>74</v>
      </c>
      <c r="BI388">
        <v>17</v>
      </c>
      <c r="BJ388" t="s">
        <v>484</v>
      </c>
      <c r="BK388" t="s">
        <v>186</v>
      </c>
      <c r="BL388" t="s">
        <v>485</v>
      </c>
      <c r="BM388" t="s">
        <v>7735</v>
      </c>
      <c r="BN388" t="s">
        <v>74</v>
      </c>
      <c r="BO388" t="s">
        <v>161</v>
      </c>
      <c r="BP388" t="s">
        <v>74</v>
      </c>
      <c r="BQ388" t="s">
        <v>74</v>
      </c>
      <c r="BR388" t="s">
        <v>106</v>
      </c>
      <c r="BS388" t="s">
        <v>7736</v>
      </c>
      <c r="BT388" t="str">
        <f>HYPERLINK("https%3A%2F%2Fwww.webofscience.com%2Fwos%2Fwoscc%2Ffull-record%2FWOS:000425082600150","View Full Record in Web of Science")</f>
        <v>View Full Record in Web of Science</v>
      </c>
    </row>
    <row r="389" spans="1:72" x14ac:dyDescent="0.2">
      <c r="A389" t="s">
        <v>72</v>
      </c>
      <c r="B389" t="s">
        <v>7737</v>
      </c>
      <c r="C389" t="s">
        <v>74</v>
      </c>
      <c r="D389" t="s">
        <v>74</v>
      </c>
      <c r="E389" t="s">
        <v>74</v>
      </c>
      <c r="F389" t="s">
        <v>7738</v>
      </c>
      <c r="G389" t="s">
        <v>74</v>
      </c>
      <c r="H389" t="s">
        <v>74</v>
      </c>
      <c r="I389" t="s">
        <v>7739</v>
      </c>
      <c r="J389" t="s">
        <v>740</v>
      </c>
      <c r="K389" t="s">
        <v>74</v>
      </c>
      <c r="L389" t="s">
        <v>74</v>
      </c>
      <c r="M389" t="s">
        <v>78</v>
      </c>
      <c r="N389" t="s">
        <v>79</v>
      </c>
      <c r="O389" t="s">
        <v>74</v>
      </c>
      <c r="P389" t="s">
        <v>74</v>
      </c>
      <c r="Q389" t="s">
        <v>74</v>
      </c>
      <c r="R389" t="s">
        <v>74</v>
      </c>
      <c r="S389" t="s">
        <v>74</v>
      </c>
      <c r="T389" t="s">
        <v>7740</v>
      </c>
      <c r="U389" t="s">
        <v>7741</v>
      </c>
      <c r="V389" t="s">
        <v>7742</v>
      </c>
      <c r="W389" t="s">
        <v>7743</v>
      </c>
      <c r="X389" t="s">
        <v>7744</v>
      </c>
      <c r="Y389" t="s">
        <v>7745</v>
      </c>
      <c r="Z389" t="s">
        <v>7746</v>
      </c>
      <c r="AA389" t="s">
        <v>7747</v>
      </c>
      <c r="AB389" t="s">
        <v>7748</v>
      </c>
      <c r="AC389" t="s">
        <v>7749</v>
      </c>
      <c r="AD389" t="s">
        <v>7750</v>
      </c>
      <c r="AE389" t="s">
        <v>7749</v>
      </c>
      <c r="AF389" t="s">
        <v>74</v>
      </c>
      <c r="AG389">
        <v>66</v>
      </c>
      <c r="AH389">
        <v>30</v>
      </c>
      <c r="AI389">
        <v>35</v>
      </c>
      <c r="AJ389">
        <v>11</v>
      </c>
      <c r="AK389">
        <v>161</v>
      </c>
      <c r="AL389" t="s">
        <v>247</v>
      </c>
      <c r="AM389" t="s">
        <v>248</v>
      </c>
      <c r="AN389" t="s">
        <v>249</v>
      </c>
      <c r="AO389" t="s">
        <v>750</v>
      </c>
      <c r="AP389" t="s">
        <v>751</v>
      </c>
      <c r="AQ389" t="s">
        <v>74</v>
      </c>
      <c r="AR389" t="s">
        <v>752</v>
      </c>
      <c r="AS389" t="s">
        <v>753</v>
      </c>
      <c r="AT389" t="s">
        <v>459</v>
      </c>
      <c r="AU389">
        <v>2022</v>
      </c>
      <c r="AV389">
        <v>28</v>
      </c>
      <c r="AW389">
        <v>4</v>
      </c>
      <c r="AX389" t="s">
        <v>74</v>
      </c>
      <c r="AY389" t="s">
        <v>74</v>
      </c>
      <c r="AZ389" t="s">
        <v>74</v>
      </c>
      <c r="BA389" t="s">
        <v>74</v>
      </c>
      <c r="BB389">
        <v>1643</v>
      </c>
      <c r="BC389">
        <v>1658</v>
      </c>
      <c r="BD389" t="s">
        <v>74</v>
      </c>
      <c r="BE389" t="s">
        <v>7751</v>
      </c>
      <c r="BF389" t="str">
        <f>HYPERLINK("http://dx.doi.org/10.1111/gcb.15987","http://dx.doi.org/10.1111/gcb.15987")</f>
        <v>http://dx.doi.org/10.1111/gcb.15987</v>
      </c>
      <c r="BG389" t="s">
        <v>74</v>
      </c>
      <c r="BH389" t="s">
        <v>888</v>
      </c>
      <c r="BI389">
        <v>16</v>
      </c>
      <c r="BJ389" t="s">
        <v>755</v>
      </c>
      <c r="BK389" t="s">
        <v>102</v>
      </c>
      <c r="BL389" t="s">
        <v>756</v>
      </c>
      <c r="BM389" t="s">
        <v>7752</v>
      </c>
      <c r="BN389">
        <v>34767289</v>
      </c>
      <c r="BO389" t="s">
        <v>74</v>
      </c>
      <c r="BP389" t="s">
        <v>74</v>
      </c>
      <c r="BQ389" t="s">
        <v>74</v>
      </c>
      <c r="BR389" t="s">
        <v>106</v>
      </c>
      <c r="BS389" t="s">
        <v>7753</v>
      </c>
      <c r="BT389" t="str">
        <f>HYPERLINK("https%3A%2F%2Fwww.webofscience.com%2Fwos%2Fwoscc%2Ffull-record%2FWOS:000722272700001","View Full Record in Web of Science")</f>
        <v>View Full Record in Web of Science</v>
      </c>
    </row>
    <row r="390" spans="1:72" x14ac:dyDescent="0.2">
      <c r="A390" t="s">
        <v>72</v>
      </c>
      <c r="B390" t="s">
        <v>7754</v>
      </c>
      <c r="C390" t="s">
        <v>74</v>
      </c>
      <c r="D390" t="s">
        <v>74</v>
      </c>
      <c r="E390" t="s">
        <v>74</v>
      </c>
      <c r="F390" t="s">
        <v>7755</v>
      </c>
      <c r="G390" t="s">
        <v>74</v>
      </c>
      <c r="H390" t="s">
        <v>74</v>
      </c>
      <c r="I390" t="s">
        <v>7756</v>
      </c>
      <c r="J390" t="s">
        <v>7757</v>
      </c>
      <c r="K390" t="s">
        <v>74</v>
      </c>
      <c r="L390" t="s">
        <v>74</v>
      </c>
      <c r="M390" t="s">
        <v>78</v>
      </c>
      <c r="N390" t="s">
        <v>79</v>
      </c>
      <c r="O390" t="s">
        <v>74</v>
      </c>
      <c r="P390" t="s">
        <v>74</v>
      </c>
      <c r="Q390" t="s">
        <v>74</v>
      </c>
      <c r="R390" t="s">
        <v>74</v>
      </c>
      <c r="S390" t="s">
        <v>74</v>
      </c>
      <c r="T390" t="s">
        <v>7758</v>
      </c>
      <c r="U390" t="s">
        <v>7759</v>
      </c>
      <c r="V390" t="s">
        <v>7760</v>
      </c>
      <c r="W390" t="s">
        <v>7761</v>
      </c>
      <c r="X390" t="s">
        <v>7762</v>
      </c>
      <c r="Y390" t="s">
        <v>7763</v>
      </c>
      <c r="Z390" t="s">
        <v>7764</v>
      </c>
      <c r="AA390" t="s">
        <v>7765</v>
      </c>
      <c r="AB390" t="s">
        <v>74</v>
      </c>
      <c r="AC390" t="s">
        <v>7766</v>
      </c>
      <c r="AD390" t="s">
        <v>7767</v>
      </c>
      <c r="AE390" t="s">
        <v>7768</v>
      </c>
      <c r="AF390" t="s">
        <v>74</v>
      </c>
      <c r="AG390">
        <v>67</v>
      </c>
      <c r="AH390">
        <v>15</v>
      </c>
      <c r="AI390">
        <v>17</v>
      </c>
      <c r="AJ390">
        <v>6</v>
      </c>
      <c r="AK390">
        <v>115</v>
      </c>
      <c r="AL390" t="s">
        <v>1242</v>
      </c>
      <c r="AM390" t="s">
        <v>1243</v>
      </c>
      <c r="AN390" t="s">
        <v>1244</v>
      </c>
      <c r="AO390" t="s">
        <v>7769</v>
      </c>
      <c r="AP390" t="s">
        <v>7770</v>
      </c>
      <c r="AQ390" t="s">
        <v>74</v>
      </c>
      <c r="AR390" t="s">
        <v>7771</v>
      </c>
      <c r="AS390" t="s">
        <v>7772</v>
      </c>
      <c r="AT390" t="s">
        <v>99</v>
      </c>
      <c r="AU390">
        <v>2017</v>
      </c>
      <c r="AV390">
        <v>15</v>
      </c>
      <c r="AW390">
        <v>2</v>
      </c>
      <c r="AX390" t="s">
        <v>74</v>
      </c>
      <c r="AY390" t="s">
        <v>74</v>
      </c>
      <c r="AZ390" t="s">
        <v>74</v>
      </c>
      <c r="BA390" t="s">
        <v>74</v>
      </c>
      <c r="BB390">
        <v>221</v>
      </c>
      <c r="BC390">
        <v>236</v>
      </c>
      <c r="BD390" t="s">
        <v>74</v>
      </c>
      <c r="BE390" t="s">
        <v>7773</v>
      </c>
      <c r="BF390" t="str">
        <f>HYPERLINK("http://dx.doi.org/10.1007/s10333-016-0541-3","http://dx.doi.org/10.1007/s10333-016-0541-3")</f>
        <v>http://dx.doi.org/10.1007/s10333-016-0541-3</v>
      </c>
      <c r="BG390" t="s">
        <v>74</v>
      </c>
      <c r="BH390" t="s">
        <v>74</v>
      </c>
      <c r="BI390">
        <v>16</v>
      </c>
      <c r="BJ390" t="s">
        <v>7774</v>
      </c>
      <c r="BK390" t="s">
        <v>102</v>
      </c>
      <c r="BL390" t="s">
        <v>103</v>
      </c>
      <c r="BM390" t="s">
        <v>7775</v>
      </c>
      <c r="BN390" t="s">
        <v>74</v>
      </c>
      <c r="BO390" t="s">
        <v>74</v>
      </c>
      <c r="BP390" t="s">
        <v>74</v>
      </c>
      <c r="BQ390" t="s">
        <v>74</v>
      </c>
      <c r="BR390" t="s">
        <v>106</v>
      </c>
      <c r="BS390" t="s">
        <v>7776</v>
      </c>
      <c r="BT390" t="str">
        <f>HYPERLINK("https%3A%2F%2Fwww.webofscience.com%2Fwos%2Fwoscc%2Ffull-record%2FWOS:000395172800001","View Full Record in Web of Science")</f>
        <v>View Full Record in Web of Science</v>
      </c>
    </row>
    <row r="391" spans="1:72" x14ac:dyDescent="0.2">
      <c r="A391" t="s">
        <v>72</v>
      </c>
      <c r="B391" t="s">
        <v>7777</v>
      </c>
      <c r="C391" t="s">
        <v>74</v>
      </c>
      <c r="D391" t="s">
        <v>74</v>
      </c>
      <c r="E391" t="s">
        <v>74</v>
      </c>
      <c r="F391" t="s">
        <v>7778</v>
      </c>
      <c r="G391" t="s">
        <v>74</v>
      </c>
      <c r="H391" t="s">
        <v>74</v>
      </c>
      <c r="I391" t="s">
        <v>7779</v>
      </c>
      <c r="J391" t="s">
        <v>828</v>
      </c>
      <c r="K391" t="s">
        <v>74</v>
      </c>
      <c r="L391" t="s">
        <v>74</v>
      </c>
      <c r="M391" t="s">
        <v>78</v>
      </c>
      <c r="N391" t="s">
        <v>79</v>
      </c>
      <c r="O391" t="s">
        <v>74</v>
      </c>
      <c r="P391" t="s">
        <v>74</v>
      </c>
      <c r="Q391" t="s">
        <v>74</v>
      </c>
      <c r="R391" t="s">
        <v>74</v>
      </c>
      <c r="S391" t="s">
        <v>74</v>
      </c>
      <c r="T391" t="s">
        <v>74</v>
      </c>
      <c r="U391" t="s">
        <v>74</v>
      </c>
      <c r="V391" t="s">
        <v>7780</v>
      </c>
      <c r="W391" t="s">
        <v>7781</v>
      </c>
      <c r="X391" t="s">
        <v>7782</v>
      </c>
      <c r="Y391" t="s">
        <v>7783</v>
      </c>
      <c r="Z391" t="s">
        <v>7784</v>
      </c>
      <c r="AA391" t="s">
        <v>7785</v>
      </c>
      <c r="AB391" t="s">
        <v>7786</v>
      </c>
      <c r="AC391" t="s">
        <v>74</v>
      </c>
      <c r="AD391" t="s">
        <v>74</v>
      </c>
      <c r="AE391" t="s">
        <v>74</v>
      </c>
      <c r="AF391" t="s">
        <v>74</v>
      </c>
      <c r="AG391">
        <v>9</v>
      </c>
      <c r="AH391">
        <v>1</v>
      </c>
      <c r="AI391">
        <v>2</v>
      </c>
      <c r="AJ391">
        <v>0</v>
      </c>
      <c r="AK391">
        <v>8</v>
      </c>
      <c r="AL391" t="s">
        <v>835</v>
      </c>
      <c r="AM391" t="s">
        <v>836</v>
      </c>
      <c r="AN391" t="s">
        <v>3254</v>
      </c>
      <c r="AO391" t="s">
        <v>838</v>
      </c>
      <c r="AP391" t="s">
        <v>74</v>
      </c>
      <c r="AQ391" t="s">
        <v>74</v>
      </c>
      <c r="AR391" t="s">
        <v>839</v>
      </c>
      <c r="AS391" t="s">
        <v>840</v>
      </c>
      <c r="AT391" t="s">
        <v>7787</v>
      </c>
      <c r="AU391">
        <v>2014</v>
      </c>
      <c r="AV391">
        <v>45</v>
      </c>
      <c r="AW391">
        <v>3</v>
      </c>
      <c r="AX391" t="s">
        <v>74</v>
      </c>
      <c r="AY391" t="s">
        <v>74</v>
      </c>
      <c r="AZ391" t="s">
        <v>74</v>
      </c>
      <c r="BA391" t="s">
        <v>74</v>
      </c>
      <c r="BB391">
        <v>18</v>
      </c>
      <c r="BC391">
        <v>21</v>
      </c>
      <c r="BD391" t="s">
        <v>74</v>
      </c>
      <c r="BE391" t="s">
        <v>74</v>
      </c>
      <c r="BF391" t="s">
        <v>74</v>
      </c>
      <c r="BG391" t="s">
        <v>74</v>
      </c>
      <c r="BH391" t="s">
        <v>74</v>
      </c>
      <c r="BI391">
        <v>4</v>
      </c>
      <c r="BJ391" t="s">
        <v>842</v>
      </c>
      <c r="BK391" t="s">
        <v>102</v>
      </c>
      <c r="BL391" t="s">
        <v>103</v>
      </c>
      <c r="BM391" t="s">
        <v>7788</v>
      </c>
      <c r="BN391" t="s">
        <v>74</v>
      </c>
      <c r="BO391" t="s">
        <v>74</v>
      </c>
      <c r="BP391" t="s">
        <v>74</v>
      </c>
      <c r="BQ391" t="s">
        <v>74</v>
      </c>
      <c r="BR391" t="s">
        <v>106</v>
      </c>
      <c r="BS391" t="s">
        <v>7789</v>
      </c>
      <c r="BT391" t="str">
        <f>HYPERLINK("https%3A%2F%2Fwww.webofscience.com%2Fwos%2Fwoscc%2Ffull-record%2FWOS:000341905300004","View Full Record in Web of Science")</f>
        <v>View Full Record in Web of Science</v>
      </c>
    </row>
    <row r="392" spans="1:72" x14ac:dyDescent="0.2">
      <c r="A392" t="s">
        <v>72</v>
      </c>
      <c r="B392" t="s">
        <v>7790</v>
      </c>
      <c r="C392" t="s">
        <v>74</v>
      </c>
      <c r="D392" t="s">
        <v>74</v>
      </c>
      <c r="E392" t="s">
        <v>74</v>
      </c>
      <c r="F392" t="s">
        <v>7791</v>
      </c>
      <c r="G392" t="s">
        <v>74</v>
      </c>
      <c r="H392" t="s">
        <v>74</v>
      </c>
      <c r="I392" t="s">
        <v>7792</v>
      </c>
      <c r="J392" t="s">
        <v>7793</v>
      </c>
      <c r="K392" t="s">
        <v>74</v>
      </c>
      <c r="L392" t="s">
        <v>74</v>
      </c>
      <c r="M392" t="s">
        <v>78</v>
      </c>
      <c r="N392" t="s">
        <v>79</v>
      </c>
      <c r="O392" t="s">
        <v>74</v>
      </c>
      <c r="P392" t="s">
        <v>74</v>
      </c>
      <c r="Q392" t="s">
        <v>74</v>
      </c>
      <c r="R392" t="s">
        <v>74</v>
      </c>
      <c r="S392" t="s">
        <v>74</v>
      </c>
      <c r="T392" t="s">
        <v>7794</v>
      </c>
      <c r="U392" t="s">
        <v>7795</v>
      </c>
      <c r="V392" t="s">
        <v>7796</v>
      </c>
      <c r="W392" t="s">
        <v>7797</v>
      </c>
      <c r="X392" t="s">
        <v>7798</v>
      </c>
      <c r="Y392" t="s">
        <v>7799</v>
      </c>
      <c r="Z392" t="s">
        <v>7800</v>
      </c>
      <c r="AA392" t="s">
        <v>7801</v>
      </c>
      <c r="AB392" t="s">
        <v>7802</v>
      </c>
      <c r="AC392" t="s">
        <v>7803</v>
      </c>
      <c r="AD392" t="s">
        <v>7804</v>
      </c>
      <c r="AE392" t="s">
        <v>7805</v>
      </c>
      <c r="AF392" t="s">
        <v>74</v>
      </c>
      <c r="AG392">
        <v>63</v>
      </c>
      <c r="AH392">
        <v>2</v>
      </c>
      <c r="AI392">
        <v>2</v>
      </c>
      <c r="AJ392">
        <v>4</v>
      </c>
      <c r="AK392">
        <v>8</v>
      </c>
      <c r="AL392" t="s">
        <v>934</v>
      </c>
      <c r="AM392" t="s">
        <v>177</v>
      </c>
      <c r="AN392" t="s">
        <v>935</v>
      </c>
      <c r="AO392" t="s">
        <v>7806</v>
      </c>
      <c r="AP392" t="s">
        <v>7807</v>
      </c>
      <c r="AQ392" t="s">
        <v>74</v>
      </c>
      <c r="AR392" t="s">
        <v>7808</v>
      </c>
      <c r="AS392" t="s">
        <v>7809</v>
      </c>
      <c r="AT392" t="s">
        <v>7810</v>
      </c>
      <c r="AU392">
        <v>2025</v>
      </c>
      <c r="AV392">
        <v>336</v>
      </c>
      <c r="AW392" t="s">
        <v>74</v>
      </c>
      <c r="AX392" t="s">
        <v>74</v>
      </c>
      <c r="AY392" t="s">
        <v>74</v>
      </c>
      <c r="AZ392" t="s">
        <v>74</v>
      </c>
      <c r="BA392" t="s">
        <v>74</v>
      </c>
      <c r="BB392" t="s">
        <v>74</v>
      </c>
      <c r="BC392" t="s">
        <v>74</v>
      </c>
      <c r="BD392">
        <v>125990</v>
      </c>
      <c r="BE392" t="s">
        <v>7811</v>
      </c>
      <c r="BF392" t="str">
        <f>HYPERLINK("http://dx.doi.org/10.1016/j.saa.2025.125990","http://dx.doi.org/10.1016/j.saa.2025.125990")</f>
        <v>http://dx.doi.org/10.1016/j.saa.2025.125990</v>
      </c>
      <c r="BG392" t="s">
        <v>74</v>
      </c>
      <c r="BH392" t="s">
        <v>7812</v>
      </c>
      <c r="BI392">
        <v>12</v>
      </c>
      <c r="BJ392" t="s">
        <v>7813</v>
      </c>
      <c r="BK392" t="s">
        <v>102</v>
      </c>
      <c r="BL392" t="s">
        <v>7813</v>
      </c>
      <c r="BM392" t="s">
        <v>7814</v>
      </c>
      <c r="BN392">
        <v>40073671</v>
      </c>
      <c r="BO392" t="s">
        <v>74</v>
      </c>
      <c r="BP392" t="s">
        <v>74</v>
      </c>
      <c r="BQ392" t="s">
        <v>74</v>
      </c>
      <c r="BR392" t="s">
        <v>106</v>
      </c>
      <c r="BS392" t="s">
        <v>7815</v>
      </c>
      <c r="BT392" t="str">
        <f>HYPERLINK("https%3A%2F%2Fwww.webofscience.com%2Fwos%2Fwoscc%2Ffull-record%2FWOS:001446092500001","View Full Record in Web of Science")</f>
        <v>View Full Record in Web of Science</v>
      </c>
    </row>
    <row r="393" spans="1:72" x14ac:dyDescent="0.2">
      <c r="A393" t="s">
        <v>72</v>
      </c>
      <c r="B393" t="s">
        <v>7816</v>
      </c>
      <c r="C393" t="s">
        <v>74</v>
      </c>
      <c r="D393" t="s">
        <v>74</v>
      </c>
      <c r="E393" t="s">
        <v>74</v>
      </c>
      <c r="F393" t="s">
        <v>7817</v>
      </c>
      <c r="G393" t="s">
        <v>74</v>
      </c>
      <c r="H393" t="s">
        <v>74</v>
      </c>
      <c r="I393" t="s">
        <v>7818</v>
      </c>
      <c r="J393" t="s">
        <v>1231</v>
      </c>
      <c r="K393" t="s">
        <v>74</v>
      </c>
      <c r="L393" t="s">
        <v>74</v>
      </c>
      <c r="M393" t="s">
        <v>78</v>
      </c>
      <c r="N393" t="s">
        <v>79</v>
      </c>
      <c r="O393" t="s">
        <v>74</v>
      </c>
      <c r="P393" t="s">
        <v>74</v>
      </c>
      <c r="Q393" t="s">
        <v>74</v>
      </c>
      <c r="R393" t="s">
        <v>74</v>
      </c>
      <c r="S393" t="s">
        <v>74</v>
      </c>
      <c r="T393" t="s">
        <v>7819</v>
      </c>
      <c r="U393" t="s">
        <v>7820</v>
      </c>
      <c r="V393" t="s">
        <v>7821</v>
      </c>
      <c r="W393" t="s">
        <v>7822</v>
      </c>
      <c r="X393" t="s">
        <v>7823</v>
      </c>
      <c r="Y393" t="s">
        <v>7824</v>
      </c>
      <c r="Z393" t="s">
        <v>7825</v>
      </c>
      <c r="AA393" t="s">
        <v>7826</v>
      </c>
      <c r="AB393" t="s">
        <v>7827</v>
      </c>
      <c r="AC393" t="s">
        <v>7828</v>
      </c>
      <c r="AD393" t="s">
        <v>7829</v>
      </c>
      <c r="AE393" t="s">
        <v>7830</v>
      </c>
      <c r="AF393" t="s">
        <v>74</v>
      </c>
      <c r="AG393">
        <v>46</v>
      </c>
      <c r="AH393">
        <v>7</v>
      </c>
      <c r="AI393">
        <v>10</v>
      </c>
      <c r="AJ393">
        <v>5</v>
      </c>
      <c r="AK393">
        <v>168</v>
      </c>
      <c r="AL393" t="s">
        <v>1242</v>
      </c>
      <c r="AM393" t="s">
        <v>1243</v>
      </c>
      <c r="AN393" t="s">
        <v>1244</v>
      </c>
      <c r="AO393" t="s">
        <v>1245</v>
      </c>
      <c r="AP393" t="s">
        <v>1246</v>
      </c>
      <c r="AQ393" t="s">
        <v>74</v>
      </c>
      <c r="AR393" t="s">
        <v>1247</v>
      </c>
      <c r="AS393" t="s">
        <v>1248</v>
      </c>
      <c r="AT393" t="s">
        <v>459</v>
      </c>
      <c r="AU393">
        <v>2016</v>
      </c>
      <c r="AV393">
        <v>23</v>
      </c>
      <c r="AW393">
        <v>3</v>
      </c>
      <c r="AX393" t="s">
        <v>74</v>
      </c>
      <c r="AY393" t="s">
        <v>74</v>
      </c>
      <c r="AZ393" t="s">
        <v>74</v>
      </c>
      <c r="BA393" t="s">
        <v>74</v>
      </c>
      <c r="BB393">
        <v>2279</v>
      </c>
      <c r="BC393">
        <v>2287</v>
      </c>
      <c r="BD393" t="s">
        <v>74</v>
      </c>
      <c r="BE393" t="s">
        <v>7831</v>
      </c>
      <c r="BF393" t="str">
        <f>HYPERLINK("http://dx.doi.org/10.1007/s11356-015-5306-9","http://dx.doi.org/10.1007/s11356-015-5306-9")</f>
        <v>http://dx.doi.org/10.1007/s11356-015-5306-9</v>
      </c>
      <c r="BG393" t="s">
        <v>74</v>
      </c>
      <c r="BH393" t="s">
        <v>74</v>
      </c>
      <c r="BI393">
        <v>9</v>
      </c>
      <c r="BJ393" t="s">
        <v>567</v>
      </c>
      <c r="BK393" t="s">
        <v>102</v>
      </c>
      <c r="BL393" t="s">
        <v>568</v>
      </c>
      <c r="BM393" t="s">
        <v>7832</v>
      </c>
      <c r="BN393">
        <v>26408119</v>
      </c>
      <c r="BO393" t="s">
        <v>74</v>
      </c>
      <c r="BP393" t="s">
        <v>74</v>
      </c>
      <c r="BQ393" t="s">
        <v>74</v>
      </c>
      <c r="BR393" t="s">
        <v>106</v>
      </c>
      <c r="BS393" t="s">
        <v>7833</v>
      </c>
      <c r="BT393" t="str">
        <f>HYPERLINK("https%3A%2F%2Fwww.webofscience.com%2Fwos%2Fwoscc%2Ffull-record%2FWOS:000368376800029","View Full Record in Web of Science")</f>
        <v>View Full Record in Web of Science</v>
      </c>
    </row>
    <row r="394" spans="1:72" x14ac:dyDescent="0.2">
      <c r="A394" t="s">
        <v>72</v>
      </c>
      <c r="B394" t="s">
        <v>7834</v>
      </c>
      <c r="C394" t="s">
        <v>74</v>
      </c>
      <c r="D394" t="s">
        <v>74</v>
      </c>
      <c r="E394" t="s">
        <v>74</v>
      </c>
      <c r="F394" t="s">
        <v>7835</v>
      </c>
      <c r="G394" t="s">
        <v>74</v>
      </c>
      <c r="H394" t="s">
        <v>74</v>
      </c>
      <c r="I394" t="s">
        <v>7836</v>
      </c>
      <c r="J394" t="s">
        <v>1784</v>
      </c>
      <c r="K394" t="s">
        <v>74</v>
      </c>
      <c r="L394" t="s">
        <v>74</v>
      </c>
      <c r="M394" t="s">
        <v>78</v>
      </c>
      <c r="N394" t="s">
        <v>79</v>
      </c>
      <c r="O394" t="s">
        <v>74</v>
      </c>
      <c r="P394" t="s">
        <v>74</v>
      </c>
      <c r="Q394" t="s">
        <v>74</v>
      </c>
      <c r="R394" t="s">
        <v>74</v>
      </c>
      <c r="S394" t="s">
        <v>74</v>
      </c>
      <c r="T394" t="s">
        <v>7837</v>
      </c>
      <c r="U394" t="s">
        <v>7838</v>
      </c>
      <c r="V394" t="s">
        <v>7839</v>
      </c>
      <c r="W394" t="s">
        <v>7840</v>
      </c>
      <c r="X394" t="s">
        <v>7841</v>
      </c>
      <c r="Y394" t="s">
        <v>7842</v>
      </c>
      <c r="Z394" t="s">
        <v>7843</v>
      </c>
      <c r="AA394" t="s">
        <v>7844</v>
      </c>
      <c r="AB394" t="s">
        <v>7845</v>
      </c>
      <c r="AC394" t="s">
        <v>7846</v>
      </c>
      <c r="AD394" t="s">
        <v>7847</v>
      </c>
      <c r="AE394" t="s">
        <v>7848</v>
      </c>
      <c r="AF394" t="s">
        <v>74</v>
      </c>
      <c r="AG394">
        <v>70</v>
      </c>
      <c r="AH394">
        <v>8</v>
      </c>
      <c r="AI394">
        <v>8</v>
      </c>
      <c r="AJ394">
        <v>17</v>
      </c>
      <c r="AK394">
        <v>61</v>
      </c>
      <c r="AL394" t="s">
        <v>123</v>
      </c>
      <c r="AM394" t="s">
        <v>124</v>
      </c>
      <c r="AN394" t="s">
        <v>125</v>
      </c>
      <c r="AO394" t="s">
        <v>1795</v>
      </c>
      <c r="AP394" t="s">
        <v>1796</v>
      </c>
      <c r="AQ394" t="s">
        <v>74</v>
      </c>
      <c r="AR394" t="s">
        <v>1797</v>
      </c>
      <c r="AS394" t="s">
        <v>1798</v>
      </c>
      <c r="AT394" t="s">
        <v>636</v>
      </c>
      <c r="AU394">
        <v>2024</v>
      </c>
      <c r="AV394">
        <v>201</v>
      </c>
      <c r="AW394" t="s">
        <v>74</v>
      </c>
      <c r="AX394" t="s">
        <v>74</v>
      </c>
      <c r="AY394" t="s">
        <v>74</v>
      </c>
      <c r="AZ394" t="s">
        <v>74</v>
      </c>
      <c r="BA394" t="s">
        <v>74</v>
      </c>
      <c r="BB394" t="s">
        <v>74</v>
      </c>
      <c r="BC394" t="s">
        <v>74</v>
      </c>
      <c r="BD394">
        <v>107212</v>
      </c>
      <c r="BE394" t="s">
        <v>7849</v>
      </c>
      <c r="BF394" t="str">
        <f>HYPERLINK("http://dx.doi.org/10.1016/j.ecoleng.2024.107212","http://dx.doi.org/10.1016/j.ecoleng.2024.107212")</f>
        <v>http://dx.doi.org/10.1016/j.ecoleng.2024.107212</v>
      </c>
      <c r="BG394" t="s">
        <v>74</v>
      </c>
      <c r="BH394" t="s">
        <v>2430</v>
      </c>
      <c r="BI394">
        <v>13</v>
      </c>
      <c r="BJ394" t="s">
        <v>1800</v>
      </c>
      <c r="BK394" t="s">
        <v>102</v>
      </c>
      <c r="BL394" t="s">
        <v>1801</v>
      </c>
      <c r="BM394" t="s">
        <v>7850</v>
      </c>
      <c r="BN394" t="s">
        <v>74</v>
      </c>
      <c r="BO394" t="s">
        <v>541</v>
      </c>
      <c r="BP394" t="s">
        <v>74</v>
      </c>
      <c r="BQ394" t="s">
        <v>74</v>
      </c>
      <c r="BR394" t="s">
        <v>106</v>
      </c>
      <c r="BS394" t="s">
        <v>7851</v>
      </c>
      <c r="BT394" t="str">
        <f>HYPERLINK("https%3A%2F%2Fwww.webofscience.com%2Fwos%2Fwoscc%2Ffull-record%2FWOS:001200544200001","View Full Record in Web of Science")</f>
        <v>View Full Record in Web of Science</v>
      </c>
    </row>
    <row r="395" spans="1:72" x14ac:dyDescent="0.2">
      <c r="A395" t="s">
        <v>72</v>
      </c>
      <c r="B395" t="s">
        <v>7852</v>
      </c>
      <c r="C395" t="s">
        <v>74</v>
      </c>
      <c r="D395" t="s">
        <v>74</v>
      </c>
      <c r="E395" t="s">
        <v>74</v>
      </c>
      <c r="F395" t="s">
        <v>7853</v>
      </c>
      <c r="G395" t="s">
        <v>74</v>
      </c>
      <c r="H395" t="s">
        <v>74</v>
      </c>
      <c r="I395" t="s">
        <v>7854</v>
      </c>
      <c r="J395" t="s">
        <v>7855</v>
      </c>
      <c r="K395" t="s">
        <v>74</v>
      </c>
      <c r="L395" t="s">
        <v>74</v>
      </c>
      <c r="M395" t="s">
        <v>78</v>
      </c>
      <c r="N395" t="s">
        <v>79</v>
      </c>
      <c r="O395" t="s">
        <v>74</v>
      </c>
      <c r="P395" t="s">
        <v>74</v>
      </c>
      <c r="Q395" t="s">
        <v>74</v>
      </c>
      <c r="R395" t="s">
        <v>74</v>
      </c>
      <c r="S395" t="s">
        <v>74</v>
      </c>
      <c r="T395" t="s">
        <v>7856</v>
      </c>
      <c r="U395" t="s">
        <v>7857</v>
      </c>
      <c r="V395" t="s">
        <v>7858</v>
      </c>
      <c r="W395" t="s">
        <v>7859</v>
      </c>
      <c r="X395" t="s">
        <v>7860</v>
      </c>
      <c r="Y395" t="s">
        <v>7861</v>
      </c>
      <c r="Z395" t="s">
        <v>7862</v>
      </c>
      <c r="AA395" t="s">
        <v>74</v>
      </c>
      <c r="AB395" t="s">
        <v>7863</v>
      </c>
      <c r="AC395" t="s">
        <v>7864</v>
      </c>
      <c r="AD395" t="s">
        <v>7865</v>
      </c>
      <c r="AE395" t="s">
        <v>7866</v>
      </c>
      <c r="AF395" t="s">
        <v>74</v>
      </c>
      <c r="AG395">
        <v>74</v>
      </c>
      <c r="AH395">
        <v>37</v>
      </c>
      <c r="AI395">
        <v>42</v>
      </c>
      <c r="AJ395">
        <v>3</v>
      </c>
      <c r="AK395">
        <v>87</v>
      </c>
      <c r="AL395" t="s">
        <v>7867</v>
      </c>
      <c r="AM395" t="s">
        <v>7868</v>
      </c>
      <c r="AN395" t="s">
        <v>7869</v>
      </c>
      <c r="AO395" t="s">
        <v>7870</v>
      </c>
      <c r="AP395" t="s">
        <v>7871</v>
      </c>
      <c r="AQ395" t="s">
        <v>74</v>
      </c>
      <c r="AR395" t="s">
        <v>7872</v>
      </c>
      <c r="AS395" t="s">
        <v>7873</v>
      </c>
      <c r="AT395" t="s">
        <v>1752</v>
      </c>
      <c r="AU395">
        <v>2016</v>
      </c>
      <c r="AV395">
        <v>24</v>
      </c>
      <c r="AW395" t="s">
        <v>74</v>
      </c>
      <c r="AX395" t="s">
        <v>74</v>
      </c>
      <c r="AY395" t="s">
        <v>74</v>
      </c>
      <c r="AZ395" t="s">
        <v>74</v>
      </c>
      <c r="BA395" t="s">
        <v>74</v>
      </c>
      <c r="BB395">
        <v>82</v>
      </c>
      <c r="BC395">
        <v>105</v>
      </c>
      <c r="BD395" t="s">
        <v>74</v>
      </c>
      <c r="BE395" t="s">
        <v>7874</v>
      </c>
      <c r="BF395" t="str">
        <f>HYPERLINK("http://dx.doi.org/10.1016/j.jfe.2016.04.002","http://dx.doi.org/10.1016/j.jfe.2016.04.002")</f>
        <v>http://dx.doi.org/10.1016/j.jfe.2016.04.002</v>
      </c>
      <c r="BG395" t="s">
        <v>74</v>
      </c>
      <c r="BH395" t="s">
        <v>74</v>
      </c>
      <c r="BI395">
        <v>24</v>
      </c>
      <c r="BJ395" t="s">
        <v>7875</v>
      </c>
      <c r="BK395" t="s">
        <v>186</v>
      </c>
      <c r="BL395" t="s">
        <v>7876</v>
      </c>
      <c r="BM395" t="s">
        <v>7877</v>
      </c>
      <c r="BN395" t="s">
        <v>74</v>
      </c>
      <c r="BO395" t="s">
        <v>916</v>
      </c>
      <c r="BP395" t="s">
        <v>74</v>
      </c>
      <c r="BQ395" t="s">
        <v>74</v>
      </c>
      <c r="BR395" t="s">
        <v>106</v>
      </c>
      <c r="BS395" t="s">
        <v>7878</v>
      </c>
      <c r="BT395" t="str">
        <f>HYPERLINK("https%3A%2F%2Fwww.webofscience.com%2Fwos%2Fwoscc%2Ffull-record%2FWOS:000396377500006","View Full Record in Web of Science")</f>
        <v>View Full Record in Web of Science</v>
      </c>
    </row>
    <row r="396" spans="1:72" x14ac:dyDescent="0.2">
      <c r="A396" t="s">
        <v>72</v>
      </c>
      <c r="B396" t="s">
        <v>7879</v>
      </c>
      <c r="C396" t="s">
        <v>74</v>
      </c>
      <c r="D396" t="s">
        <v>74</v>
      </c>
      <c r="E396" t="s">
        <v>74</v>
      </c>
      <c r="F396" t="s">
        <v>7880</v>
      </c>
      <c r="G396" t="s">
        <v>74</v>
      </c>
      <c r="H396" t="s">
        <v>74</v>
      </c>
      <c r="I396" t="s">
        <v>7881</v>
      </c>
      <c r="J396" t="s">
        <v>7882</v>
      </c>
      <c r="K396" t="s">
        <v>74</v>
      </c>
      <c r="L396" t="s">
        <v>74</v>
      </c>
      <c r="M396" t="s">
        <v>78</v>
      </c>
      <c r="N396" t="s">
        <v>79</v>
      </c>
      <c r="O396" t="s">
        <v>74</v>
      </c>
      <c r="P396" t="s">
        <v>74</v>
      </c>
      <c r="Q396" t="s">
        <v>74</v>
      </c>
      <c r="R396" t="s">
        <v>74</v>
      </c>
      <c r="S396" t="s">
        <v>74</v>
      </c>
      <c r="T396" t="s">
        <v>7883</v>
      </c>
      <c r="U396" t="s">
        <v>7884</v>
      </c>
      <c r="V396" t="s">
        <v>7885</v>
      </c>
      <c r="W396" t="s">
        <v>7886</v>
      </c>
      <c r="X396" t="s">
        <v>7887</v>
      </c>
      <c r="Y396" t="s">
        <v>7888</v>
      </c>
      <c r="Z396" t="s">
        <v>7889</v>
      </c>
      <c r="AA396" t="s">
        <v>7890</v>
      </c>
      <c r="AB396" t="s">
        <v>7891</v>
      </c>
      <c r="AC396" t="s">
        <v>7892</v>
      </c>
      <c r="AD396" t="s">
        <v>7893</v>
      </c>
      <c r="AE396" t="s">
        <v>7894</v>
      </c>
      <c r="AF396" t="s">
        <v>74</v>
      </c>
      <c r="AG396">
        <v>52</v>
      </c>
      <c r="AH396">
        <v>22</v>
      </c>
      <c r="AI396">
        <v>24</v>
      </c>
      <c r="AJ396">
        <v>3</v>
      </c>
      <c r="AK396">
        <v>63</v>
      </c>
      <c r="AL396" t="s">
        <v>504</v>
      </c>
      <c r="AM396" t="s">
        <v>505</v>
      </c>
      <c r="AN396" t="s">
        <v>506</v>
      </c>
      <c r="AO396" t="s">
        <v>7895</v>
      </c>
      <c r="AP396" t="s">
        <v>7896</v>
      </c>
      <c r="AQ396" t="s">
        <v>74</v>
      </c>
      <c r="AR396" t="s">
        <v>7897</v>
      </c>
      <c r="AS396" t="s">
        <v>7898</v>
      </c>
      <c r="AT396" t="s">
        <v>1752</v>
      </c>
      <c r="AU396">
        <v>2019</v>
      </c>
      <c r="AV396">
        <v>24</v>
      </c>
      <c r="AW396">
        <v>6</v>
      </c>
      <c r="AX396" t="s">
        <v>74</v>
      </c>
      <c r="AY396" t="s">
        <v>74</v>
      </c>
      <c r="AZ396" t="s">
        <v>1070</v>
      </c>
      <c r="BA396" t="s">
        <v>74</v>
      </c>
      <c r="BB396">
        <v>1051</v>
      </c>
      <c r="BC396">
        <v>1071</v>
      </c>
      <c r="BD396" t="s">
        <v>74</v>
      </c>
      <c r="BE396" t="s">
        <v>7899</v>
      </c>
      <c r="BF396" t="str">
        <f>HYPERLINK("http://dx.doi.org/10.1007/s11027-018-9821-0","http://dx.doi.org/10.1007/s11027-018-9821-0")</f>
        <v>http://dx.doi.org/10.1007/s11027-018-9821-0</v>
      </c>
      <c r="BG396" t="s">
        <v>74</v>
      </c>
      <c r="BH396" t="s">
        <v>74</v>
      </c>
      <c r="BI396">
        <v>21</v>
      </c>
      <c r="BJ396" t="s">
        <v>567</v>
      </c>
      <c r="BK396" t="s">
        <v>102</v>
      </c>
      <c r="BL396" t="s">
        <v>568</v>
      </c>
      <c r="BM396" t="s">
        <v>7900</v>
      </c>
      <c r="BN396" t="s">
        <v>74</v>
      </c>
      <c r="BO396" t="s">
        <v>916</v>
      </c>
      <c r="BP396" t="s">
        <v>74</v>
      </c>
      <c r="BQ396" t="s">
        <v>74</v>
      </c>
      <c r="BR396" t="s">
        <v>106</v>
      </c>
      <c r="BS396" t="s">
        <v>7901</v>
      </c>
      <c r="BT396" t="str">
        <f>HYPERLINK("https%3A%2F%2Fwww.webofscience.com%2Fwos%2Fwoscc%2Ffull-record%2FWOS:000481797800009","View Full Record in Web of Science")</f>
        <v>View Full Record in Web of Science</v>
      </c>
    </row>
    <row r="397" spans="1:72" x14ac:dyDescent="0.2">
      <c r="A397" t="s">
        <v>72</v>
      </c>
      <c r="B397" t="s">
        <v>7902</v>
      </c>
      <c r="C397" t="s">
        <v>74</v>
      </c>
      <c r="D397" t="s">
        <v>74</v>
      </c>
      <c r="E397" t="s">
        <v>74</v>
      </c>
      <c r="F397" t="s">
        <v>7903</v>
      </c>
      <c r="G397" t="s">
        <v>74</v>
      </c>
      <c r="H397" t="s">
        <v>74</v>
      </c>
      <c r="I397" t="s">
        <v>7904</v>
      </c>
      <c r="J397" t="s">
        <v>491</v>
      </c>
      <c r="K397" t="s">
        <v>74</v>
      </c>
      <c r="L397" t="s">
        <v>74</v>
      </c>
      <c r="M397" t="s">
        <v>78</v>
      </c>
      <c r="N397" t="s">
        <v>79</v>
      </c>
      <c r="O397" t="s">
        <v>74</v>
      </c>
      <c r="P397" t="s">
        <v>74</v>
      </c>
      <c r="Q397" t="s">
        <v>74</v>
      </c>
      <c r="R397" t="s">
        <v>74</v>
      </c>
      <c r="S397" t="s">
        <v>74</v>
      </c>
      <c r="T397" t="s">
        <v>7905</v>
      </c>
      <c r="U397" t="s">
        <v>7906</v>
      </c>
      <c r="V397" t="s">
        <v>7907</v>
      </c>
      <c r="W397" t="s">
        <v>7908</v>
      </c>
      <c r="X397" t="s">
        <v>2652</v>
      </c>
      <c r="Y397" t="s">
        <v>7909</v>
      </c>
      <c r="Z397" t="s">
        <v>7910</v>
      </c>
      <c r="AA397" t="s">
        <v>7911</v>
      </c>
      <c r="AB397" t="s">
        <v>74</v>
      </c>
      <c r="AC397" t="s">
        <v>7912</v>
      </c>
      <c r="AD397" t="s">
        <v>7913</v>
      </c>
      <c r="AE397" t="s">
        <v>7914</v>
      </c>
      <c r="AF397" t="s">
        <v>74</v>
      </c>
      <c r="AG397">
        <v>57</v>
      </c>
      <c r="AH397">
        <v>13</v>
      </c>
      <c r="AI397">
        <v>14</v>
      </c>
      <c r="AJ397">
        <v>22</v>
      </c>
      <c r="AK397">
        <v>108</v>
      </c>
      <c r="AL397" t="s">
        <v>504</v>
      </c>
      <c r="AM397" t="s">
        <v>505</v>
      </c>
      <c r="AN397" t="s">
        <v>506</v>
      </c>
      <c r="AO397" t="s">
        <v>507</v>
      </c>
      <c r="AP397" t="s">
        <v>508</v>
      </c>
      <c r="AQ397" t="s">
        <v>74</v>
      </c>
      <c r="AR397" t="s">
        <v>509</v>
      </c>
      <c r="AS397" t="s">
        <v>510</v>
      </c>
      <c r="AT397" t="s">
        <v>227</v>
      </c>
      <c r="AU397">
        <v>2025</v>
      </c>
      <c r="AV397">
        <v>27</v>
      </c>
      <c r="AW397">
        <v>1</v>
      </c>
      <c r="AX397" t="s">
        <v>74</v>
      </c>
      <c r="AY397" t="s">
        <v>74</v>
      </c>
      <c r="AZ397" t="s">
        <v>74</v>
      </c>
      <c r="BA397" t="s">
        <v>74</v>
      </c>
      <c r="BB397">
        <v>1799</v>
      </c>
      <c r="BC397">
        <v>1827</v>
      </c>
      <c r="BD397" t="s">
        <v>74</v>
      </c>
      <c r="BE397" t="s">
        <v>7915</v>
      </c>
      <c r="BF397" t="str">
        <f>HYPERLINK("http://dx.doi.org/10.1007/s10668-023-03944-0","http://dx.doi.org/10.1007/s10668-023-03944-0")</f>
        <v>http://dx.doi.org/10.1007/s10668-023-03944-0</v>
      </c>
      <c r="BG397" t="s">
        <v>74</v>
      </c>
      <c r="BH397" t="s">
        <v>1688</v>
      </c>
      <c r="BI397">
        <v>29</v>
      </c>
      <c r="BJ397" t="s">
        <v>514</v>
      </c>
      <c r="BK397" t="s">
        <v>102</v>
      </c>
      <c r="BL397" t="s">
        <v>485</v>
      </c>
      <c r="BM397" t="s">
        <v>7916</v>
      </c>
      <c r="BN397" t="s">
        <v>74</v>
      </c>
      <c r="BO397" t="s">
        <v>74</v>
      </c>
      <c r="BP397" t="s">
        <v>74</v>
      </c>
      <c r="BQ397" t="s">
        <v>74</v>
      </c>
      <c r="BR397" t="s">
        <v>106</v>
      </c>
      <c r="BS397" t="s">
        <v>7917</v>
      </c>
      <c r="BT397" t="str">
        <f>HYPERLINK("https%3A%2F%2Fwww.webofscience.com%2Fwos%2Fwoscc%2Ffull-record%2FWOS:001077277900002","View Full Record in Web of Science")</f>
        <v>View Full Record in Web of Science</v>
      </c>
    </row>
    <row r="398" spans="1:72" x14ac:dyDescent="0.2">
      <c r="A398" t="s">
        <v>72</v>
      </c>
      <c r="B398" t="s">
        <v>7918</v>
      </c>
      <c r="C398" t="s">
        <v>74</v>
      </c>
      <c r="D398" t="s">
        <v>74</v>
      </c>
      <c r="E398" t="s">
        <v>74</v>
      </c>
      <c r="F398" t="s">
        <v>7919</v>
      </c>
      <c r="G398" t="s">
        <v>74</v>
      </c>
      <c r="H398" t="s">
        <v>74</v>
      </c>
      <c r="I398" t="s">
        <v>7920</v>
      </c>
      <c r="J398" t="s">
        <v>2174</v>
      </c>
      <c r="K398" t="s">
        <v>74</v>
      </c>
      <c r="L398" t="s">
        <v>74</v>
      </c>
      <c r="M398" t="s">
        <v>78</v>
      </c>
      <c r="N398" t="s">
        <v>79</v>
      </c>
      <c r="O398" t="s">
        <v>74</v>
      </c>
      <c r="P398" t="s">
        <v>74</v>
      </c>
      <c r="Q398" t="s">
        <v>74</v>
      </c>
      <c r="R398" t="s">
        <v>74</v>
      </c>
      <c r="S398" t="s">
        <v>74</v>
      </c>
      <c r="T398" t="s">
        <v>7921</v>
      </c>
      <c r="U398" t="s">
        <v>7922</v>
      </c>
      <c r="V398" t="s">
        <v>7923</v>
      </c>
      <c r="W398" t="s">
        <v>7924</v>
      </c>
      <c r="X398" t="s">
        <v>7925</v>
      </c>
      <c r="Y398" t="s">
        <v>7926</v>
      </c>
      <c r="Z398" t="s">
        <v>7927</v>
      </c>
      <c r="AA398" t="s">
        <v>74</v>
      </c>
      <c r="AB398" t="s">
        <v>74</v>
      </c>
      <c r="AC398" t="s">
        <v>7928</v>
      </c>
      <c r="AD398" t="s">
        <v>7928</v>
      </c>
      <c r="AE398" t="s">
        <v>7929</v>
      </c>
      <c r="AF398" t="s">
        <v>74</v>
      </c>
      <c r="AG398">
        <v>73</v>
      </c>
      <c r="AH398">
        <v>22</v>
      </c>
      <c r="AI398">
        <v>26</v>
      </c>
      <c r="AJ398">
        <v>5</v>
      </c>
      <c r="AK398">
        <v>102</v>
      </c>
      <c r="AL398" t="s">
        <v>2187</v>
      </c>
      <c r="AM398" t="s">
        <v>2188</v>
      </c>
      <c r="AN398" t="s">
        <v>7930</v>
      </c>
      <c r="AO398" t="s">
        <v>2190</v>
      </c>
      <c r="AP398" t="s">
        <v>2191</v>
      </c>
      <c r="AQ398" t="s">
        <v>74</v>
      </c>
      <c r="AR398" t="s">
        <v>2192</v>
      </c>
      <c r="AS398" t="s">
        <v>2193</v>
      </c>
      <c r="AT398" t="s">
        <v>1109</v>
      </c>
      <c r="AU398">
        <v>2019</v>
      </c>
      <c r="AV398">
        <v>99</v>
      </c>
      <c r="AW398">
        <v>4</v>
      </c>
      <c r="AX398" t="s">
        <v>74</v>
      </c>
      <c r="AY398" t="s">
        <v>74</v>
      </c>
      <c r="AZ398" t="s">
        <v>74</v>
      </c>
      <c r="BA398" t="s">
        <v>74</v>
      </c>
      <c r="BB398">
        <v>472</v>
      </c>
      <c r="BC398">
        <v>484</v>
      </c>
      <c r="BD398" t="s">
        <v>74</v>
      </c>
      <c r="BE398" t="s">
        <v>7931</v>
      </c>
      <c r="BF398" t="str">
        <f>HYPERLINK("http://dx.doi.org/10.1139/cjss-2019-0058","http://dx.doi.org/10.1139/cjss-2019-0058")</f>
        <v>http://dx.doi.org/10.1139/cjss-2019-0058</v>
      </c>
      <c r="BG398" t="s">
        <v>74</v>
      </c>
      <c r="BH398" t="s">
        <v>74</v>
      </c>
      <c r="BI398">
        <v>13</v>
      </c>
      <c r="BJ398" t="s">
        <v>256</v>
      </c>
      <c r="BK398" t="s">
        <v>102</v>
      </c>
      <c r="BL398" t="s">
        <v>103</v>
      </c>
      <c r="BM398" t="s">
        <v>7932</v>
      </c>
      <c r="BN398" t="s">
        <v>74</v>
      </c>
      <c r="BO398" t="s">
        <v>74</v>
      </c>
      <c r="BP398" t="s">
        <v>74</v>
      </c>
      <c r="BQ398" t="s">
        <v>74</v>
      </c>
      <c r="BR398" t="s">
        <v>106</v>
      </c>
      <c r="BS398" t="s">
        <v>7933</v>
      </c>
      <c r="BT398" t="str">
        <f>HYPERLINK("https%3A%2F%2Fwww.webofscience.com%2Fwos%2Fwoscc%2Ffull-record%2FWOS:000500183800010","View Full Record in Web of Science")</f>
        <v>View Full Record in Web of Science</v>
      </c>
    </row>
    <row r="399" spans="1:72" x14ac:dyDescent="0.2">
      <c r="A399" t="s">
        <v>72</v>
      </c>
      <c r="B399" t="s">
        <v>7934</v>
      </c>
      <c r="C399" t="s">
        <v>74</v>
      </c>
      <c r="D399" t="s">
        <v>74</v>
      </c>
      <c r="E399" t="s">
        <v>74</v>
      </c>
      <c r="F399" t="s">
        <v>7935</v>
      </c>
      <c r="G399" t="s">
        <v>74</v>
      </c>
      <c r="H399" t="s">
        <v>74</v>
      </c>
      <c r="I399" t="s">
        <v>7936</v>
      </c>
      <c r="J399" t="s">
        <v>1231</v>
      </c>
      <c r="K399" t="s">
        <v>74</v>
      </c>
      <c r="L399" t="s">
        <v>74</v>
      </c>
      <c r="M399" t="s">
        <v>78</v>
      </c>
      <c r="N399" t="s">
        <v>492</v>
      </c>
      <c r="O399" t="s">
        <v>74</v>
      </c>
      <c r="P399" t="s">
        <v>74</v>
      </c>
      <c r="Q399" t="s">
        <v>74</v>
      </c>
      <c r="R399" t="s">
        <v>74</v>
      </c>
      <c r="S399" t="s">
        <v>74</v>
      </c>
      <c r="T399" t="s">
        <v>7937</v>
      </c>
      <c r="U399" t="s">
        <v>7938</v>
      </c>
      <c r="V399" t="s">
        <v>7939</v>
      </c>
      <c r="W399" t="s">
        <v>7940</v>
      </c>
      <c r="X399" t="s">
        <v>7941</v>
      </c>
      <c r="Y399" t="s">
        <v>7942</v>
      </c>
      <c r="Z399" t="s">
        <v>7943</v>
      </c>
      <c r="AA399" t="s">
        <v>7944</v>
      </c>
      <c r="AB399" t="s">
        <v>7945</v>
      </c>
      <c r="AC399" t="s">
        <v>7946</v>
      </c>
      <c r="AD399" t="s">
        <v>7947</v>
      </c>
      <c r="AE399" t="s">
        <v>7948</v>
      </c>
      <c r="AF399" t="s">
        <v>74</v>
      </c>
      <c r="AG399">
        <v>83</v>
      </c>
      <c r="AH399">
        <v>11</v>
      </c>
      <c r="AI399">
        <v>11</v>
      </c>
      <c r="AJ399">
        <v>6</v>
      </c>
      <c r="AK399">
        <v>44</v>
      </c>
      <c r="AL399" t="s">
        <v>1242</v>
      </c>
      <c r="AM399" t="s">
        <v>1243</v>
      </c>
      <c r="AN399" t="s">
        <v>1244</v>
      </c>
      <c r="AO399" t="s">
        <v>1245</v>
      </c>
      <c r="AP399" t="s">
        <v>1246</v>
      </c>
      <c r="AQ399" t="s">
        <v>74</v>
      </c>
      <c r="AR399" t="s">
        <v>1247</v>
      </c>
      <c r="AS399" t="s">
        <v>1248</v>
      </c>
      <c r="AT399" t="s">
        <v>7949</v>
      </c>
      <c r="AU399">
        <v>2023</v>
      </c>
      <c r="AV399" t="s">
        <v>74</v>
      </c>
      <c r="AW399" t="s">
        <v>74</v>
      </c>
      <c r="AX399" t="s">
        <v>74</v>
      </c>
      <c r="AY399" t="s">
        <v>74</v>
      </c>
      <c r="AZ399" t="s">
        <v>74</v>
      </c>
      <c r="BA399" t="s">
        <v>74</v>
      </c>
      <c r="BB399" t="s">
        <v>74</v>
      </c>
      <c r="BC399" t="s">
        <v>74</v>
      </c>
      <c r="BD399" t="s">
        <v>74</v>
      </c>
      <c r="BE399" t="s">
        <v>7950</v>
      </c>
      <c r="BF399" t="str">
        <f>HYPERLINK("http://dx.doi.org/10.1007/s11356-023-29497-3","http://dx.doi.org/10.1007/s11356-023-29497-3")</f>
        <v>http://dx.doi.org/10.1007/s11356-023-29497-3</v>
      </c>
      <c r="BG399" t="s">
        <v>74</v>
      </c>
      <c r="BH399" t="s">
        <v>2001</v>
      </c>
      <c r="BI399">
        <v>17</v>
      </c>
      <c r="BJ399" t="s">
        <v>567</v>
      </c>
      <c r="BK399" t="s">
        <v>102</v>
      </c>
      <c r="BL399" t="s">
        <v>568</v>
      </c>
      <c r="BM399" t="s">
        <v>7951</v>
      </c>
      <c r="BN399">
        <v>37707739</v>
      </c>
      <c r="BO399" t="s">
        <v>74</v>
      </c>
      <c r="BP399" t="s">
        <v>74</v>
      </c>
      <c r="BQ399" t="s">
        <v>74</v>
      </c>
      <c r="BR399" t="s">
        <v>106</v>
      </c>
      <c r="BS399" t="s">
        <v>7952</v>
      </c>
      <c r="BT399" t="str">
        <f>HYPERLINK("https%3A%2F%2Fwww.webofscience.com%2Fwos%2Fwoscc%2Ffull-record%2FWOS:001068098100007","View Full Record in Web of Science")</f>
        <v>View Full Record in Web of Science</v>
      </c>
    </row>
    <row r="400" spans="1:72" x14ac:dyDescent="0.2">
      <c r="A400" t="s">
        <v>72</v>
      </c>
      <c r="B400" t="s">
        <v>7953</v>
      </c>
      <c r="C400" t="s">
        <v>74</v>
      </c>
      <c r="D400" t="s">
        <v>74</v>
      </c>
      <c r="E400" t="s">
        <v>74</v>
      </c>
      <c r="F400" t="s">
        <v>7954</v>
      </c>
      <c r="G400" t="s">
        <v>74</v>
      </c>
      <c r="H400" t="s">
        <v>74</v>
      </c>
      <c r="I400" t="s">
        <v>7955</v>
      </c>
      <c r="J400" t="s">
        <v>7956</v>
      </c>
      <c r="K400" t="s">
        <v>74</v>
      </c>
      <c r="L400" t="s">
        <v>74</v>
      </c>
      <c r="M400" t="s">
        <v>78</v>
      </c>
      <c r="N400" t="s">
        <v>79</v>
      </c>
      <c r="O400" t="s">
        <v>74</v>
      </c>
      <c r="P400" t="s">
        <v>74</v>
      </c>
      <c r="Q400" t="s">
        <v>74</v>
      </c>
      <c r="R400" t="s">
        <v>74</v>
      </c>
      <c r="S400" t="s">
        <v>74</v>
      </c>
      <c r="T400" t="s">
        <v>7957</v>
      </c>
      <c r="U400" t="s">
        <v>7958</v>
      </c>
      <c r="V400" t="s">
        <v>7959</v>
      </c>
      <c r="W400" t="s">
        <v>7960</v>
      </c>
      <c r="X400" t="s">
        <v>7961</v>
      </c>
      <c r="Y400" t="s">
        <v>7962</v>
      </c>
      <c r="Z400" t="s">
        <v>7963</v>
      </c>
      <c r="AA400" t="s">
        <v>7964</v>
      </c>
      <c r="AB400" t="s">
        <v>7965</v>
      </c>
      <c r="AC400" t="s">
        <v>7966</v>
      </c>
      <c r="AD400" t="s">
        <v>7967</v>
      </c>
      <c r="AE400" t="s">
        <v>7968</v>
      </c>
      <c r="AF400" t="s">
        <v>74</v>
      </c>
      <c r="AG400">
        <v>60</v>
      </c>
      <c r="AH400">
        <v>7</v>
      </c>
      <c r="AI400">
        <v>7</v>
      </c>
      <c r="AJ400">
        <v>5</v>
      </c>
      <c r="AK400">
        <v>34</v>
      </c>
      <c r="AL400" t="s">
        <v>1820</v>
      </c>
      <c r="AM400" t="s">
        <v>1821</v>
      </c>
      <c r="AN400" t="s">
        <v>1822</v>
      </c>
      <c r="AO400" t="s">
        <v>7969</v>
      </c>
      <c r="AP400" t="s">
        <v>7970</v>
      </c>
      <c r="AQ400" t="s">
        <v>74</v>
      </c>
      <c r="AR400" t="s">
        <v>7971</v>
      </c>
      <c r="AS400" t="s">
        <v>7972</v>
      </c>
      <c r="AT400" t="s">
        <v>74</v>
      </c>
      <c r="AU400">
        <v>2017</v>
      </c>
      <c r="AV400">
        <v>39</v>
      </c>
      <c r="AW400">
        <v>2</v>
      </c>
      <c r="AX400" t="s">
        <v>74</v>
      </c>
      <c r="AY400" t="s">
        <v>74</v>
      </c>
      <c r="AZ400" t="s">
        <v>74</v>
      </c>
      <c r="BA400" t="s">
        <v>74</v>
      </c>
      <c r="BB400">
        <v>145</v>
      </c>
      <c r="BC400">
        <v>152</v>
      </c>
      <c r="BD400" t="s">
        <v>74</v>
      </c>
      <c r="BE400" t="s">
        <v>7973</v>
      </c>
      <c r="BF400" t="str">
        <f>HYPERLINK("http://dx.doi.org/10.1071/RJ16077","http://dx.doi.org/10.1071/RJ16077")</f>
        <v>http://dx.doi.org/10.1071/RJ16077</v>
      </c>
      <c r="BG400" t="s">
        <v>74</v>
      </c>
      <c r="BH400" t="s">
        <v>74</v>
      </c>
      <c r="BI400">
        <v>8</v>
      </c>
      <c r="BJ400" t="s">
        <v>4692</v>
      </c>
      <c r="BK400" t="s">
        <v>102</v>
      </c>
      <c r="BL400" t="s">
        <v>568</v>
      </c>
      <c r="BM400" t="s">
        <v>7974</v>
      </c>
      <c r="BN400" t="s">
        <v>74</v>
      </c>
      <c r="BO400" t="s">
        <v>916</v>
      </c>
      <c r="BP400" t="s">
        <v>74</v>
      </c>
      <c r="BQ400" t="s">
        <v>74</v>
      </c>
      <c r="BR400" t="s">
        <v>106</v>
      </c>
      <c r="BS400" t="s">
        <v>7975</v>
      </c>
      <c r="BT400" t="str">
        <f>HYPERLINK("https%3A%2F%2Fwww.webofscience.com%2Fwos%2Fwoscc%2Ffull-record%2FWOS:000400471600005","View Full Record in Web of Science")</f>
        <v>View Full Record in Web of Science</v>
      </c>
    </row>
    <row r="401" spans="1:72" x14ac:dyDescent="0.2">
      <c r="A401" t="s">
        <v>72</v>
      </c>
      <c r="B401" t="s">
        <v>7976</v>
      </c>
      <c r="C401" t="s">
        <v>74</v>
      </c>
      <c r="D401" t="s">
        <v>74</v>
      </c>
      <c r="E401" t="s">
        <v>74</v>
      </c>
      <c r="F401" t="s">
        <v>7977</v>
      </c>
      <c r="G401" t="s">
        <v>74</v>
      </c>
      <c r="H401" t="s">
        <v>74</v>
      </c>
      <c r="I401" t="s">
        <v>7978</v>
      </c>
      <c r="J401" t="s">
        <v>421</v>
      </c>
      <c r="K401" t="s">
        <v>74</v>
      </c>
      <c r="L401" t="s">
        <v>74</v>
      </c>
      <c r="M401" t="s">
        <v>78</v>
      </c>
      <c r="N401" t="s">
        <v>79</v>
      </c>
      <c r="O401" t="s">
        <v>74</v>
      </c>
      <c r="P401" t="s">
        <v>74</v>
      </c>
      <c r="Q401" t="s">
        <v>74</v>
      </c>
      <c r="R401" t="s">
        <v>74</v>
      </c>
      <c r="S401" t="s">
        <v>74</v>
      </c>
      <c r="T401" t="s">
        <v>7979</v>
      </c>
      <c r="U401" t="s">
        <v>7980</v>
      </c>
      <c r="V401" t="s">
        <v>7981</v>
      </c>
      <c r="W401" t="s">
        <v>7982</v>
      </c>
      <c r="X401" t="s">
        <v>7983</v>
      </c>
      <c r="Y401" t="s">
        <v>7984</v>
      </c>
      <c r="Z401" t="s">
        <v>7985</v>
      </c>
      <c r="AA401" t="s">
        <v>7986</v>
      </c>
      <c r="AB401" t="s">
        <v>7987</v>
      </c>
      <c r="AC401" t="s">
        <v>7988</v>
      </c>
      <c r="AD401" t="s">
        <v>7989</v>
      </c>
      <c r="AE401" t="s">
        <v>7990</v>
      </c>
      <c r="AF401" t="s">
        <v>74</v>
      </c>
      <c r="AG401">
        <v>51</v>
      </c>
      <c r="AH401">
        <v>40</v>
      </c>
      <c r="AI401">
        <v>41</v>
      </c>
      <c r="AJ401">
        <v>13</v>
      </c>
      <c r="AK401">
        <v>100</v>
      </c>
      <c r="AL401" t="s">
        <v>123</v>
      </c>
      <c r="AM401" t="s">
        <v>124</v>
      </c>
      <c r="AN401" t="s">
        <v>125</v>
      </c>
      <c r="AO401" t="s">
        <v>434</v>
      </c>
      <c r="AP401" t="s">
        <v>435</v>
      </c>
      <c r="AQ401" t="s">
        <v>74</v>
      </c>
      <c r="AR401" t="s">
        <v>421</v>
      </c>
      <c r="AS401" t="s">
        <v>436</v>
      </c>
      <c r="AT401" t="s">
        <v>1963</v>
      </c>
      <c r="AU401">
        <v>2023</v>
      </c>
      <c r="AV401">
        <v>230</v>
      </c>
      <c r="AW401" t="s">
        <v>74</v>
      </c>
      <c r="AX401" t="s">
        <v>74</v>
      </c>
      <c r="AY401" t="s">
        <v>74</v>
      </c>
      <c r="AZ401" t="s">
        <v>74</v>
      </c>
      <c r="BA401" t="s">
        <v>74</v>
      </c>
      <c r="BB401" t="s">
        <v>74</v>
      </c>
      <c r="BC401" t="s">
        <v>74</v>
      </c>
      <c r="BD401">
        <v>107247</v>
      </c>
      <c r="BE401" t="s">
        <v>7991</v>
      </c>
      <c r="BF401" t="str">
        <f>HYPERLINK("http://dx.doi.org/10.1016/j.catena.2023.107247","http://dx.doi.org/10.1016/j.catena.2023.107247")</f>
        <v>http://dx.doi.org/10.1016/j.catena.2023.107247</v>
      </c>
      <c r="BG401" t="s">
        <v>74</v>
      </c>
      <c r="BH401" t="s">
        <v>5971</v>
      </c>
      <c r="BI401">
        <v>12</v>
      </c>
      <c r="BJ401" t="s">
        <v>439</v>
      </c>
      <c r="BK401" t="s">
        <v>102</v>
      </c>
      <c r="BL401" t="s">
        <v>440</v>
      </c>
      <c r="BM401" t="s">
        <v>7992</v>
      </c>
      <c r="BN401" t="s">
        <v>74</v>
      </c>
      <c r="BO401" t="s">
        <v>74</v>
      </c>
      <c r="BP401" t="s">
        <v>74</v>
      </c>
      <c r="BQ401" t="s">
        <v>74</v>
      </c>
      <c r="BR401" t="s">
        <v>106</v>
      </c>
      <c r="BS401" t="s">
        <v>7993</v>
      </c>
      <c r="BT401" t="str">
        <f>HYPERLINK("https%3A%2F%2Fwww.webofscience.com%2Fwos%2Fwoscc%2Ffull-record%2FWOS:001014886000001","View Full Record in Web of Science")</f>
        <v>View Full Record in Web of Science</v>
      </c>
    </row>
    <row r="402" spans="1:72" x14ac:dyDescent="0.2">
      <c r="A402" t="s">
        <v>72</v>
      </c>
      <c r="B402" t="s">
        <v>7994</v>
      </c>
      <c r="C402" t="s">
        <v>74</v>
      </c>
      <c r="D402" t="s">
        <v>74</v>
      </c>
      <c r="E402" t="s">
        <v>74</v>
      </c>
      <c r="F402" t="s">
        <v>7995</v>
      </c>
      <c r="G402" t="s">
        <v>74</v>
      </c>
      <c r="H402" t="s">
        <v>74</v>
      </c>
      <c r="I402" t="s">
        <v>7996</v>
      </c>
      <c r="J402" t="s">
        <v>7997</v>
      </c>
      <c r="K402" t="s">
        <v>74</v>
      </c>
      <c r="L402" t="s">
        <v>74</v>
      </c>
      <c r="M402" t="s">
        <v>7998</v>
      </c>
      <c r="N402" t="s">
        <v>79</v>
      </c>
      <c r="O402" t="s">
        <v>74</v>
      </c>
      <c r="P402" t="s">
        <v>74</v>
      </c>
      <c r="Q402" t="s">
        <v>74</v>
      </c>
      <c r="R402" t="s">
        <v>74</v>
      </c>
      <c r="S402" t="s">
        <v>74</v>
      </c>
      <c r="T402" t="s">
        <v>7999</v>
      </c>
      <c r="U402" t="s">
        <v>8000</v>
      </c>
      <c r="V402" t="s">
        <v>8001</v>
      </c>
      <c r="W402" t="s">
        <v>8002</v>
      </c>
      <c r="X402" t="s">
        <v>8003</v>
      </c>
      <c r="Y402" t="s">
        <v>8004</v>
      </c>
      <c r="Z402" t="s">
        <v>8005</v>
      </c>
      <c r="AA402" t="s">
        <v>74</v>
      </c>
      <c r="AB402" t="s">
        <v>74</v>
      </c>
      <c r="AC402" t="s">
        <v>74</v>
      </c>
      <c r="AD402" t="s">
        <v>74</v>
      </c>
      <c r="AE402" t="s">
        <v>74</v>
      </c>
      <c r="AF402" t="s">
        <v>74</v>
      </c>
      <c r="AG402">
        <v>36</v>
      </c>
      <c r="AH402">
        <v>3</v>
      </c>
      <c r="AI402">
        <v>3</v>
      </c>
      <c r="AJ402">
        <v>0</v>
      </c>
      <c r="AK402">
        <v>25</v>
      </c>
      <c r="AL402" t="s">
        <v>8006</v>
      </c>
      <c r="AM402" t="s">
        <v>8007</v>
      </c>
      <c r="AN402" t="s">
        <v>8008</v>
      </c>
      <c r="AO402" t="s">
        <v>8009</v>
      </c>
      <c r="AP402" t="s">
        <v>74</v>
      </c>
      <c r="AQ402" t="s">
        <v>74</v>
      </c>
      <c r="AR402" t="s">
        <v>8010</v>
      </c>
      <c r="AS402" t="s">
        <v>8011</v>
      </c>
      <c r="AT402" t="s">
        <v>99</v>
      </c>
      <c r="AU402">
        <v>2016</v>
      </c>
      <c r="AV402">
        <v>66</v>
      </c>
      <c r="AW402">
        <v>1</v>
      </c>
      <c r="AX402" t="s">
        <v>74</v>
      </c>
      <c r="AY402" t="s">
        <v>74</v>
      </c>
      <c r="AZ402" t="s">
        <v>74</v>
      </c>
      <c r="BA402" t="s">
        <v>74</v>
      </c>
      <c r="BB402">
        <v>29</v>
      </c>
      <c r="BC402">
        <v>44</v>
      </c>
      <c r="BD402" t="s">
        <v>74</v>
      </c>
      <c r="BE402" t="s">
        <v>8012</v>
      </c>
      <c r="BF402" t="str">
        <f>HYPERLINK("http://dx.doi.org/10.3220/LBF1456905354000","http://dx.doi.org/10.3220/LBF1456905354000")</f>
        <v>http://dx.doi.org/10.3220/LBF1456905354000</v>
      </c>
      <c r="BG402" t="s">
        <v>74</v>
      </c>
      <c r="BH402" t="s">
        <v>74</v>
      </c>
      <c r="BI402">
        <v>16</v>
      </c>
      <c r="BJ402" t="s">
        <v>101</v>
      </c>
      <c r="BK402" t="s">
        <v>102</v>
      </c>
      <c r="BL402" t="s">
        <v>103</v>
      </c>
      <c r="BM402" t="s">
        <v>8013</v>
      </c>
      <c r="BN402" t="s">
        <v>74</v>
      </c>
      <c r="BO402" t="s">
        <v>74</v>
      </c>
      <c r="BP402" t="s">
        <v>74</v>
      </c>
      <c r="BQ402" t="s">
        <v>74</v>
      </c>
      <c r="BR402" t="s">
        <v>106</v>
      </c>
      <c r="BS402" t="s">
        <v>8014</v>
      </c>
      <c r="BT402" t="str">
        <f>HYPERLINK("https%3A%2F%2Fwww.webofscience.com%2Fwos%2Fwoscc%2Ffull-record%2FWOS:000377927900004","View Full Record in Web of Science")</f>
        <v>View Full Record in Web of Science</v>
      </c>
    </row>
    <row r="403" spans="1:72" x14ac:dyDescent="0.2">
      <c r="A403" t="s">
        <v>72</v>
      </c>
      <c r="B403" t="s">
        <v>8015</v>
      </c>
      <c r="C403" t="s">
        <v>74</v>
      </c>
      <c r="D403" t="s">
        <v>74</v>
      </c>
      <c r="E403" t="s">
        <v>74</v>
      </c>
      <c r="F403" t="s">
        <v>8016</v>
      </c>
      <c r="G403" t="s">
        <v>74</v>
      </c>
      <c r="H403" t="s">
        <v>74</v>
      </c>
      <c r="I403" t="s">
        <v>8017</v>
      </c>
      <c r="J403" t="s">
        <v>8018</v>
      </c>
      <c r="K403" t="s">
        <v>74</v>
      </c>
      <c r="L403" t="s">
        <v>74</v>
      </c>
      <c r="M403" t="s">
        <v>78</v>
      </c>
      <c r="N403" t="s">
        <v>79</v>
      </c>
      <c r="O403" t="s">
        <v>74</v>
      </c>
      <c r="P403" t="s">
        <v>74</v>
      </c>
      <c r="Q403" t="s">
        <v>74</v>
      </c>
      <c r="R403" t="s">
        <v>74</v>
      </c>
      <c r="S403" t="s">
        <v>74</v>
      </c>
      <c r="T403" t="s">
        <v>8019</v>
      </c>
      <c r="U403" t="s">
        <v>8020</v>
      </c>
      <c r="V403" t="s">
        <v>8021</v>
      </c>
      <c r="W403" t="s">
        <v>8022</v>
      </c>
      <c r="X403" t="s">
        <v>8023</v>
      </c>
      <c r="Y403" t="s">
        <v>8024</v>
      </c>
      <c r="Z403" t="s">
        <v>8025</v>
      </c>
      <c r="AA403" t="s">
        <v>8026</v>
      </c>
      <c r="AB403" t="s">
        <v>8027</v>
      </c>
      <c r="AC403" t="s">
        <v>74</v>
      </c>
      <c r="AD403" t="s">
        <v>74</v>
      </c>
      <c r="AE403" t="s">
        <v>74</v>
      </c>
      <c r="AF403" t="s">
        <v>74</v>
      </c>
      <c r="AG403">
        <v>95</v>
      </c>
      <c r="AH403">
        <v>2</v>
      </c>
      <c r="AI403">
        <v>2</v>
      </c>
      <c r="AJ403">
        <v>1</v>
      </c>
      <c r="AK403">
        <v>3</v>
      </c>
      <c r="AL403" t="s">
        <v>123</v>
      </c>
      <c r="AM403" t="s">
        <v>124</v>
      </c>
      <c r="AN403" t="s">
        <v>125</v>
      </c>
      <c r="AO403" t="s">
        <v>8028</v>
      </c>
      <c r="AP403" t="s">
        <v>8029</v>
      </c>
      <c r="AQ403" t="s">
        <v>74</v>
      </c>
      <c r="AR403" t="s">
        <v>8018</v>
      </c>
      <c r="AS403" t="s">
        <v>8030</v>
      </c>
      <c r="AT403" t="s">
        <v>459</v>
      </c>
      <c r="AU403">
        <v>2025</v>
      </c>
      <c r="AV403">
        <v>19</v>
      </c>
      <c r="AW403">
        <v>2</v>
      </c>
      <c r="AX403" t="s">
        <v>74</v>
      </c>
      <c r="AY403" t="s">
        <v>74</v>
      </c>
      <c r="AZ403" t="s">
        <v>74</v>
      </c>
      <c r="BA403" t="s">
        <v>74</v>
      </c>
      <c r="BB403" t="s">
        <v>74</v>
      </c>
      <c r="BC403" t="s">
        <v>74</v>
      </c>
      <c r="BD403">
        <v>101390</v>
      </c>
      <c r="BE403" t="s">
        <v>8031</v>
      </c>
      <c r="BF403" t="str">
        <f>HYPERLINK("http://dx.doi.org/10.1016/j.animal.2024.101390","http://dx.doi.org/10.1016/j.animal.2024.101390")</f>
        <v>http://dx.doi.org/10.1016/j.animal.2024.101390</v>
      </c>
      <c r="BG403" t="s">
        <v>74</v>
      </c>
      <c r="BH403" t="s">
        <v>2404</v>
      </c>
      <c r="BI403">
        <v>11</v>
      </c>
      <c r="BJ403" t="s">
        <v>8032</v>
      </c>
      <c r="BK403" t="s">
        <v>102</v>
      </c>
      <c r="BL403" t="s">
        <v>8033</v>
      </c>
      <c r="BM403" t="s">
        <v>8034</v>
      </c>
      <c r="BN403">
        <v>39793146</v>
      </c>
      <c r="BO403" t="s">
        <v>231</v>
      </c>
      <c r="BP403" t="s">
        <v>74</v>
      </c>
      <c r="BQ403" t="s">
        <v>74</v>
      </c>
      <c r="BR403" t="s">
        <v>106</v>
      </c>
      <c r="BS403" t="s">
        <v>8035</v>
      </c>
      <c r="BT403" t="str">
        <f>HYPERLINK("https%3A%2F%2Fwww.webofscience.com%2Fwos%2Fwoscc%2Ffull-record%2FWOS:001410358900001","View Full Record in Web of Science")</f>
        <v>View Full Record in Web of Science</v>
      </c>
    </row>
    <row r="404" spans="1:72" x14ac:dyDescent="0.2">
      <c r="A404" t="s">
        <v>72</v>
      </c>
      <c r="B404" t="s">
        <v>8036</v>
      </c>
      <c r="C404" t="s">
        <v>74</v>
      </c>
      <c r="D404" t="s">
        <v>74</v>
      </c>
      <c r="E404" t="s">
        <v>74</v>
      </c>
      <c r="F404" t="s">
        <v>8037</v>
      </c>
      <c r="G404" t="s">
        <v>74</v>
      </c>
      <c r="H404" t="s">
        <v>74</v>
      </c>
      <c r="I404" t="s">
        <v>8038</v>
      </c>
      <c r="J404" t="s">
        <v>1526</v>
      </c>
      <c r="K404" t="s">
        <v>74</v>
      </c>
      <c r="L404" t="s">
        <v>74</v>
      </c>
      <c r="M404" t="s">
        <v>78</v>
      </c>
      <c r="N404" t="s">
        <v>79</v>
      </c>
      <c r="O404" t="s">
        <v>74</v>
      </c>
      <c r="P404" t="s">
        <v>74</v>
      </c>
      <c r="Q404" t="s">
        <v>74</v>
      </c>
      <c r="R404" t="s">
        <v>74</v>
      </c>
      <c r="S404" t="s">
        <v>74</v>
      </c>
      <c r="T404" t="s">
        <v>8039</v>
      </c>
      <c r="U404" t="s">
        <v>8040</v>
      </c>
      <c r="V404" t="s">
        <v>8041</v>
      </c>
      <c r="W404" t="s">
        <v>8042</v>
      </c>
      <c r="X404" t="s">
        <v>8043</v>
      </c>
      <c r="Y404" t="s">
        <v>8044</v>
      </c>
      <c r="Z404" t="s">
        <v>8045</v>
      </c>
      <c r="AA404" t="s">
        <v>8046</v>
      </c>
      <c r="AB404" t="s">
        <v>8047</v>
      </c>
      <c r="AC404" t="s">
        <v>8048</v>
      </c>
      <c r="AD404" t="s">
        <v>8049</v>
      </c>
      <c r="AE404" t="s">
        <v>8050</v>
      </c>
      <c r="AF404" t="s">
        <v>74</v>
      </c>
      <c r="AG404">
        <v>149</v>
      </c>
      <c r="AH404">
        <v>136</v>
      </c>
      <c r="AI404">
        <v>150</v>
      </c>
      <c r="AJ404">
        <v>39</v>
      </c>
      <c r="AK404">
        <v>422</v>
      </c>
      <c r="AL404" t="s">
        <v>176</v>
      </c>
      <c r="AM404" t="s">
        <v>1610</v>
      </c>
      <c r="AN404" t="s">
        <v>1611</v>
      </c>
      <c r="AO404" t="s">
        <v>1538</v>
      </c>
      <c r="AP404" t="s">
        <v>1539</v>
      </c>
      <c r="AQ404" t="s">
        <v>74</v>
      </c>
      <c r="AR404" t="s">
        <v>1540</v>
      </c>
      <c r="AS404" t="s">
        <v>1541</v>
      </c>
      <c r="AT404" t="s">
        <v>411</v>
      </c>
      <c r="AU404">
        <v>2021</v>
      </c>
      <c r="AV404">
        <v>315</v>
      </c>
      <c r="AW404" t="s">
        <v>74</v>
      </c>
      <c r="AX404" t="s">
        <v>74</v>
      </c>
      <c r="AY404" t="s">
        <v>74</v>
      </c>
      <c r="AZ404" t="s">
        <v>74</v>
      </c>
      <c r="BA404" t="s">
        <v>74</v>
      </c>
      <c r="BB404" t="s">
        <v>74</v>
      </c>
      <c r="BC404" t="s">
        <v>74</v>
      </c>
      <c r="BD404">
        <v>128036</v>
      </c>
      <c r="BE404" t="s">
        <v>8051</v>
      </c>
      <c r="BF404" t="str">
        <f>HYPERLINK("http://dx.doi.org/10.1016/j.jelepro.2021.128036","http://dx.doi.org/10.1016/j.jelepro.2021.128036")</f>
        <v>http://dx.doi.org/10.1016/j.jelepro.2021.128036</v>
      </c>
      <c r="BG404" t="s">
        <v>74</v>
      </c>
      <c r="BH404" t="s">
        <v>74</v>
      </c>
      <c r="BI404">
        <v>12</v>
      </c>
      <c r="BJ404" t="s">
        <v>1543</v>
      </c>
      <c r="BK404" t="s">
        <v>102</v>
      </c>
      <c r="BL404" t="s">
        <v>1544</v>
      </c>
      <c r="BM404" t="s">
        <v>8052</v>
      </c>
      <c r="BN404" t="s">
        <v>74</v>
      </c>
      <c r="BO404" t="s">
        <v>74</v>
      </c>
      <c r="BP404" t="s">
        <v>74</v>
      </c>
      <c r="BQ404" t="s">
        <v>74</v>
      </c>
      <c r="BR404" t="s">
        <v>106</v>
      </c>
      <c r="BS404" t="s">
        <v>8053</v>
      </c>
      <c r="BT404" t="str">
        <f>HYPERLINK("https%3A%2F%2Fwww.webofscience.com%2Fwos%2Fwoscc%2Ffull-record%2FWOS:000688582800004","View Full Record in Web of Science")</f>
        <v>View Full Record in Web of Science</v>
      </c>
    </row>
    <row r="405" spans="1:72" x14ac:dyDescent="0.2">
      <c r="A405" t="s">
        <v>72</v>
      </c>
      <c r="B405" t="s">
        <v>8054</v>
      </c>
      <c r="C405" t="s">
        <v>74</v>
      </c>
      <c r="D405" t="s">
        <v>74</v>
      </c>
      <c r="E405" t="s">
        <v>74</v>
      </c>
      <c r="F405" t="s">
        <v>8055</v>
      </c>
      <c r="G405" t="s">
        <v>74</v>
      </c>
      <c r="H405" t="s">
        <v>74</v>
      </c>
      <c r="I405" t="s">
        <v>8056</v>
      </c>
      <c r="J405" t="s">
        <v>4303</v>
      </c>
      <c r="K405" t="s">
        <v>74</v>
      </c>
      <c r="L405" t="s">
        <v>74</v>
      </c>
      <c r="M405" t="s">
        <v>78</v>
      </c>
      <c r="N405" t="s">
        <v>79</v>
      </c>
      <c r="O405" t="s">
        <v>74</v>
      </c>
      <c r="P405" t="s">
        <v>74</v>
      </c>
      <c r="Q405" t="s">
        <v>74</v>
      </c>
      <c r="R405" t="s">
        <v>74</v>
      </c>
      <c r="S405" t="s">
        <v>74</v>
      </c>
      <c r="T405" t="s">
        <v>8057</v>
      </c>
      <c r="U405" t="s">
        <v>8058</v>
      </c>
      <c r="V405" t="s">
        <v>8059</v>
      </c>
      <c r="W405" t="s">
        <v>8060</v>
      </c>
      <c r="X405" t="s">
        <v>8061</v>
      </c>
      <c r="Y405" t="s">
        <v>8062</v>
      </c>
      <c r="Z405" t="s">
        <v>8063</v>
      </c>
      <c r="AA405" t="s">
        <v>8064</v>
      </c>
      <c r="AB405" t="s">
        <v>8065</v>
      </c>
      <c r="AC405" t="s">
        <v>8066</v>
      </c>
      <c r="AD405" t="s">
        <v>8067</v>
      </c>
      <c r="AE405" t="s">
        <v>8068</v>
      </c>
      <c r="AF405" t="s">
        <v>74</v>
      </c>
      <c r="AG405">
        <v>66</v>
      </c>
      <c r="AH405">
        <v>18</v>
      </c>
      <c r="AI405">
        <v>19</v>
      </c>
      <c r="AJ405">
        <v>1</v>
      </c>
      <c r="AK405">
        <v>53</v>
      </c>
      <c r="AL405" t="s">
        <v>629</v>
      </c>
      <c r="AM405" t="s">
        <v>630</v>
      </c>
      <c r="AN405" t="s">
        <v>631</v>
      </c>
      <c r="AO405" t="s">
        <v>4313</v>
      </c>
      <c r="AP405" t="s">
        <v>4314</v>
      </c>
      <c r="AQ405" t="s">
        <v>74</v>
      </c>
      <c r="AR405" t="s">
        <v>4303</v>
      </c>
      <c r="AS405" t="s">
        <v>4315</v>
      </c>
      <c r="AT405" t="s">
        <v>459</v>
      </c>
      <c r="AU405">
        <v>2014</v>
      </c>
      <c r="AV405">
        <v>24</v>
      </c>
      <c r="AW405">
        <v>1</v>
      </c>
      <c r="AX405" t="s">
        <v>74</v>
      </c>
      <c r="AY405" t="s">
        <v>74</v>
      </c>
      <c r="AZ405" t="s">
        <v>74</v>
      </c>
      <c r="BA405" t="s">
        <v>74</v>
      </c>
      <c r="BB405">
        <v>65</v>
      </c>
      <c r="BC405">
        <v>75</v>
      </c>
      <c r="BD405" t="s">
        <v>74</v>
      </c>
      <c r="BE405" t="s">
        <v>8069</v>
      </c>
      <c r="BF405" t="str">
        <f>HYPERLINK("http://dx.doi.org/10.1016/S1002-0160(13)60081-8","http://dx.doi.org/10.1016/S1002-0160(13)60081-8")</f>
        <v>http://dx.doi.org/10.1016/S1002-0160(13)60081-8</v>
      </c>
      <c r="BG405" t="s">
        <v>74</v>
      </c>
      <c r="BH405" t="s">
        <v>74</v>
      </c>
      <c r="BI405">
        <v>11</v>
      </c>
      <c r="BJ405" t="s">
        <v>256</v>
      </c>
      <c r="BK405" t="s">
        <v>102</v>
      </c>
      <c r="BL405" t="s">
        <v>103</v>
      </c>
      <c r="BM405" t="s">
        <v>8070</v>
      </c>
      <c r="BN405" t="s">
        <v>74</v>
      </c>
      <c r="BO405" t="s">
        <v>74</v>
      </c>
      <c r="BP405" t="s">
        <v>74</v>
      </c>
      <c r="BQ405" t="s">
        <v>74</v>
      </c>
      <c r="BR405" t="s">
        <v>106</v>
      </c>
      <c r="BS405" t="s">
        <v>8071</v>
      </c>
      <c r="BT405" t="str">
        <f>HYPERLINK("https%3A%2F%2Fwww.webofscience.com%2Fwos%2Fwoscc%2Ffull-record%2FWOS:000332437400006","View Full Record in Web of Science")</f>
        <v>View Full Record in Web of Science</v>
      </c>
    </row>
    <row r="406" spans="1:72" x14ac:dyDescent="0.2">
      <c r="A406" t="s">
        <v>72</v>
      </c>
      <c r="B406" t="s">
        <v>8072</v>
      </c>
      <c r="C406" t="s">
        <v>74</v>
      </c>
      <c r="D406" t="s">
        <v>74</v>
      </c>
      <c r="E406" t="s">
        <v>74</v>
      </c>
      <c r="F406" t="s">
        <v>8073</v>
      </c>
      <c r="G406" t="s">
        <v>74</v>
      </c>
      <c r="H406" t="s">
        <v>74</v>
      </c>
      <c r="I406" t="s">
        <v>8074</v>
      </c>
      <c r="J406" t="s">
        <v>8075</v>
      </c>
      <c r="K406" t="s">
        <v>74</v>
      </c>
      <c r="L406" t="s">
        <v>74</v>
      </c>
      <c r="M406" t="s">
        <v>78</v>
      </c>
      <c r="N406" t="s">
        <v>79</v>
      </c>
      <c r="O406" t="s">
        <v>74</v>
      </c>
      <c r="P406" t="s">
        <v>74</v>
      </c>
      <c r="Q406" t="s">
        <v>74</v>
      </c>
      <c r="R406" t="s">
        <v>74</v>
      </c>
      <c r="S406" t="s">
        <v>74</v>
      </c>
      <c r="T406" t="s">
        <v>74</v>
      </c>
      <c r="U406" t="s">
        <v>74</v>
      </c>
      <c r="V406" t="s">
        <v>8076</v>
      </c>
      <c r="W406" t="s">
        <v>8077</v>
      </c>
      <c r="X406" t="s">
        <v>8078</v>
      </c>
      <c r="Y406" t="s">
        <v>8079</v>
      </c>
      <c r="Z406" t="s">
        <v>8080</v>
      </c>
      <c r="AA406" t="s">
        <v>8081</v>
      </c>
      <c r="AB406" t="s">
        <v>8082</v>
      </c>
      <c r="AC406" t="s">
        <v>74</v>
      </c>
      <c r="AD406" t="s">
        <v>74</v>
      </c>
      <c r="AE406" t="s">
        <v>74</v>
      </c>
      <c r="AF406" t="s">
        <v>74</v>
      </c>
      <c r="AG406">
        <v>25</v>
      </c>
      <c r="AH406">
        <v>0</v>
      </c>
      <c r="AI406">
        <v>0</v>
      </c>
      <c r="AJ406">
        <v>2</v>
      </c>
      <c r="AK406">
        <v>16</v>
      </c>
      <c r="AL406" t="s">
        <v>247</v>
      </c>
      <c r="AM406" t="s">
        <v>248</v>
      </c>
      <c r="AN406" t="s">
        <v>249</v>
      </c>
      <c r="AO406" t="s">
        <v>8083</v>
      </c>
      <c r="AP406" t="s">
        <v>8084</v>
      </c>
      <c r="AQ406" t="s">
        <v>74</v>
      </c>
      <c r="AR406" t="s">
        <v>8085</v>
      </c>
      <c r="AS406" t="s">
        <v>8086</v>
      </c>
      <c r="AT406" t="s">
        <v>8087</v>
      </c>
      <c r="AU406">
        <v>2022</v>
      </c>
      <c r="AV406">
        <v>2022</v>
      </c>
      <c r="AW406" t="s">
        <v>74</v>
      </c>
      <c r="AX406" t="s">
        <v>74</v>
      </c>
      <c r="AY406" t="s">
        <v>74</v>
      </c>
      <c r="AZ406" t="s">
        <v>74</v>
      </c>
      <c r="BA406" t="s">
        <v>74</v>
      </c>
      <c r="BB406" t="s">
        <v>74</v>
      </c>
      <c r="BC406" t="s">
        <v>74</v>
      </c>
      <c r="BD406">
        <v>7456650</v>
      </c>
      <c r="BE406" t="s">
        <v>8088</v>
      </c>
      <c r="BF406" t="str">
        <f>HYPERLINK("http://dx.doi.org/10.1155/2022/7456650","http://dx.doi.org/10.1155/2022/7456650")</f>
        <v>http://dx.doi.org/10.1155/2022/7456650</v>
      </c>
      <c r="BG406" t="s">
        <v>74</v>
      </c>
      <c r="BH406" t="s">
        <v>74</v>
      </c>
      <c r="BI406">
        <v>7</v>
      </c>
      <c r="BJ406" t="s">
        <v>864</v>
      </c>
      <c r="BK406" t="s">
        <v>102</v>
      </c>
      <c r="BL406" t="s">
        <v>864</v>
      </c>
      <c r="BM406" t="s">
        <v>8089</v>
      </c>
      <c r="BN406" t="s">
        <v>74</v>
      </c>
      <c r="BO406" t="s">
        <v>231</v>
      </c>
      <c r="BP406" t="s">
        <v>74</v>
      </c>
      <c r="BQ406" t="s">
        <v>74</v>
      </c>
      <c r="BR406" t="s">
        <v>106</v>
      </c>
      <c r="BS406" t="s">
        <v>8090</v>
      </c>
      <c r="BT406" t="str">
        <f>HYPERLINK("https%3A%2F%2Fwww.webofscience.com%2Fwos%2Fwoscc%2Ffull-record%2FWOS:001126257900001","View Full Record in Web of Science")</f>
        <v>View Full Record in Web of Science</v>
      </c>
    </row>
    <row r="407" spans="1:72" x14ac:dyDescent="0.2">
      <c r="A407" t="s">
        <v>72</v>
      </c>
      <c r="B407" t="s">
        <v>8091</v>
      </c>
      <c r="C407" t="s">
        <v>74</v>
      </c>
      <c r="D407" t="s">
        <v>74</v>
      </c>
      <c r="E407" t="s">
        <v>74</v>
      </c>
      <c r="F407" t="s">
        <v>8092</v>
      </c>
      <c r="G407" t="s">
        <v>74</v>
      </c>
      <c r="H407" t="s">
        <v>74</v>
      </c>
      <c r="I407" t="s">
        <v>8093</v>
      </c>
      <c r="J407" t="s">
        <v>995</v>
      </c>
      <c r="K407" t="s">
        <v>74</v>
      </c>
      <c r="L407" t="s">
        <v>74</v>
      </c>
      <c r="M407" t="s">
        <v>78</v>
      </c>
      <c r="N407" t="s">
        <v>79</v>
      </c>
      <c r="O407" t="s">
        <v>74</v>
      </c>
      <c r="P407" t="s">
        <v>74</v>
      </c>
      <c r="Q407" t="s">
        <v>74</v>
      </c>
      <c r="R407" t="s">
        <v>74</v>
      </c>
      <c r="S407" t="s">
        <v>74</v>
      </c>
      <c r="T407" t="s">
        <v>8094</v>
      </c>
      <c r="U407" t="s">
        <v>8095</v>
      </c>
      <c r="V407" t="s">
        <v>8096</v>
      </c>
      <c r="W407" t="s">
        <v>8097</v>
      </c>
      <c r="X407" t="s">
        <v>8098</v>
      </c>
      <c r="Y407" t="s">
        <v>8099</v>
      </c>
      <c r="Z407" t="s">
        <v>8100</v>
      </c>
      <c r="AA407" t="s">
        <v>8101</v>
      </c>
      <c r="AB407" t="s">
        <v>8102</v>
      </c>
      <c r="AC407" t="s">
        <v>8103</v>
      </c>
      <c r="AD407" t="s">
        <v>8104</v>
      </c>
      <c r="AE407" t="s">
        <v>8105</v>
      </c>
      <c r="AF407" t="s">
        <v>74</v>
      </c>
      <c r="AG407">
        <v>67</v>
      </c>
      <c r="AH407">
        <v>22</v>
      </c>
      <c r="AI407">
        <v>24</v>
      </c>
      <c r="AJ407">
        <v>8</v>
      </c>
      <c r="AK407">
        <v>91</v>
      </c>
      <c r="AL407" t="s">
        <v>123</v>
      </c>
      <c r="AM407" t="s">
        <v>124</v>
      </c>
      <c r="AN407" t="s">
        <v>125</v>
      </c>
      <c r="AO407" t="s">
        <v>1008</v>
      </c>
      <c r="AP407" t="s">
        <v>1009</v>
      </c>
      <c r="AQ407" t="s">
        <v>74</v>
      </c>
      <c r="AR407" t="s">
        <v>1010</v>
      </c>
      <c r="AS407" t="s">
        <v>1011</v>
      </c>
      <c r="AT407" t="s">
        <v>8106</v>
      </c>
      <c r="AU407">
        <v>2019</v>
      </c>
      <c r="AV407">
        <v>688</v>
      </c>
      <c r="AW407" t="s">
        <v>74</v>
      </c>
      <c r="AX407" t="s">
        <v>74</v>
      </c>
      <c r="AY407" t="s">
        <v>74</v>
      </c>
      <c r="AZ407" t="s">
        <v>74</v>
      </c>
      <c r="BA407" t="s">
        <v>74</v>
      </c>
      <c r="BB407">
        <v>732</v>
      </c>
      <c r="BC407">
        <v>741</v>
      </c>
      <c r="BD407" t="s">
        <v>74</v>
      </c>
      <c r="BE407" t="s">
        <v>8107</v>
      </c>
      <c r="BF407" t="str">
        <f>HYPERLINK("http://dx.doi.org/10.1016/j.scitotenv.2019.06.317","http://dx.doi.org/10.1016/j.scitotenv.2019.06.317")</f>
        <v>http://dx.doi.org/10.1016/j.scitotenv.2019.06.317</v>
      </c>
      <c r="BG407" t="s">
        <v>74</v>
      </c>
      <c r="BH407" t="s">
        <v>74</v>
      </c>
      <c r="BI407">
        <v>10</v>
      </c>
      <c r="BJ407" t="s">
        <v>567</v>
      </c>
      <c r="BK407" t="s">
        <v>102</v>
      </c>
      <c r="BL407" t="s">
        <v>568</v>
      </c>
      <c r="BM407" t="s">
        <v>8108</v>
      </c>
      <c r="BN407">
        <v>31255811</v>
      </c>
      <c r="BO407" t="s">
        <v>2296</v>
      </c>
      <c r="BP407" t="s">
        <v>74</v>
      </c>
      <c r="BQ407" t="s">
        <v>74</v>
      </c>
      <c r="BR407" t="s">
        <v>106</v>
      </c>
      <c r="BS407" t="s">
        <v>8109</v>
      </c>
      <c r="BT407" t="str">
        <f>HYPERLINK("https%3A%2F%2Fwww.webofscience.com%2Fwos%2Fwoscc%2Ffull-record%2FWOS:000481589100075","View Full Record in Web of Science")</f>
        <v>View Full Record in Web of Science</v>
      </c>
    </row>
    <row r="408" spans="1:72" x14ac:dyDescent="0.2">
      <c r="A408" t="s">
        <v>72</v>
      </c>
      <c r="B408" t="s">
        <v>8110</v>
      </c>
      <c r="C408" t="s">
        <v>74</v>
      </c>
      <c r="D408" t="s">
        <v>74</v>
      </c>
      <c r="E408" t="s">
        <v>74</v>
      </c>
      <c r="F408" t="s">
        <v>8111</v>
      </c>
      <c r="G408" t="s">
        <v>74</v>
      </c>
      <c r="H408" t="s">
        <v>74</v>
      </c>
      <c r="I408" t="s">
        <v>8112</v>
      </c>
      <c r="J408" t="s">
        <v>762</v>
      </c>
      <c r="K408" t="s">
        <v>74</v>
      </c>
      <c r="L408" t="s">
        <v>74</v>
      </c>
      <c r="M408" t="s">
        <v>78</v>
      </c>
      <c r="N408" t="s">
        <v>79</v>
      </c>
      <c r="O408" t="s">
        <v>74</v>
      </c>
      <c r="P408" t="s">
        <v>74</v>
      </c>
      <c r="Q408" t="s">
        <v>74</v>
      </c>
      <c r="R408" t="s">
        <v>74</v>
      </c>
      <c r="S408" t="s">
        <v>74</v>
      </c>
      <c r="T408" t="s">
        <v>8113</v>
      </c>
      <c r="U408" t="s">
        <v>8114</v>
      </c>
      <c r="V408" t="s">
        <v>8115</v>
      </c>
      <c r="W408" t="s">
        <v>8116</v>
      </c>
      <c r="X408" t="s">
        <v>8117</v>
      </c>
      <c r="Y408" t="s">
        <v>8118</v>
      </c>
      <c r="Z408" t="s">
        <v>8119</v>
      </c>
      <c r="AA408" t="s">
        <v>8120</v>
      </c>
      <c r="AB408" t="s">
        <v>8121</v>
      </c>
      <c r="AC408" t="s">
        <v>8122</v>
      </c>
      <c r="AD408" t="s">
        <v>8123</v>
      </c>
      <c r="AE408" t="s">
        <v>8124</v>
      </c>
      <c r="AF408" t="s">
        <v>74</v>
      </c>
      <c r="AG408">
        <v>47</v>
      </c>
      <c r="AH408">
        <v>59</v>
      </c>
      <c r="AI408">
        <v>72</v>
      </c>
      <c r="AJ408">
        <v>4</v>
      </c>
      <c r="AK408">
        <v>111</v>
      </c>
      <c r="AL408" t="s">
        <v>1631</v>
      </c>
      <c r="AM408" t="s">
        <v>776</v>
      </c>
      <c r="AN408" t="s">
        <v>777</v>
      </c>
      <c r="AO408" t="s">
        <v>778</v>
      </c>
      <c r="AP408" t="s">
        <v>74</v>
      </c>
      <c r="AQ408" t="s">
        <v>74</v>
      </c>
      <c r="AR408" t="s">
        <v>779</v>
      </c>
      <c r="AS408" t="s">
        <v>780</v>
      </c>
      <c r="AT408" t="s">
        <v>99</v>
      </c>
      <c r="AU408">
        <v>2015</v>
      </c>
      <c r="AV408">
        <v>10</v>
      </c>
      <c r="AW408">
        <v>3</v>
      </c>
      <c r="AX408" t="s">
        <v>74</v>
      </c>
      <c r="AY408" t="s">
        <v>74</v>
      </c>
      <c r="AZ408" t="s">
        <v>74</v>
      </c>
      <c r="BA408" t="s">
        <v>74</v>
      </c>
      <c r="BB408" t="s">
        <v>74</v>
      </c>
      <c r="BC408" t="s">
        <v>74</v>
      </c>
      <c r="BD408">
        <v>34008</v>
      </c>
      <c r="BE408" t="s">
        <v>8125</v>
      </c>
      <c r="BF408" t="str">
        <f>HYPERLINK("http://dx.doi.org/10.1088/1748-9326/10/3/034008","http://dx.doi.org/10.1088/1748-9326/10/3/034008")</f>
        <v>http://dx.doi.org/10.1088/1748-9326/10/3/034008</v>
      </c>
      <c r="BG408" t="s">
        <v>74</v>
      </c>
      <c r="BH408" t="s">
        <v>74</v>
      </c>
      <c r="BI408">
        <v>8</v>
      </c>
      <c r="BJ408" t="s">
        <v>782</v>
      </c>
      <c r="BK408" t="s">
        <v>102</v>
      </c>
      <c r="BL408" t="s">
        <v>783</v>
      </c>
      <c r="BM408" t="s">
        <v>8126</v>
      </c>
      <c r="BN408" t="s">
        <v>74</v>
      </c>
      <c r="BO408" t="s">
        <v>231</v>
      </c>
      <c r="BP408" t="s">
        <v>74</v>
      </c>
      <c r="BQ408" t="s">
        <v>74</v>
      </c>
      <c r="BR408" t="s">
        <v>106</v>
      </c>
      <c r="BS408" t="s">
        <v>8127</v>
      </c>
      <c r="BT408" t="str">
        <f>HYPERLINK("https%3A%2F%2Fwww.webofscience.com%2Fwos%2Fwoscc%2Ffull-record%2FWOS:000351416100010","View Full Record in Web of Science")</f>
        <v>View Full Record in Web of Science</v>
      </c>
    </row>
    <row r="409" spans="1:72" x14ac:dyDescent="0.2">
      <c r="A409" t="s">
        <v>72</v>
      </c>
      <c r="B409" t="s">
        <v>8128</v>
      </c>
      <c r="C409" t="s">
        <v>74</v>
      </c>
      <c r="D409" t="s">
        <v>74</v>
      </c>
      <c r="E409" t="s">
        <v>74</v>
      </c>
      <c r="F409" t="s">
        <v>8129</v>
      </c>
      <c r="G409" t="s">
        <v>74</v>
      </c>
      <c r="H409" t="s">
        <v>74</v>
      </c>
      <c r="I409" t="s">
        <v>8130</v>
      </c>
      <c r="J409" t="s">
        <v>8131</v>
      </c>
      <c r="K409" t="s">
        <v>74</v>
      </c>
      <c r="L409" t="s">
        <v>74</v>
      </c>
      <c r="M409" t="s">
        <v>78</v>
      </c>
      <c r="N409" t="s">
        <v>79</v>
      </c>
      <c r="O409" t="s">
        <v>74</v>
      </c>
      <c r="P409" t="s">
        <v>74</v>
      </c>
      <c r="Q409" t="s">
        <v>74</v>
      </c>
      <c r="R409" t="s">
        <v>74</v>
      </c>
      <c r="S409" t="s">
        <v>74</v>
      </c>
      <c r="T409" t="s">
        <v>8132</v>
      </c>
      <c r="U409" t="s">
        <v>8133</v>
      </c>
      <c r="V409" t="s">
        <v>8134</v>
      </c>
      <c r="W409" t="s">
        <v>8135</v>
      </c>
      <c r="X409" t="s">
        <v>8136</v>
      </c>
      <c r="Y409" t="s">
        <v>8137</v>
      </c>
      <c r="Z409" t="s">
        <v>8138</v>
      </c>
      <c r="AA409" t="s">
        <v>8139</v>
      </c>
      <c r="AB409" t="s">
        <v>8140</v>
      </c>
      <c r="AC409" t="s">
        <v>8141</v>
      </c>
      <c r="AD409" t="s">
        <v>8142</v>
      </c>
      <c r="AE409" t="s">
        <v>8143</v>
      </c>
      <c r="AF409" t="s">
        <v>74</v>
      </c>
      <c r="AG409">
        <v>31</v>
      </c>
      <c r="AH409">
        <v>18</v>
      </c>
      <c r="AI409">
        <v>22</v>
      </c>
      <c r="AJ409">
        <v>1</v>
      </c>
      <c r="AK409">
        <v>41</v>
      </c>
      <c r="AL409" t="s">
        <v>504</v>
      </c>
      <c r="AM409" t="s">
        <v>505</v>
      </c>
      <c r="AN409" t="s">
        <v>506</v>
      </c>
      <c r="AO409" t="s">
        <v>8144</v>
      </c>
      <c r="AP409" t="s">
        <v>8145</v>
      </c>
      <c r="AQ409" t="s">
        <v>74</v>
      </c>
      <c r="AR409" t="s">
        <v>8146</v>
      </c>
      <c r="AS409" t="s">
        <v>8147</v>
      </c>
      <c r="AT409" t="s">
        <v>805</v>
      </c>
      <c r="AU409">
        <v>2014</v>
      </c>
      <c r="AV409">
        <v>100</v>
      </c>
      <c r="AW409">
        <v>2</v>
      </c>
      <c r="AX409" t="s">
        <v>74</v>
      </c>
      <c r="AY409" t="s">
        <v>74</v>
      </c>
      <c r="AZ409" t="s">
        <v>74</v>
      </c>
      <c r="BA409" t="s">
        <v>74</v>
      </c>
      <c r="BB409">
        <v>189</v>
      </c>
      <c r="BC409">
        <v>204</v>
      </c>
      <c r="BD409" t="s">
        <v>74</v>
      </c>
      <c r="BE409" t="s">
        <v>8148</v>
      </c>
      <c r="BF409" t="str">
        <f>HYPERLINK("http://dx.doi.org/10.1007/s10705-014-9637-6","http://dx.doi.org/10.1007/s10705-014-9637-6")</f>
        <v>http://dx.doi.org/10.1007/s10705-014-9637-6</v>
      </c>
      <c r="BG409" t="s">
        <v>74</v>
      </c>
      <c r="BH409" t="s">
        <v>74</v>
      </c>
      <c r="BI409">
        <v>16</v>
      </c>
      <c r="BJ409" t="s">
        <v>256</v>
      </c>
      <c r="BK409" t="s">
        <v>102</v>
      </c>
      <c r="BL409" t="s">
        <v>103</v>
      </c>
      <c r="BM409" t="s">
        <v>8149</v>
      </c>
      <c r="BN409" t="s">
        <v>74</v>
      </c>
      <c r="BO409" t="s">
        <v>74</v>
      </c>
      <c r="BP409" t="s">
        <v>74</v>
      </c>
      <c r="BQ409" t="s">
        <v>74</v>
      </c>
      <c r="BR409" t="s">
        <v>106</v>
      </c>
      <c r="BS409" t="s">
        <v>8150</v>
      </c>
      <c r="BT409" t="str">
        <f>HYPERLINK("https%3A%2F%2Fwww.webofscience.com%2Fwos%2Fwoscc%2Ffull-record%2FWOS:000343729300005","View Full Record in Web of Science")</f>
        <v>View Full Record in Web of Science</v>
      </c>
    </row>
    <row r="410" spans="1:72" x14ac:dyDescent="0.2">
      <c r="A410" t="s">
        <v>72</v>
      </c>
      <c r="B410" t="s">
        <v>8151</v>
      </c>
      <c r="C410" t="s">
        <v>74</v>
      </c>
      <c r="D410" t="s">
        <v>74</v>
      </c>
      <c r="E410" t="s">
        <v>74</v>
      </c>
      <c r="F410" t="s">
        <v>8152</v>
      </c>
      <c r="G410" t="s">
        <v>74</v>
      </c>
      <c r="H410" t="s">
        <v>74</v>
      </c>
      <c r="I410" t="s">
        <v>8153</v>
      </c>
      <c r="J410" t="s">
        <v>1526</v>
      </c>
      <c r="K410" t="s">
        <v>74</v>
      </c>
      <c r="L410" t="s">
        <v>74</v>
      </c>
      <c r="M410" t="s">
        <v>78</v>
      </c>
      <c r="N410" t="s">
        <v>79</v>
      </c>
      <c r="O410" t="s">
        <v>74</v>
      </c>
      <c r="P410" t="s">
        <v>74</v>
      </c>
      <c r="Q410" t="s">
        <v>74</v>
      </c>
      <c r="R410" t="s">
        <v>74</v>
      </c>
      <c r="S410" t="s">
        <v>74</v>
      </c>
      <c r="T410" t="s">
        <v>8154</v>
      </c>
      <c r="U410" t="s">
        <v>8155</v>
      </c>
      <c r="V410" t="s">
        <v>8156</v>
      </c>
      <c r="W410" t="s">
        <v>8157</v>
      </c>
      <c r="X410" t="s">
        <v>8158</v>
      </c>
      <c r="Y410" t="s">
        <v>8159</v>
      </c>
      <c r="Z410" t="s">
        <v>8160</v>
      </c>
      <c r="AA410" t="s">
        <v>8161</v>
      </c>
      <c r="AB410" t="s">
        <v>8162</v>
      </c>
      <c r="AC410" t="s">
        <v>8163</v>
      </c>
      <c r="AD410" t="s">
        <v>8163</v>
      </c>
      <c r="AE410" t="s">
        <v>8164</v>
      </c>
      <c r="AF410" t="s">
        <v>74</v>
      </c>
      <c r="AG410">
        <v>78</v>
      </c>
      <c r="AH410">
        <v>177</v>
      </c>
      <c r="AI410">
        <v>182</v>
      </c>
      <c r="AJ410">
        <v>5</v>
      </c>
      <c r="AK410">
        <v>157</v>
      </c>
      <c r="AL410" t="s">
        <v>176</v>
      </c>
      <c r="AM410" t="s">
        <v>1610</v>
      </c>
      <c r="AN410" t="s">
        <v>1611</v>
      </c>
      <c r="AO410" t="s">
        <v>1538</v>
      </c>
      <c r="AP410" t="s">
        <v>1539</v>
      </c>
      <c r="AQ410" t="s">
        <v>74</v>
      </c>
      <c r="AR410" t="s">
        <v>1540</v>
      </c>
      <c r="AS410" t="s">
        <v>1541</v>
      </c>
      <c r="AT410" t="s">
        <v>3270</v>
      </c>
      <c r="AU410">
        <v>2018</v>
      </c>
      <c r="AV410">
        <v>191</v>
      </c>
      <c r="AW410" t="s">
        <v>74</v>
      </c>
      <c r="AX410" t="s">
        <v>74</v>
      </c>
      <c r="AY410" t="s">
        <v>74</v>
      </c>
      <c r="AZ410" t="s">
        <v>74</v>
      </c>
      <c r="BA410" t="s">
        <v>74</v>
      </c>
      <c r="BB410">
        <v>144</v>
      </c>
      <c r="BC410">
        <v>157</v>
      </c>
      <c r="BD410" t="s">
        <v>74</v>
      </c>
      <c r="BE410" t="s">
        <v>8165</v>
      </c>
      <c r="BF410" t="str">
        <f>HYPERLINK("http://dx.doi.org/10.1016/j.jclepro.2018.04.173","http://dx.doi.org/10.1016/j.jclepro.2018.04.173")</f>
        <v>http://dx.doi.org/10.1016/j.jclepro.2018.04.173</v>
      </c>
      <c r="BG410" t="s">
        <v>74</v>
      </c>
      <c r="BH410" t="s">
        <v>74</v>
      </c>
      <c r="BI410">
        <v>14</v>
      </c>
      <c r="BJ410" t="s">
        <v>1543</v>
      </c>
      <c r="BK410" t="s">
        <v>102</v>
      </c>
      <c r="BL410" t="s">
        <v>1544</v>
      </c>
      <c r="BM410" t="s">
        <v>8166</v>
      </c>
      <c r="BN410" t="s">
        <v>74</v>
      </c>
      <c r="BO410" t="s">
        <v>74</v>
      </c>
      <c r="BP410" t="s">
        <v>74</v>
      </c>
      <c r="BQ410" t="s">
        <v>74</v>
      </c>
      <c r="BR410" t="s">
        <v>106</v>
      </c>
      <c r="BS410" t="s">
        <v>8167</v>
      </c>
      <c r="BT410" t="str">
        <f>HYPERLINK("https%3A%2F%2Fwww.webofscience.com%2Fwos%2Fwoscc%2Ffull-record%2FWOS:000435058200015","View Full Record in Web of Science")</f>
        <v>View Full Record in Web of Science</v>
      </c>
    </row>
    <row r="411" spans="1:72" x14ac:dyDescent="0.2">
      <c r="A411" t="s">
        <v>72</v>
      </c>
      <c r="B411" t="s">
        <v>8168</v>
      </c>
      <c r="C411" t="s">
        <v>74</v>
      </c>
      <c r="D411" t="s">
        <v>74</v>
      </c>
      <c r="E411" t="s">
        <v>74</v>
      </c>
      <c r="F411" t="s">
        <v>8169</v>
      </c>
      <c r="G411" t="s">
        <v>74</v>
      </c>
      <c r="H411" t="s">
        <v>74</v>
      </c>
      <c r="I411" t="s">
        <v>8170</v>
      </c>
      <c r="J411" t="s">
        <v>8171</v>
      </c>
      <c r="K411" t="s">
        <v>74</v>
      </c>
      <c r="L411" t="s">
        <v>74</v>
      </c>
      <c r="M411" t="s">
        <v>78</v>
      </c>
      <c r="N411" t="s">
        <v>79</v>
      </c>
      <c r="O411" t="s">
        <v>74</v>
      </c>
      <c r="P411" t="s">
        <v>74</v>
      </c>
      <c r="Q411" t="s">
        <v>74</v>
      </c>
      <c r="R411" t="s">
        <v>74</v>
      </c>
      <c r="S411" t="s">
        <v>74</v>
      </c>
      <c r="T411" t="s">
        <v>8172</v>
      </c>
      <c r="U411" t="s">
        <v>8173</v>
      </c>
      <c r="V411" t="s">
        <v>8174</v>
      </c>
      <c r="W411" t="s">
        <v>8175</v>
      </c>
      <c r="X411" t="s">
        <v>8176</v>
      </c>
      <c r="Y411" t="s">
        <v>8177</v>
      </c>
      <c r="Z411" t="s">
        <v>8178</v>
      </c>
      <c r="AA411" t="s">
        <v>8179</v>
      </c>
      <c r="AB411" t="s">
        <v>8180</v>
      </c>
      <c r="AC411" t="s">
        <v>8181</v>
      </c>
      <c r="AD411" t="s">
        <v>8181</v>
      </c>
      <c r="AE411" t="s">
        <v>8182</v>
      </c>
      <c r="AF411" t="s">
        <v>74</v>
      </c>
      <c r="AG411">
        <v>63</v>
      </c>
      <c r="AH411">
        <v>0</v>
      </c>
      <c r="AI411">
        <v>0</v>
      </c>
      <c r="AJ411">
        <v>2</v>
      </c>
      <c r="AK411">
        <v>12</v>
      </c>
      <c r="AL411" t="s">
        <v>247</v>
      </c>
      <c r="AM411" t="s">
        <v>248</v>
      </c>
      <c r="AN411" t="s">
        <v>249</v>
      </c>
      <c r="AO411" t="s">
        <v>8183</v>
      </c>
      <c r="AP411" t="s">
        <v>8184</v>
      </c>
      <c r="AQ411" t="s">
        <v>74</v>
      </c>
      <c r="AR411" t="s">
        <v>8185</v>
      </c>
      <c r="AS411" t="s">
        <v>8186</v>
      </c>
      <c r="AT411" t="s">
        <v>281</v>
      </c>
      <c r="AU411">
        <v>2025</v>
      </c>
      <c r="AV411">
        <v>29</v>
      </c>
      <c r="AW411">
        <v>3</v>
      </c>
      <c r="AX411" t="s">
        <v>74</v>
      </c>
      <c r="AY411" t="s">
        <v>74</v>
      </c>
      <c r="AZ411" t="s">
        <v>74</v>
      </c>
      <c r="BA411" t="s">
        <v>74</v>
      </c>
      <c r="BB411">
        <v>733</v>
      </c>
      <c r="BC411">
        <v>745</v>
      </c>
      <c r="BD411" t="s">
        <v>74</v>
      </c>
      <c r="BE411" t="s">
        <v>8187</v>
      </c>
      <c r="BF411" t="str">
        <f>HYPERLINK("http://dx.doi.org/10.1111/jiec.70001","http://dx.doi.org/10.1111/jiec.70001")</f>
        <v>http://dx.doi.org/10.1111/jiec.70001</v>
      </c>
      <c r="BG411" t="s">
        <v>74</v>
      </c>
      <c r="BH411" t="s">
        <v>7812</v>
      </c>
      <c r="BI411">
        <v>13</v>
      </c>
      <c r="BJ411" t="s">
        <v>1543</v>
      </c>
      <c r="BK411" t="s">
        <v>102</v>
      </c>
      <c r="BL411" t="s">
        <v>1544</v>
      </c>
      <c r="BM411" t="s">
        <v>8188</v>
      </c>
      <c r="BN411" t="s">
        <v>74</v>
      </c>
      <c r="BO411" t="s">
        <v>3889</v>
      </c>
      <c r="BP411" t="s">
        <v>74</v>
      </c>
      <c r="BQ411" t="s">
        <v>74</v>
      </c>
      <c r="BR411" t="s">
        <v>106</v>
      </c>
      <c r="BS411" t="s">
        <v>8189</v>
      </c>
      <c r="BT411" t="str">
        <f>HYPERLINK("https%3A%2F%2Fwww.webofscience.com%2Fwos%2Fwoscc%2Ffull-record%2FWOS:001438033800001","View Full Record in Web of Science")</f>
        <v>View Full Record in Web of Science</v>
      </c>
    </row>
    <row r="412" spans="1:72" x14ac:dyDescent="0.2">
      <c r="A412" t="s">
        <v>72</v>
      </c>
      <c r="B412" t="s">
        <v>8190</v>
      </c>
      <c r="C412" t="s">
        <v>74</v>
      </c>
      <c r="D412" t="s">
        <v>74</v>
      </c>
      <c r="E412" t="s">
        <v>74</v>
      </c>
      <c r="F412" t="s">
        <v>8191</v>
      </c>
      <c r="G412" t="s">
        <v>74</v>
      </c>
      <c r="H412" t="s">
        <v>74</v>
      </c>
      <c r="I412" t="s">
        <v>8192</v>
      </c>
      <c r="J412" t="s">
        <v>8193</v>
      </c>
      <c r="K412" t="s">
        <v>74</v>
      </c>
      <c r="L412" t="s">
        <v>74</v>
      </c>
      <c r="M412" t="s">
        <v>78</v>
      </c>
      <c r="N412" t="s">
        <v>79</v>
      </c>
      <c r="O412" t="s">
        <v>74</v>
      </c>
      <c r="P412" t="s">
        <v>74</v>
      </c>
      <c r="Q412" t="s">
        <v>74</v>
      </c>
      <c r="R412" t="s">
        <v>74</v>
      </c>
      <c r="S412" t="s">
        <v>74</v>
      </c>
      <c r="T412" t="s">
        <v>8194</v>
      </c>
      <c r="U412" t="s">
        <v>8195</v>
      </c>
      <c r="V412" t="s">
        <v>8196</v>
      </c>
      <c r="W412" t="s">
        <v>8197</v>
      </c>
      <c r="X412" t="s">
        <v>8198</v>
      </c>
      <c r="Y412" t="s">
        <v>8199</v>
      </c>
      <c r="Z412" t="s">
        <v>8200</v>
      </c>
      <c r="AA412" t="s">
        <v>74</v>
      </c>
      <c r="AB412" t="s">
        <v>8201</v>
      </c>
      <c r="AC412" t="s">
        <v>8202</v>
      </c>
      <c r="AD412" t="s">
        <v>8203</v>
      </c>
      <c r="AE412" t="s">
        <v>8204</v>
      </c>
      <c r="AF412" t="s">
        <v>74</v>
      </c>
      <c r="AG412">
        <v>94</v>
      </c>
      <c r="AH412">
        <v>1</v>
      </c>
      <c r="AI412">
        <v>2</v>
      </c>
      <c r="AJ412">
        <v>3</v>
      </c>
      <c r="AK412">
        <v>7</v>
      </c>
      <c r="AL412" t="s">
        <v>3942</v>
      </c>
      <c r="AM412" t="s">
        <v>3943</v>
      </c>
      <c r="AN412" t="s">
        <v>3944</v>
      </c>
      <c r="AO412" t="s">
        <v>8205</v>
      </c>
      <c r="AP412" t="s">
        <v>8206</v>
      </c>
      <c r="AQ412" t="s">
        <v>74</v>
      </c>
      <c r="AR412" t="s">
        <v>8207</v>
      </c>
      <c r="AS412" t="s">
        <v>8208</v>
      </c>
      <c r="AT412" t="s">
        <v>74</v>
      </c>
      <c r="AU412">
        <v>2025</v>
      </c>
      <c r="AV412">
        <v>18</v>
      </c>
      <c r="AW412" t="s">
        <v>74</v>
      </c>
      <c r="AX412" t="s">
        <v>74</v>
      </c>
      <c r="AY412" t="s">
        <v>74</v>
      </c>
      <c r="AZ412" t="s">
        <v>74</v>
      </c>
      <c r="BA412" t="s">
        <v>74</v>
      </c>
      <c r="BB412">
        <v>38</v>
      </c>
      <c r="BC412">
        <v>60</v>
      </c>
      <c r="BD412" t="s">
        <v>74</v>
      </c>
      <c r="BE412" t="s">
        <v>8209</v>
      </c>
      <c r="BF412" t="str">
        <f>HYPERLINK("http://dx.doi.org/10.1109/JSTARS.2024.3491804","http://dx.doi.org/10.1109/JSTARS.2024.3491804")</f>
        <v>http://dx.doi.org/10.1109/JSTARS.2024.3491804</v>
      </c>
      <c r="BG412" t="s">
        <v>74</v>
      </c>
      <c r="BH412" t="s">
        <v>74</v>
      </c>
      <c r="BI412">
        <v>23</v>
      </c>
      <c r="BJ412" t="s">
        <v>8210</v>
      </c>
      <c r="BK412" t="s">
        <v>102</v>
      </c>
      <c r="BL412" t="s">
        <v>8211</v>
      </c>
      <c r="BM412" t="s">
        <v>8212</v>
      </c>
      <c r="BN412" t="s">
        <v>74</v>
      </c>
      <c r="BO412" t="s">
        <v>231</v>
      </c>
      <c r="BP412" t="s">
        <v>74</v>
      </c>
      <c r="BQ412" t="s">
        <v>74</v>
      </c>
      <c r="BR412" t="s">
        <v>106</v>
      </c>
      <c r="BS412" t="s">
        <v>8213</v>
      </c>
      <c r="BT412" t="str">
        <f>HYPERLINK("https%3A%2F%2Fwww.webofscience.com%2Fwos%2Fwoscc%2Ffull-record%2FWOS:001409622100019","View Full Record in Web of Science")</f>
        <v>View Full Record in Web of Science</v>
      </c>
    </row>
    <row r="413" spans="1:72" x14ac:dyDescent="0.2">
      <c r="A413" t="s">
        <v>72</v>
      </c>
      <c r="B413" t="s">
        <v>8214</v>
      </c>
      <c r="C413" t="s">
        <v>74</v>
      </c>
      <c r="D413" t="s">
        <v>74</v>
      </c>
      <c r="E413" t="s">
        <v>74</v>
      </c>
      <c r="F413" t="s">
        <v>8215</v>
      </c>
      <c r="G413" t="s">
        <v>74</v>
      </c>
      <c r="H413" t="s">
        <v>74</v>
      </c>
      <c r="I413" t="s">
        <v>8216</v>
      </c>
      <c r="J413" t="s">
        <v>5520</v>
      </c>
      <c r="K413" t="s">
        <v>74</v>
      </c>
      <c r="L413" t="s">
        <v>74</v>
      </c>
      <c r="M413" t="s">
        <v>78</v>
      </c>
      <c r="N413" t="s">
        <v>79</v>
      </c>
      <c r="O413" t="s">
        <v>74</v>
      </c>
      <c r="P413" t="s">
        <v>74</v>
      </c>
      <c r="Q413" t="s">
        <v>74</v>
      </c>
      <c r="R413" t="s">
        <v>74</v>
      </c>
      <c r="S413" t="s">
        <v>74</v>
      </c>
      <c r="T413" t="s">
        <v>8217</v>
      </c>
      <c r="U413" t="s">
        <v>8218</v>
      </c>
      <c r="V413" t="s">
        <v>8219</v>
      </c>
      <c r="W413" t="s">
        <v>8220</v>
      </c>
      <c r="X413" t="s">
        <v>8221</v>
      </c>
      <c r="Y413" t="s">
        <v>8222</v>
      </c>
      <c r="Z413" t="s">
        <v>8223</v>
      </c>
      <c r="AA413" t="s">
        <v>8224</v>
      </c>
      <c r="AB413" t="s">
        <v>8225</v>
      </c>
      <c r="AC413" t="s">
        <v>8226</v>
      </c>
      <c r="AD413" t="s">
        <v>8226</v>
      </c>
      <c r="AE413" t="s">
        <v>8227</v>
      </c>
      <c r="AF413" t="s">
        <v>74</v>
      </c>
      <c r="AG413">
        <v>53</v>
      </c>
      <c r="AH413">
        <v>4</v>
      </c>
      <c r="AI413">
        <v>4</v>
      </c>
      <c r="AJ413">
        <v>0</v>
      </c>
      <c r="AK413">
        <v>20</v>
      </c>
      <c r="AL413" t="s">
        <v>504</v>
      </c>
      <c r="AM413" t="s">
        <v>505</v>
      </c>
      <c r="AN413" t="s">
        <v>506</v>
      </c>
      <c r="AO413" t="s">
        <v>8228</v>
      </c>
      <c r="AP413" t="s">
        <v>8229</v>
      </c>
      <c r="AQ413" t="s">
        <v>74</v>
      </c>
      <c r="AR413" t="s">
        <v>8230</v>
      </c>
      <c r="AS413" t="s">
        <v>8231</v>
      </c>
      <c r="AT413" t="s">
        <v>1752</v>
      </c>
      <c r="AU413">
        <v>2023</v>
      </c>
      <c r="AV413">
        <v>97</v>
      </c>
      <c r="AW413">
        <v>6</v>
      </c>
      <c r="AX413" t="s">
        <v>74</v>
      </c>
      <c r="AY413" t="s">
        <v>74</v>
      </c>
      <c r="AZ413" t="s">
        <v>74</v>
      </c>
      <c r="BA413" t="s">
        <v>74</v>
      </c>
      <c r="BB413">
        <v>1199</v>
      </c>
      <c r="BC413">
        <v>1214</v>
      </c>
      <c r="BD413" t="s">
        <v>74</v>
      </c>
      <c r="BE413" t="s">
        <v>8232</v>
      </c>
      <c r="BF413" t="str">
        <f>HYPERLINK("http://dx.doi.org/10.1007/s10457-023-00857-9","http://dx.doi.org/10.1007/s10457-023-00857-9")</f>
        <v>http://dx.doi.org/10.1007/s10457-023-00857-9</v>
      </c>
      <c r="BG413" t="s">
        <v>74</v>
      </c>
      <c r="BH413" t="s">
        <v>5971</v>
      </c>
      <c r="BI413">
        <v>16</v>
      </c>
      <c r="BJ413" t="s">
        <v>8233</v>
      </c>
      <c r="BK413" t="s">
        <v>102</v>
      </c>
      <c r="BL413" t="s">
        <v>8234</v>
      </c>
      <c r="BM413" t="s">
        <v>8235</v>
      </c>
      <c r="BN413" t="s">
        <v>74</v>
      </c>
      <c r="BO413" t="s">
        <v>2296</v>
      </c>
      <c r="BP413" t="s">
        <v>74</v>
      </c>
      <c r="BQ413" t="s">
        <v>74</v>
      </c>
      <c r="BR413" t="s">
        <v>106</v>
      </c>
      <c r="BS413" t="s">
        <v>8236</v>
      </c>
      <c r="BT413" t="str">
        <f>HYPERLINK("https%3A%2F%2Fwww.webofscience.com%2Fwos%2Fwoscc%2Ffull-record%2FWOS:000994099900002","View Full Record in Web of Science")</f>
        <v>View Full Record in Web of Science</v>
      </c>
    </row>
    <row r="414" spans="1:72" x14ac:dyDescent="0.2">
      <c r="A414" t="s">
        <v>72</v>
      </c>
      <c r="B414" t="s">
        <v>8237</v>
      </c>
      <c r="C414" t="s">
        <v>74</v>
      </c>
      <c r="D414" t="s">
        <v>74</v>
      </c>
      <c r="E414" t="s">
        <v>74</v>
      </c>
      <c r="F414" t="s">
        <v>8238</v>
      </c>
      <c r="G414" t="s">
        <v>74</v>
      </c>
      <c r="H414" t="s">
        <v>74</v>
      </c>
      <c r="I414" t="s">
        <v>8239</v>
      </c>
      <c r="J414" t="s">
        <v>8240</v>
      </c>
      <c r="K414" t="s">
        <v>74</v>
      </c>
      <c r="L414" t="s">
        <v>74</v>
      </c>
      <c r="M414" t="s">
        <v>78</v>
      </c>
      <c r="N414" t="s">
        <v>79</v>
      </c>
      <c r="O414" t="s">
        <v>74</v>
      </c>
      <c r="P414" t="s">
        <v>74</v>
      </c>
      <c r="Q414" t="s">
        <v>74</v>
      </c>
      <c r="R414" t="s">
        <v>74</v>
      </c>
      <c r="S414" t="s">
        <v>74</v>
      </c>
      <c r="T414" t="s">
        <v>8241</v>
      </c>
      <c r="U414" t="s">
        <v>8242</v>
      </c>
      <c r="V414" t="s">
        <v>8243</v>
      </c>
      <c r="W414" t="s">
        <v>8244</v>
      </c>
      <c r="X414" t="s">
        <v>8245</v>
      </c>
      <c r="Y414" t="s">
        <v>8246</v>
      </c>
      <c r="Z414" t="s">
        <v>8247</v>
      </c>
      <c r="AA414" t="s">
        <v>8248</v>
      </c>
      <c r="AB414" t="s">
        <v>8249</v>
      </c>
      <c r="AC414" t="s">
        <v>8250</v>
      </c>
      <c r="AD414" t="s">
        <v>8251</v>
      </c>
      <c r="AE414" t="s">
        <v>8252</v>
      </c>
      <c r="AF414" t="s">
        <v>74</v>
      </c>
      <c r="AG414">
        <v>25</v>
      </c>
      <c r="AH414">
        <v>30</v>
      </c>
      <c r="AI414">
        <v>32</v>
      </c>
      <c r="AJ414">
        <v>1</v>
      </c>
      <c r="AK414">
        <v>99</v>
      </c>
      <c r="AL414" t="s">
        <v>222</v>
      </c>
      <c r="AM414" t="s">
        <v>223</v>
      </c>
      <c r="AN414" t="s">
        <v>478</v>
      </c>
      <c r="AO414" t="s">
        <v>74</v>
      </c>
      <c r="AP414" t="s">
        <v>8253</v>
      </c>
      <c r="AQ414" t="s">
        <v>74</v>
      </c>
      <c r="AR414" t="s">
        <v>8254</v>
      </c>
      <c r="AS414" t="s">
        <v>8255</v>
      </c>
      <c r="AT414" t="s">
        <v>912</v>
      </c>
      <c r="AU414">
        <v>2016</v>
      </c>
      <c r="AV414">
        <v>16</v>
      </c>
      <c r="AW414">
        <v>5</v>
      </c>
      <c r="AX414" t="s">
        <v>74</v>
      </c>
      <c r="AY414" t="s">
        <v>74</v>
      </c>
      <c r="AZ414" t="s">
        <v>74</v>
      </c>
      <c r="BA414" t="s">
        <v>74</v>
      </c>
      <c r="BB414" t="s">
        <v>74</v>
      </c>
      <c r="BC414" t="s">
        <v>74</v>
      </c>
      <c r="BD414">
        <v>621</v>
      </c>
      <c r="BE414" t="s">
        <v>8256</v>
      </c>
      <c r="BF414" t="str">
        <f>HYPERLINK("http://dx.doi.org/10.3390/s16050621","http://dx.doi.org/10.3390/s16050621")</f>
        <v>http://dx.doi.org/10.3390/s16050621</v>
      </c>
      <c r="BG414" t="s">
        <v>74</v>
      </c>
      <c r="BH414" t="s">
        <v>74</v>
      </c>
      <c r="BI414">
        <v>17</v>
      </c>
      <c r="BJ414" t="s">
        <v>8257</v>
      </c>
      <c r="BK414" t="s">
        <v>102</v>
      </c>
      <c r="BL414" t="s">
        <v>8258</v>
      </c>
      <c r="BM414" t="s">
        <v>8259</v>
      </c>
      <c r="BN414">
        <v>27136565</v>
      </c>
      <c r="BO414" t="s">
        <v>161</v>
      </c>
      <c r="BP414" t="s">
        <v>74</v>
      </c>
      <c r="BQ414" t="s">
        <v>74</v>
      </c>
      <c r="BR414" t="s">
        <v>106</v>
      </c>
      <c r="BS414" t="s">
        <v>8260</v>
      </c>
      <c r="BT414" t="str">
        <f>HYPERLINK("https%3A%2F%2Fwww.webofscience.com%2Fwos%2Fwoscc%2Ffull-record%2FWOS:000375153900030","View Full Record in Web of Science")</f>
        <v>View Full Record in Web of Science</v>
      </c>
    </row>
    <row r="415" spans="1:72" x14ac:dyDescent="0.2">
      <c r="A415" t="s">
        <v>72</v>
      </c>
      <c r="B415" t="s">
        <v>8261</v>
      </c>
      <c r="C415" t="s">
        <v>74</v>
      </c>
      <c r="D415" t="s">
        <v>74</v>
      </c>
      <c r="E415" t="s">
        <v>74</v>
      </c>
      <c r="F415" t="s">
        <v>8262</v>
      </c>
      <c r="G415" t="s">
        <v>74</v>
      </c>
      <c r="H415" t="s">
        <v>74</v>
      </c>
      <c r="I415" t="s">
        <v>8263</v>
      </c>
      <c r="J415" t="s">
        <v>546</v>
      </c>
      <c r="K415" t="s">
        <v>74</v>
      </c>
      <c r="L415" t="s">
        <v>74</v>
      </c>
      <c r="M415" t="s">
        <v>78</v>
      </c>
      <c r="N415" t="s">
        <v>79</v>
      </c>
      <c r="O415" t="s">
        <v>74</v>
      </c>
      <c r="P415" t="s">
        <v>74</v>
      </c>
      <c r="Q415" t="s">
        <v>74</v>
      </c>
      <c r="R415" t="s">
        <v>74</v>
      </c>
      <c r="S415" t="s">
        <v>74</v>
      </c>
      <c r="T415" t="s">
        <v>8264</v>
      </c>
      <c r="U415" t="s">
        <v>8265</v>
      </c>
      <c r="V415" t="s">
        <v>8266</v>
      </c>
      <c r="W415" t="s">
        <v>8267</v>
      </c>
      <c r="X415" t="s">
        <v>8268</v>
      </c>
      <c r="Y415" t="s">
        <v>8269</v>
      </c>
      <c r="Z415" t="s">
        <v>8270</v>
      </c>
      <c r="AA415" t="s">
        <v>8271</v>
      </c>
      <c r="AB415" t="s">
        <v>8272</v>
      </c>
      <c r="AC415" t="s">
        <v>8273</v>
      </c>
      <c r="AD415" t="s">
        <v>8274</v>
      </c>
      <c r="AE415" t="s">
        <v>8275</v>
      </c>
      <c r="AF415" t="s">
        <v>74</v>
      </c>
      <c r="AG415">
        <v>112</v>
      </c>
      <c r="AH415">
        <v>129</v>
      </c>
      <c r="AI415">
        <v>145</v>
      </c>
      <c r="AJ415">
        <v>27</v>
      </c>
      <c r="AK415">
        <v>276</v>
      </c>
      <c r="AL415" t="s">
        <v>559</v>
      </c>
      <c r="AM415" t="s">
        <v>93</v>
      </c>
      <c r="AN415" t="s">
        <v>560</v>
      </c>
      <c r="AO415" t="s">
        <v>561</v>
      </c>
      <c r="AP415" t="s">
        <v>562</v>
      </c>
      <c r="AQ415" t="s">
        <v>74</v>
      </c>
      <c r="AR415" t="s">
        <v>563</v>
      </c>
      <c r="AS415" t="s">
        <v>564</v>
      </c>
      <c r="AT415" t="s">
        <v>8276</v>
      </c>
      <c r="AU415">
        <v>2023</v>
      </c>
      <c r="AV415">
        <v>332</v>
      </c>
      <c r="AW415" t="s">
        <v>74</v>
      </c>
      <c r="AX415" t="s">
        <v>74</v>
      </c>
      <c r="AY415" t="s">
        <v>74</v>
      </c>
      <c r="AZ415" t="s">
        <v>74</v>
      </c>
      <c r="BA415" t="s">
        <v>74</v>
      </c>
      <c r="BB415" t="s">
        <v>74</v>
      </c>
      <c r="BC415" t="s">
        <v>74</v>
      </c>
      <c r="BD415">
        <v>117429</v>
      </c>
      <c r="BE415" t="s">
        <v>8277</v>
      </c>
      <c r="BF415" t="str">
        <f>HYPERLINK("http://dx.doi.org/10.1016/j.jenvman.2023.117429","http://dx.doi.org/10.1016/j.jenvman.2023.117429")</f>
        <v>http://dx.doi.org/10.1016/j.jenvman.2023.117429</v>
      </c>
      <c r="BG415" t="s">
        <v>74</v>
      </c>
      <c r="BH415" t="s">
        <v>1250</v>
      </c>
      <c r="BI415">
        <v>12</v>
      </c>
      <c r="BJ415" t="s">
        <v>567</v>
      </c>
      <c r="BK415" t="s">
        <v>102</v>
      </c>
      <c r="BL415" t="s">
        <v>568</v>
      </c>
      <c r="BM415" t="s">
        <v>8278</v>
      </c>
      <c r="BN415">
        <v>36773474</v>
      </c>
      <c r="BO415" t="s">
        <v>74</v>
      </c>
      <c r="BP415" t="s">
        <v>4815</v>
      </c>
      <c r="BQ415" t="s">
        <v>4816</v>
      </c>
      <c r="BR415" t="s">
        <v>106</v>
      </c>
      <c r="BS415" t="s">
        <v>8279</v>
      </c>
      <c r="BT415" t="str">
        <f>HYPERLINK("https%3A%2F%2Fwww.webofscience.com%2Fwos%2Fwoscc%2Ffull-record%2FWOS:000944580400001","View Full Record in Web of Science")</f>
        <v>View Full Record in Web of Science</v>
      </c>
    </row>
    <row r="416" spans="1:72" x14ac:dyDescent="0.2">
      <c r="A416" t="s">
        <v>72</v>
      </c>
      <c r="B416" t="s">
        <v>8280</v>
      </c>
      <c r="C416" t="s">
        <v>74</v>
      </c>
      <c r="D416" t="s">
        <v>74</v>
      </c>
      <c r="E416" t="s">
        <v>74</v>
      </c>
      <c r="F416" t="s">
        <v>8281</v>
      </c>
      <c r="G416" t="s">
        <v>74</v>
      </c>
      <c r="H416" t="s">
        <v>74</v>
      </c>
      <c r="I416" t="s">
        <v>8282</v>
      </c>
      <c r="J416" t="s">
        <v>8283</v>
      </c>
      <c r="K416" t="s">
        <v>74</v>
      </c>
      <c r="L416" t="s">
        <v>74</v>
      </c>
      <c r="M416" t="s">
        <v>78</v>
      </c>
      <c r="N416" t="s">
        <v>79</v>
      </c>
      <c r="O416" t="s">
        <v>74</v>
      </c>
      <c r="P416" t="s">
        <v>74</v>
      </c>
      <c r="Q416" t="s">
        <v>74</v>
      </c>
      <c r="R416" t="s">
        <v>74</v>
      </c>
      <c r="S416" t="s">
        <v>74</v>
      </c>
      <c r="T416" t="s">
        <v>8284</v>
      </c>
      <c r="U416" t="s">
        <v>8285</v>
      </c>
      <c r="V416" t="s">
        <v>8286</v>
      </c>
      <c r="W416" t="s">
        <v>8287</v>
      </c>
      <c r="X416" t="s">
        <v>8288</v>
      </c>
      <c r="Y416" t="s">
        <v>8289</v>
      </c>
      <c r="Z416" t="s">
        <v>8290</v>
      </c>
      <c r="AA416" t="s">
        <v>8291</v>
      </c>
      <c r="AB416" t="s">
        <v>8292</v>
      </c>
      <c r="AC416" t="s">
        <v>8293</v>
      </c>
      <c r="AD416" t="s">
        <v>8294</v>
      </c>
      <c r="AE416" t="s">
        <v>8295</v>
      </c>
      <c r="AF416" t="s">
        <v>74</v>
      </c>
      <c r="AG416">
        <v>45</v>
      </c>
      <c r="AH416">
        <v>5</v>
      </c>
      <c r="AI416">
        <v>5</v>
      </c>
      <c r="AJ416">
        <v>2</v>
      </c>
      <c r="AK416">
        <v>15</v>
      </c>
      <c r="AL416" t="s">
        <v>123</v>
      </c>
      <c r="AM416" t="s">
        <v>124</v>
      </c>
      <c r="AN416" t="s">
        <v>125</v>
      </c>
      <c r="AO416" t="s">
        <v>8296</v>
      </c>
      <c r="AP416" t="s">
        <v>8297</v>
      </c>
      <c r="AQ416" t="s">
        <v>74</v>
      </c>
      <c r="AR416" t="s">
        <v>8298</v>
      </c>
      <c r="AS416" t="s">
        <v>8299</v>
      </c>
      <c r="AT416" t="s">
        <v>1109</v>
      </c>
      <c r="AU416">
        <v>2019</v>
      </c>
      <c r="AV416">
        <v>64</v>
      </c>
      <c r="AW416">
        <v>2</v>
      </c>
      <c r="AX416" t="s">
        <v>74</v>
      </c>
      <c r="AY416" t="s">
        <v>74</v>
      </c>
      <c r="AZ416" t="s">
        <v>74</v>
      </c>
      <c r="BA416" t="s">
        <v>74</v>
      </c>
      <c r="BB416">
        <v>188</v>
      </c>
      <c r="BC416">
        <v>195</v>
      </c>
      <c r="BD416" t="s">
        <v>74</v>
      </c>
      <c r="BE416" t="s">
        <v>8300</v>
      </c>
      <c r="BF416" t="str">
        <f>HYPERLINK("http://dx.doi.org/10.1016/j.aoas.2019.12.002","http://dx.doi.org/10.1016/j.aoas.2019.12.002")</f>
        <v>http://dx.doi.org/10.1016/j.aoas.2019.12.002</v>
      </c>
      <c r="BG416" t="s">
        <v>74</v>
      </c>
      <c r="BH416" t="s">
        <v>74</v>
      </c>
      <c r="BI416">
        <v>8</v>
      </c>
      <c r="BJ416" t="s">
        <v>101</v>
      </c>
      <c r="BK416" t="s">
        <v>102</v>
      </c>
      <c r="BL416" t="s">
        <v>103</v>
      </c>
      <c r="BM416" t="s">
        <v>8301</v>
      </c>
      <c r="BN416" t="s">
        <v>74</v>
      </c>
      <c r="BO416" t="s">
        <v>8302</v>
      </c>
      <c r="BP416" t="s">
        <v>74</v>
      </c>
      <c r="BQ416" t="s">
        <v>74</v>
      </c>
      <c r="BR416" t="s">
        <v>106</v>
      </c>
      <c r="BS416" t="s">
        <v>8303</v>
      </c>
      <c r="BT416" t="str">
        <f>HYPERLINK("https%3A%2F%2Fwww.webofscience.com%2Fwos%2Fwoscc%2Ffull-record%2FWOS:000526933000008","View Full Record in Web of Science")</f>
        <v>View Full Record in Web of Science</v>
      </c>
    </row>
    <row r="417" spans="1:72" x14ac:dyDescent="0.2">
      <c r="A417" t="s">
        <v>72</v>
      </c>
      <c r="B417" t="s">
        <v>8304</v>
      </c>
      <c r="C417" t="s">
        <v>74</v>
      </c>
      <c r="D417" t="s">
        <v>74</v>
      </c>
      <c r="E417" t="s">
        <v>74</v>
      </c>
      <c r="F417" t="s">
        <v>8305</v>
      </c>
      <c r="G417" t="s">
        <v>74</v>
      </c>
      <c r="H417" t="s">
        <v>74</v>
      </c>
      <c r="I417" t="s">
        <v>8306</v>
      </c>
      <c r="J417" t="s">
        <v>1526</v>
      </c>
      <c r="K417" t="s">
        <v>74</v>
      </c>
      <c r="L417" t="s">
        <v>74</v>
      </c>
      <c r="M417" t="s">
        <v>78</v>
      </c>
      <c r="N417" t="s">
        <v>79</v>
      </c>
      <c r="O417" t="s">
        <v>74</v>
      </c>
      <c r="P417" t="s">
        <v>74</v>
      </c>
      <c r="Q417" t="s">
        <v>74</v>
      </c>
      <c r="R417" t="s">
        <v>74</v>
      </c>
      <c r="S417" t="s">
        <v>74</v>
      </c>
      <c r="T417" t="s">
        <v>8307</v>
      </c>
      <c r="U417" t="s">
        <v>8308</v>
      </c>
      <c r="V417" t="s">
        <v>8309</v>
      </c>
      <c r="W417" t="s">
        <v>8310</v>
      </c>
      <c r="X417" t="s">
        <v>8311</v>
      </c>
      <c r="Y417" t="s">
        <v>8312</v>
      </c>
      <c r="Z417" t="s">
        <v>8313</v>
      </c>
      <c r="AA417" t="s">
        <v>8314</v>
      </c>
      <c r="AB417" t="s">
        <v>74</v>
      </c>
      <c r="AC417" t="s">
        <v>8315</v>
      </c>
      <c r="AD417" t="s">
        <v>8316</v>
      </c>
      <c r="AE417" t="s">
        <v>8317</v>
      </c>
      <c r="AF417" t="s">
        <v>74</v>
      </c>
      <c r="AG417">
        <v>39</v>
      </c>
      <c r="AH417">
        <v>66</v>
      </c>
      <c r="AI417">
        <v>78</v>
      </c>
      <c r="AJ417">
        <v>12</v>
      </c>
      <c r="AK417">
        <v>183</v>
      </c>
      <c r="AL417" t="s">
        <v>176</v>
      </c>
      <c r="AM417" t="s">
        <v>177</v>
      </c>
      <c r="AN417" t="s">
        <v>178</v>
      </c>
      <c r="AO417" t="s">
        <v>1538</v>
      </c>
      <c r="AP417" t="s">
        <v>1539</v>
      </c>
      <c r="AQ417" t="s">
        <v>74</v>
      </c>
      <c r="AR417" t="s">
        <v>1540</v>
      </c>
      <c r="AS417" t="s">
        <v>1541</v>
      </c>
      <c r="AT417" t="s">
        <v>1012</v>
      </c>
      <c r="AU417">
        <v>2017</v>
      </c>
      <c r="AV417">
        <v>166</v>
      </c>
      <c r="AW417" t="s">
        <v>74</v>
      </c>
      <c r="AX417" t="s">
        <v>74</v>
      </c>
      <c r="AY417" t="s">
        <v>74</v>
      </c>
      <c r="AZ417" t="s">
        <v>74</v>
      </c>
      <c r="BA417" t="s">
        <v>74</v>
      </c>
      <c r="BB417">
        <v>197</v>
      </c>
      <c r="BC417">
        <v>208</v>
      </c>
      <c r="BD417" t="s">
        <v>74</v>
      </c>
      <c r="BE417" t="s">
        <v>8318</v>
      </c>
      <c r="BF417" t="str">
        <f>HYPERLINK("http://dx.doi.org/10.1016/j.jclepro.2017.07.211","http://dx.doi.org/10.1016/j.jclepro.2017.07.211")</f>
        <v>http://dx.doi.org/10.1016/j.jclepro.2017.07.211</v>
      </c>
      <c r="BG417" t="s">
        <v>74</v>
      </c>
      <c r="BH417" t="s">
        <v>74</v>
      </c>
      <c r="BI417">
        <v>12</v>
      </c>
      <c r="BJ417" t="s">
        <v>1543</v>
      </c>
      <c r="BK417" t="s">
        <v>102</v>
      </c>
      <c r="BL417" t="s">
        <v>1544</v>
      </c>
      <c r="BM417" t="s">
        <v>8319</v>
      </c>
      <c r="BN417" t="s">
        <v>74</v>
      </c>
      <c r="BO417" t="s">
        <v>74</v>
      </c>
      <c r="BP417" t="s">
        <v>74</v>
      </c>
      <c r="BQ417" t="s">
        <v>74</v>
      </c>
      <c r="BR417" t="s">
        <v>106</v>
      </c>
      <c r="BS417" t="s">
        <v>8320</v>
      </c>
      <c r="BT417" t="str">
        <f>HYPERLINK("https%3A%2F%2Fwww.webofscience.com%2Fwos%2Fwoscc%2Ffull-record%2FWOS:000412607100022","View Full Record in Web of Science")</f>
        <v>View Full Record in Web of Science</v>
      </c>
    </row>
    <row r="418" spans="1:72" x14ac:dyDescent="0.2">
      <c r="A418" t="s">
        <v>72</v>
      </c>
      <c r="B418" t="s">
        <v>8321</v>
      </c>
      <c r="C418" t="s">
        <v>74</v>
      </c>
      <c r="D418" t="s">
        <v>74</v>
      </c>
      <c r="E418" t="s">
        <v>74</v>
      </c>
      <c r="F418" t="s">
        <v>8322</v>
      </c>
      <c r="G418" t="s">
        <v>74</v>
      </c>
      <c r="H418" t="s">
        <v>74</v>
      </c>
      <c r="I418" t="s">
        <v>8323</v>
      </c>
      <c r="J418" t="s">
        <v>1526</v>
      </c>
      <c r="K418" t="s">
        <v>74</v>
      </c>
      <c r="L418" t="s">
        <v>74</v>
      </c>
      <c r="M418" t="s">
        <v>78</v>
      </c>
      <c r="N418" t="s">
        <v>79</v>
      </c>
      <c r="O418" t="s">
        <v>74</v>
      </c>
      <c r="P418" t="s">
        <v>74</v>
      </c>
      <c r="Q418" t="s">
        <v>74</v>
      </c>
      <c r="R418" t="s">
        <v>74</v>
      </c>
      <c r="S418" t="s">
        <v>74</v>
      </c>
      <c r="T418" t="s">
        <v>8324</v>
      </c>
      <c r="U418" t="s">
        <v>8325</v>
      </c>
      <c r="V418" t="s">
        <v>8326</v>
      </c>
      <c r="W418" t="s">
        <v>8327</v>
      </c>
      <c r="X418" t="s">
        <v>8328</v>
      </c>
      <c r="Y418" t="s">
        <v>8329</v>
      </c>
      <c r="Z418" t="s">
        <v>8330</v>
      </c>
      <c r="AA418" t="s">
        <v>74</v>
      </c>
      <c r="AB418" t="s">
        <v>74</v>
      </c>
      <c r="AC418" t="s">
        <v>74</v>
      </c>
      <c r="AD418" t="s">
        <v>74</v>
      </c>
      <c r="AE418" t="s">
        <v>74</v>
      </c>
      <c r="AF418" t="s">
        <v>74</v>
      </c>
      <c r="AG418">
        <v>67</v>
      </c>
      <c r="AH418">
        <v>0</v>
      </c>
      <c r="AI418">
        <v>0</v>
      </c>
      <c r="AJ418">
        <v>0</v>
      </c>
      <c r="AK418">
        <v>0</v>
      </c>
      <c r="AL418" t="s">
        <v>176</v>
      </c>
      <c r="AM418" t="s">
        <v>1610</v>
      </c>
      <c r="AN418" t="s">
        <v>1611</v>
      </c>
      <c r="AO418" t="s">
        <v>1538</v>
      </c>
      <c r="AP418" t="s">
        <v>1539</v>
      </c>
      <c r="AQ418" t="s">
        <v>74</v>
      </c>
      <c r="AR418" t="s">
        <v>1540</v>
      </c>
      <c r="AS418" t="s">
        <v>1541</v>
      </c>
      <c r="AT418" t="s">
        <v>4005</v>
      </c>
      <c r="AU418">
        <v>2025</v>
      </c>
      <c r="AV418">
        <v>534</v>
      </c>
      <c r="AW418" t="s">
        <v>74</v>
      </c>
      <c r="AX418" t="s">
        <v>74</v>
      </c>
      <c r="AY418" t="s">
        <v>74</v>
      </c>
      <c r="AZ418" t="s">
        <v>74</v>
      </c>
      <c r="BA418" t="s">
        <v>74</v>
      </c>
      <c r="BB418" t="s">
        <v>74</v>
      </c>
      <c r="BC418" t="s">
        <v>74</v>
      </c>
      <c r="BD418">
        <v>147114</v>
      </c>
      <c r="BE418" t="s">
        <v>8331</v>
      </c>
      <c r="BF418" t="str">
        <f>HYPERLINK("http://dx.doi.org/10.1016/j.jclepro.2025.147114","http://dx.doi.org/10.1016/j.jclepro.2025.147114")</f>
        <v>http://dx.doi.org/10.1016/j.jclepro.2025.147114</v>
      </c>
      <c r="BG418" t="s">
        <v>74</v>
      </c>
      <c r="BH418" t="s">
        <v>74</v>
      </c>
      <c r="BI418">
        <v>16</v>
      </c>
      <c r="BJ418" t="s">
        <v>1543</v>
      </c>
      <c r="BK418" t="s">
        <v>102</v>
      </c>
      <c r="BL418" t="s">
        <v>1544</v>
      </c>
      <c r="BM418" t="s">
        <v>8332</v>
      </c>
      <c r="BN418" t="s">
        <v>74</v>
      </c>
      <c r="BO418" t="s">
        <v>916</v>
      </c>
      <c r="BP418" t="s">
        <v>74</v>
      </c>
      <c r="BQ418" t="s">
        <v>74</v>
      </c>
      <c r="BR418" t="s">
        <v>106</v>
      </c>
      <c r="BS418" t="s">
        <v>8333</v>
      </c>
      <c r="BT418" t="str">
        <f>HYPERLINK("https%3A%2F%2Fwww.webofscience.com%2Fwos%2Fwoscc%2Ffull-record%2FWOS:001622815000001","View Full Record in Web of Science")</f>
        <v>View Full Record in Web of Science</v>
      </c>
    </row>
    <row r="419" spans="1:72" x14ac:dyDescent="0.2">
      <c r="A419" t="s">
        <v>72</v>
      </c>
      <c r="B419" t="s">
        <v>8334</v>
      </c>
      <c r="C419" t="s">
        <v>74</v>
      </c>
      <c r="D419" t="s">
        <v>74</v>
      </c>
      <c r="E419" t="s">
        <v>74</v>
      </c>
      <c r="F419" t="s">
        <v>8335</v>
      </c>
      <c r="G419" t="s">
        <v>74</v>
      </c>
      <c r="H419" t="s">
        <v>74</v>
      </c>
      <c r="I419" t="s">
        <v>8336</v>
      </c>
      <c r="J419" t="s">
        <v>546</v>
      </c>
      <c r="K419" t="s">
        <v>74</v>
      </c>
      <c r="L419" t="s">
        <v>74</v>
      </c>
      <c r="M419" t="s">
        <v>78</v>
      </c>
      <c r="N419" t="s">
        <v>79</v>
      </c>
      <c r="O419" t="s">
        <v>74</v>
      </c>
      <c r="P419" t="s">
        <v>74</v>
      </c>
      <c r="Q419" t="s">
        <v>74</v>
      </c>
      <c r="R419" t="s">
        <v>74</v>
      </c>
      <c r="S419" t="s">
        <v>74</v>
      </c>
      <c r="T419" t="s">
        <v>8337</v>
      </c>
      <c r="U419" t="s">
        <v>8338</v>
      </c>
      <c r="V419" t="s">
        <v>8339</v>
      </c>
      <c r="W419" t="s">
        <v>8340</v>
      </c>
      <c r="X419" t="s">
        <v>8341</v>
      </c>
      <c r="Y419" t="s">
        <v>8342</v>
      </c>
      <c r="Z419" t="s">
        <v>8343</v>
      </c>
      <c r="AA419" t="s">
        <v>8344</v>
      </c>
      <c r="AB419" t="s">
        <v>8345</v>
      </c>
      <c r="AC419" t="s">
        <v>8346</v>
      </c>
      <c r="AD419" t="s">
        <v>8347</v>
      </c>
      <c r="AE419" t="s">
        <v>8348</v>
      </c>
      <c r="AF419" t="s">
        <v>74</v>
      </c>
      <c r="AG419">
        <v>85</v>
      </c>
      <c r="AH419">
        <v>1</v>
      </c>
      <c r="AI419">
        <v>3</v>
      </c>
      <c r="AJ419">
        <v>9</v>
      </c>
      <c r="AK419">
        <v>36</v>
      </c>
      <c r="AL419" t="s">
        <v>559</v>
      </c>
      <c r="AM419" t="s">
        <v>93</v>
      </c>
      <c r="AN419" t="s">
        <v>560</v>
      </c>
      <c r="AO419" t="s">
        <v>561</v>
      </c>
      <c r="AP419" t="s">
        <v>562</v>
      </c>
      <c r="AQ419" t="s">
        <v>74</v>
      </c>
      <c r="AR419" t="s">
        <v>563</v>
      </c>
      <c r="AS419" t="s">
        <v>564</v>
      </c>
      <c r="AT419" t="s">
        <v>1109</v>
      </c>
      <c r="AU419">
        <v>2024</v>
      </c>
      <c r="AV419">
        <v>371</v>
      </c>
      <c r="AW419" t="s">
        <v>74</v>
      </c>
      <c r="AX419" t="s">
        <v>74</v>
      </c>
      <c r="AY419" t="s">
        <v>74</v>
      </c>
      <c r="AZ419" t="s">
        <v>74</v>
      </c>
      <c r="BA419" t="s">
        <v>74</v>
      </c>
      <c r="BB419" t="s">
        <v>74</v>
      </c>
      <c r="BC419" t="s">
        <v>74</v>
      </c>
      <c r="BD419">
        <v>122898</v>
      </c>
      <c r="BE419" t="s">
        <v>8349</v>
      </c>
      <c r="BF419" t="str">
        <f>HYPERLINK("http://dx.doi.org/10.1016/j.jenvman.2024.122898","http://dx.doi.org/10.1016/j.jenvman.2024.122898")</f>
        <v>http://dx.doi.org/10.1016/j.jenvman.2024.122898</v>
      </c>
      <c r="BG419" t="s">
        <v>74</v>
      </c>
      <c r="BH419" t="s">
        <v>1594</v>
      </c>
      <c r="BI419">
        <v>13</v>
      </c>
      <c r="BJ419" t="s">
        <v>567</v>
      </c>
      <c r="BK419" t="s">
        <v>102</v>
      </c>
      <c r="BL419" t="s">
        <v>568</v>
      </c>
      <c r="BM419" t="s">
        <v>8350</v>
      </c>
      <c r="BN419">
        <v>39509976</v>
      </c>
      <c r="BO419" t="s">
        <v>74</v>
      </c>
      <c r="BP419" t="s">
        <v>74</v>
      </c>
      <c r="BQ419" t="s">
        <v>74</v>
      </c>
      <c r="BR419" t="s">
        <v>106</v>
      </c>
      <c r="BS419" t="s">
        <v>8351</v>
      </c>
      <c r="BT419" t="str">
        <f>HYPERLINK("https%3A%2F%2Fwww.webofscience.com%2Fwos%2Fwoscc%2Ffull-record%2FWOS:001353677200001","View Full Record in Web of Science")</f>
        <v>View Full Record in Web of Science</v>
      </c>
    </row>
    <row r="420" spans="1:72" x14ac:dyDescent="0.2">
      <c r="A420" t="s">
        <v>72</v>
      </c>
      <c r="B420" t="s">
        <v>8352</v>
      </c>
      <c r="C420" t="s">
        <v>74</v>
      </c>
      <c r="D420" t="s">
        <v>74</v>
      </c>
      <c r="E420" t="s">
        <v>74</v>
      </c>
      <c r="F420" t="s">
        <v>8353</v>
      </c>
      <c r="G420" t="s">
        <v>74</v>
      </c>
      <c r="H420" t="s">
        <v>74</v>
      </c>
      <c r="I420" t="s">
        <v>8354</v>
      </c>
      <c r="J420" t="s">
        <v>645</v>
      </c>
      <c r="K420" t="s">
        <v>74</v>
      </c>
      <c r="L420" t="s">
        <v>74</v>
      </c>
      <c r="M420" t="s">
        <v>78</v>
      </c>
      <c r="N420" t="s">
        <v>79</v>
      </c>
      <c r="O420" t="s">
        <v>74</v>
      </c>
      <c r="P420" t="s">
        <v>74</v>
      </c>
      <c r="Q420" t="s">
        <v>74</v>
      </c>
      <c r="R420" t="s">
        <v>74</v>
      </c>
      <c r="S420" t="s">
        <v>74</v>
      </c>
      <c r="T420" t="s">
        <v>8355</v>
      </c>
      <c r="U420" t="s">
        <v>8356</v>
      </c>
      <c r="V420" t="s">
        <v>8357</v>
      </c>
      <c r="W420" t="s">
        <v>8358</v>
      </c>
      <c r="X420" t="s">
        <v>8359</v>
      </c>
      <c r="Y420" t="s">
        <v>8360</v>
      </c>
      <c r="Z420" t="s">
        <v>8361</v>
      </c>
      <c r="AA420" t="s">
        <v>74</v>
      </c>
      <c r="AB420" t="s">
        <v>74</v>
      </c>
      <c r="AC420" t="s">
        <v>8362</v>
      </c>
      <c r="AD420" t="s">
        <v>8363</v>
      </c>
      <c r="AE420" t="s">
        <v>8364</v>
      </c>
      <c r="AF420" t="s">
        <v>74</v>
      </c>
      <c r="AG420">
        <v>64</v>
      </c>
      <c r="AH420">
        <v>0</v>
      </c>
      <c r="AI420">
        <v>0</v>
      </c>
      <c r="AJ420">
        <v>13</v>
      </c>
      <c r="AK420">
        <v>13</v>
      </c>
      <c r="AL420" t="s">
        <v>655</v>
      </c>
      <c r="AM420" t="s">
        <v>405</v>
      </c>
      <c r="AN420" t="s">
        <v>656</v>
      </c>
      <c r="AO420" t="s">
        <v>74</v>
      </c>
      <c r="AP420" t="s">
        <v>657</v>
      </c>
      <c r="AQ420" t="s">
        <v>74</v>
      </c>
      <c r="AR420" t="s">
        <v>658</v>
      </c>
      <c r="AS420" t="s">
        <v>659</v>
      </c>
      <c r="AT420" t="s">
        <v>8365</v>
      </c>
      <c r="AU420">
        <v>2025</v>
      </c>
      <c r="AV420">
        <v>13</v>
      </c>
      <c r="AW420" t="s">
        <v>74</v>
      </c>
      <c r="AX420" t="s">
        <v>74</v>
      </c>
      <c r="AY420" t="s">
        <v>74</v>
      </c>
      <c r="AZ420" t="s">
        <v>74</v>
      </c>
      <c r="BA420" t="s">
        <v>74</v>
      </c>
      <c r="BB420" t="s">
        <v>74</v>
      </c>
      <c r="BC420" t="s">
        <v>74</v>
      </c>
      <c r="BD420">
        <v>1640766</v>
      </c>
      <c r="BE420" t="s">
        <v>8366</v>
      </c>
      <c r="BF420" t="str">
        <f>HYPERLINK("http://dx.doi.org/10.3389/fenvs.2025.1640766","http://dx.doi.org/10.3389/fenvs.2025.1640766")</f>
        <v>http://dx.doi.org/10.3389/fenvs.2025.1640766</v>
      </c>
      <c r="BG420" t="s">
        <v>74</v>
      </c>
      <c r="BH420" t="s">
        <v>74</v>
      </c>
      <c r="BI420">
        <v>16</v>
      </c>
      <c r="BJ420" t="s">
        <v>567</v>
      </c>
      <c r="BK420" t="s">
        <v>102</v>
      </c>
      <c r="BL420" t="s">
        <v>568</v>
      </c>
      <c r="BM420" t="s">
        <v>8367</v>
      </c>
      <c r="BN420" t="s">
        <v>74</v>
      </c>
      <c r="BO420" t="s">
        <v>231</v>
      </c>
      <c r="BP420" t="s">
        <v>74</v>
      </c>
      <c r="BQ420" t="s">
        <v>74</v>
      </c>
      <c r="BR420" t="s">
        <v>106</v>
      </c>
      <c r="BS420" t="s">
        <v>8368</v>
      </c>
      <c r="BT420" t="str">
        <f>HYPERLINK("https%3A%2F%2Fwww.webofscience.com%2Fwos%2Fwoscc%2Ffull-record%2FWOS:001547288500001","View Full Record in Web of Science")</f>
        <v>View Full Record in Web of Science</v>
      </c>
    </row>
    <row r="421" spans="1:72" x14ac:dyDescent="0.2">
      <c r="A421" t="s">
        <v>72</v>
      </c>
      <c r="B421" t="s">
        <v>8369</v>
      </c>
      <c r="C421" t="s">
        <v>74</v>
      </c>
      <c r="D421" t="s">
        <v>74</v>
      </c>
      <c r="E421" t="s">
        <v>74</v>
      </c>
      <c r="F421" t="s">
        <v>8370</v>
      </c>
      <c r="G421" t="s">
        <v>74</v>
      </c>
      <c r="H421" t="s">
        <v>74</v>
      </c>
      <c r="I421" t="s">
        <v>8371</v>
      </c>
      <c r="J421" t="s">
        <v>2726</v>
      </c>
      <c r="K421" t="s">
        <v>74</v>
      </c>
      <c r="L421" t="s">
        <v>74</v>
      </c>
      <c r="M421" t="s">
        <v>78</v>
      </c>
      <c r="N421" t="s">
        <v>79</v>
      </c>
      <c r="O421" t="s">
        <v>74</v>
      </c>
      <c r="P421" t="s">
        <v>74</v>
      </c>
      <c r="Q421" t="s">
        <v>74</v>
      </c>
      <c r="R421" t="s">
        <v>74</v>
      </c>
      <c r="S421" t="s">
        <v>74</v>
      </c>
      <c r="T421" t="s">
        <v>8372</v>
      </c>
      <c r="U421" t="s">
        <v>8373</v>
      </c>
      <c r="V421" t="s">
        <v>8374</v>
      </c>
      <c r="W421" t="s">
        <v>8375</v>
      </c>
      <c r="X421" t="s">
        <v>8376</v>
      </c>
      <c r="Y421" t="s">
        <v>8377</v>
      </c>
      <c r="Z421" t="s">
        <v>8378</v>
      </c>
      <c r="AA421" t="s">
        <v>74</v>
      </c>
      <c r="AB421" t="s">
        <v>8379</v>
      </c>
      <c r="AC421" t="s">
        <v>8380</v>
      </c>
      <c r="AD421" t="s">
        <v>8381</v>
      </c>
      <c r="AE421" t="s">
        <v>8382</v>
      </c>
      <c r="AF421" t="s">
        <v>74</v>
      </c>
      <c r="AG421">
        <v>44</v>
      </c>
      <c r="AH421">
        <v>4</v>
      </c>
      <c r="AI421">
        <v>4</v>
      </c>
      <c r="AJ421">
        <v>9</v>
      </c>
      <c r="AK421">
        <v>20</v>
      </c>
      <c r="AL421" t="s">
        <v>222</v>
      </c>
      <c r="AM421" t="s">
        <v>223</v>
      </c>
      <c r="AN421" t="s">
        <v>478</v>
      </c>
      <c r="AO421" t="s">
        <v>74</v>
      </c>
      <c r="AP421" t="s">
        <v>2739</v>
      </c>
      <c r="AQ421" t="s">
        <v>74</v>
      </c>
      <c r="AR421" t="s">
        <v>2726</v>
      </c>
      <c r="AS421" t="s">
        <v>2740</v>
      </c>
      <c r="AT421" t="s">
        <v>227</v>
      </c>
      <c r="AU421">
        <v>2025</v>
      </c>
      <c r="AV421">
        <v>13</v>
      </c>
      <c r="AW421">
        <v>1</v>
      </c>
      <c r="AX421" t="s">
        <v>74</v>
      </c>
      <c r="AY421" t="s">
        <v>74</v>
      </c>
      <c r="AZ421" t="s">
        <v>74</v>
      </c>
      <c r="BA421" t="s">
        <v>74</v>
      </c>
      <c r="BB421" t="s">
        <v>74</v>
      </c>
      <c r="BC421" t="s">
        <v>74</v>
      </c>
      <c r="BD421">
        <v>257</v>
      </c>
      <c r="BE421" t="s">
        <v>8383</v>
      </c>
      <c r="BF421" t="str">
        <f>HYPERLINK("http://dx.doi.org/10.3390/pr13010257","http://dx.doi.org/10.3390/pr13010257")</f>
        <v>http://dx.doi.org/10.3390/pr13010257</v>
      </c>
      <c r="BG421" t="s">
        <v>74</v>
      </c>
      <c r="BH421" t="s">
        <v>74</v>
      </c>
      <c r="BI421">
        <v>13</v>
      </c>
      <c r="BJ421" t="s">
        <v>2742</v>
      </c>
      <c r="BK421" t="s">
        <v>102</v>
      </c>
      <c r="BL421" t="s">
        <v>2743</v>
      </c>
      <c r="BM421" t="s">
        <v>8384</v>
      </c>
      <c r="BN421" t="s">
        <v>74</v>
      </c>
      <c r="BO421" t="s">
        <v>231</v>
      </c>
      <c r="BP421" t="s">
        <v>74</v>
      </c>
      <c r="BQ421" t="s">
        <v>74</v>
      </c>
      <c r="BR421" t="s">
        <v>106</v>
      </c>
      <c r="BS421" t="s">
        <v>8385</v>
      </c>
      <c r="BT421" t="str">
        <f>HYPERLINK("https%3A%2F%2Fwww.webofscience.com%2Fwos%2Fwoscc%2Ffull-record%2FWOS:001405740800001","View Full Record in Web of Science")</f>
        <v>View Full Record in Web of Science</v>
      </c>
    </row>
    <row r="422" spans="1:72" x14ac:dyDescent="0.2">
      <c r="A422" t="s">
        <v>72</v>
      </c>
      <c r="B422" t="s">
        <v>8386</v>
      </c>
      <c r="C422" t="s">
        <v>74</v>
      </c>
      <c r="D422" t="s">
        <v>74</v>
      </c>
      <c r="E422" t="s">
        <v>74</v>
      </c>
      <c r="F422" t="s">
        <v>8387</v>
      </c>
      <c r="G422" t="s">
        <v>74</v>
      </c>
      <c r="H422" t="s">
        <v>74</v>
      </c>
      <c r="I422" t="s">
        <v>8388</v>
      </c>
      <c r="J422" t="s">
        <v>468</v>
      </c>
      <c r="K422" t="s">
        <v>74</v>
      </c>
      <c r="L422" t="s">
        <v>74</v>
      </c>
      <c r="M422" t="s">
        <v>78</v>
      </c>
      <c r="N422" t="s">
        <v>79</v>
      </c>
      <c r="O422" t="s">
        <v>74</v>
      </c>
      <c r="P422" t="s">
        <v>74</v>
      </c>
      <c r="Q422" t="s">
        <v>74</v>
      </c>
      <c r="R422" t="s">
        <v>74</v>
      </c>
      <c r="S422" t="s">
        <v>74</v>
      </c>
      <c r="T422" t="s">
        <v>8389</v>
      </c>
      <c r="U422" t="s">
        <v>8390</v>
      </c>
      <c r="V422" t="s">
        <v>8391</v>
      </c>
      <c r="W422" t="s">
        <v>8392</v>
      </c>
      <c r="X422" t="s">
        <v>8393</v>
      </c>
      <c r="Y422" t="s">
        <v>8394</v>
      </c>
      <c r="Z422" t="s">
        <v>8395</v>
      </c>
      <c r="AA422" t="s">
        <v>8396</v>
      </c>
      <c r="AB422" t="s">
        <v>8397</v>
      </c>
      <c r="AC422" t="s">
        <v>8398</v>
      </c>
      <c r="AD422" t="s">
        <v>8399</v>
      </c>
      <c r="AE422" t="s">
        <v>8400</v>
      </c>
      <c r="AF422" t="s">
        <v>74</v>
      </c>
      <c r="AG422">
        <v>35</v>
      </c>
      <c r="AH422">
        <v>31</v>
      </c>
      <c r="AI422">
        <v>33</v>
      </c>
      <c r="AJ422">
        <v>4</v>
      </c>
      <c r="AK422">
        <v>123</v>
      </c>
      <c r="AL422" t="s">
        <v>222</v>
      </c>
      <c r="AM422" t="s">
        <v>223</v>
      </c>
      <c r="AN422" t="s">
        <v>224</v>
      </c>
      <c r="AO422" t="s">
        <v>74</v>
      </c>
      <c r="AP422" t="s">
        <v>479</v>
      </c>
      <c r="AQ422" t="s">
        <v>74</v>
      </c>
      <c r="AR422" t="s">
        <v>480</v>
      </c>
      <c r="AS422" t="s">
        <v>481</v>
      </c>
      <c r="AT422" t="s">
        <v>960</v>
      </c>
      <c r="AU422">
        <v>2019</v>
      </c>
      <c r="AV422">
        <v>11</v>
      </c>
      <c r="AW422">
        <v>3</v>
      </c>
      <c r="AX422" t="s">
        <v>74</v>
      </c>
      <c r="AY422" t="s">
        <v>74</v>
      </c>
      <c r="AZ422" t="s">
        <v>74</v>
      </c>
      <c r="BA422" t="s">
        <v>74</v>
      </c>
      <c r="BB422" t="s">
        <v>74</v>
      </c>
      <c r="BC422" t="s">
        <v>74</v>
      </c>
      <c r="BD422">
        <v>592</v>
      </c>
      <c r="BE422" t="s">
        <v>8401</v>
      </c>
      <c r="BF422" t="str">
        <f>HYPERLINK("http://dx.doi.org/10.3390/su11030592","http://dx.doi.org/10.3390/su11030592")</f>
        <v>http://dx.doi.org/10.3390/su11030592</v>
      </c>
      <c r="BG422" t="s">
        <v>74</v>
      </c>
      <c r="BH422" t="s">
        <v>74</v>
      </c>
      <c r="BI422">
        <v>20</v>
      </c>
      <c r="BJ422" t="s">
        <v>484</v>
      </c>
      <c r="BK422" t="s">
        <v>186</v>
      </c>
      <c r="BL422" t="s">
        <v>485</v>
      </c>
      <c r="BM422" t="s">
        <v>8402</v>
      </c>
      <c r="BN422" t="s">
        <v>74</v>
      </c>
      <c r="BO422" t="s">
        <v>161</v>
      </c>
      <c r="BP422" t="s">
        <v>74</v>
      </c>
      <c r="BQ422" t="s">
        <v>74</v>
      </c>
      <c r="BR422" t="s">
        <v>106</v>
      </c>
      <c r="BS422" t="s">
        <v>8403</v>
      </c>
      <c r="BT422" t="str">
        <f>HYPERLINK("https%3A%2F%2Fwww.webofscience.com%2Fwos%2Fwoscc%2Ffull-record%2FWOS:000458929500037","View Full Record in Web of Science")</f>
        <v>View Full Record in Web of Science</v>
      </c>
    </row>
    <row r="423" spans="1:72" x14ac:dyDescent="0.2">
      <c r="A423" t="s">
        <v>72</v>
      </c>
      <c r="B423" t="s">
        <v>8404</v>
      </c>
      <c r="C423" t="s">
        <v>74</v>
      </c>
      <c r="D423" t="s">
        <v>74</v>
      </c>
      <c r="E423" t="s">
        <v>74</v>
      </c>
      <c r="F423" t="s">
        <v>8405</v>
      </c>
      <c r="G423" t="s">
        <v>74</v>
      </c>
      <c r="H423" t="s">
        <v>74</v>
      </c>
      <c r="I423" t="s">
        <v>8406</v>
      </c>
      <c r="J423" t="s">
        <v>8407</v>
      </c>
      <c r="K423" t="s">
        <v>74</v>
      </c>
      <c r="L423" t="s">
        <v>74</v>
      </c>
      <c r="M423" t="s">
        <v>78</v>
      </c>
      <c r="N423" t="s">
        <v>79</v>
      </c>
      <c r="O423" t="s">
        <v>74</v>
      </c>
      <c r="P423" t="s">
        <v>74</v>
      </c>
      <c r="Q423" t="s">
        <v>74</v>
      </c>
      <c r="R423" t="s">
        <v>74</v>
      </c>
      <c r="S423" t="s">
        <v>74</v>
      </c>
      <c r="T423" t="s">
        <v>8408</v>
      </c>
      <c r="U423" t="s">
        <v>8409</v>
      </c>
      <c r="V423" t="s">
        <v>8410</v>
      </c>
      <c r="W423" t="s">
        <v>8411</v>
      </c>
      <c r="X423" t="s">
        <v>8412</v>
      </c>
      <c r="Y423" t="s">
        <v>8413</v>
      </c>
      <c r="Z423" t="s">
        <v>8414</v>
      </c>
      <c r="AA423" t="s">
        <v>74</v>
      </c>
      <c r="AB423" t="s">
        <v>74</v>
      </c>
      <c r="AC423" t="s">
        <v>74</v>
      </c>
      <c r="AD423" t="s">
        <v>74</v>
      </c>
      <c r="AE423" t="s">
        <v>74</v>
      </c>
      <c r="AF423" t="s">
        <v>74</v>
      </c>
      <c r="AG423">
        <v>56</v>
      </c>
      <c r="AH423">
        <v>1</v>
      </c>
      <c r="AI423">
        <v>1</v>
      </c>
      <c r="AJ423">
        <v>14</v>
      </c>
      <c r="AK423">
        <v>51</v>
      </c>
      <c r="AL423" t="s">
        <v>8415</v>
      </c>
      <c r="AM423" t="s">
        <v>93</v>
      </c>
      <c r="AN423" t="s">
        <v>8416</v>
      </c>
      <c r="AO423" t="s">
        <v>8417</v>
      </c>
      <c r="AP423" t="s">
        <v>8418</v>
      </c>
      <c r="AQ423" t="s">
        <v>74</v>
      </c>
      <c r="AR423" t="s">
        <v>8419</v>
      </c>
      <c r="AS423" t="s">
        <v>8420</v>
      </c>
      <c r="AT423" t="s">
        <v>1109</v>
      </c>
      <c r="AU423">
        <v>2024</v>
      </c>
      <c r="AV423">
        <v>15</v>
      </c>
      <c r="AW423">
        <v>12</v>
      </c>
      <c r="AX423" t="s">
        <v>74</v>
      </c>
      <c r="AY423" t="s">
        <v>74</v>
      </c>
      <c r="AZ423" t="s">
        <v>74</v>
      </c>
      <c r="BA423" t="s">
        <v>74</v>
      </c>
      <c r="BB423">
        <v>5939</v>
      </c>
      <c r="BC423">
        <v>5956</v>
      </c>
      <c r="BD423" t="s">
        <v>74</v>
      </c>
      <c r="BE423" t="s">
        <v>8421</v>
      </c>
      <c r="BF423" t="str">
        <f>HYPERLINK("http://dx.doi.org/10.2166/wcc.2024.516","http://dx.doi.org/10.2166/wcc.2024.516")</f>
        <v>http://dx.doi.org/10.2166/wcc.2024.516</v>
      </c>
      <c r="BG423" t="s">
        <v>74</v>
      </c>
      <c r="BH423" t="s">
        <v>3624</v>
      </c>
      <c r="BI423">
        <v>18</v>
      </c>
      <c r="BJ423" t="s">
        <v>8422</v>
      </c>
      <c r="BK423" t="s">
        <v>102</v>
      </c>
      <c r="BL423" t="s">
        <v>8422</v>
      </c>
      <c r="BM423" t="s">
        <v>8423</v>
      </c>
      <c r="BN423" t="s">
        <v>74</v>
      </c>
      <c r="BO423" t="s">
        <v>231</v>
      </c>
      <c r="BP423" t="s">
        <v>74</v>
      </c>
      <c r="BQ423" t="s">
        <v>74</v>
      </c>
      <c r="BR423" t="s">
        <v>106</v>
      </c>
      <c r="BS423" t="s">
        <v>8424</v>
      </c>
      <c r="BT423" t="str">
        <f>HYPERLINK("https%3A%2F%2Fwww.webofscience.com%2Fwos%2Fwoscc%2Ffull-record%2FWOS:001376665100001","View Full Record in Web of Science")</f>
        <v>View Full Record in Web of Science</v>
      </c>
    </row>
    <row r="424" spans="1:72" x14ac:dyDescent="0.2">
      <c r="A424" t="s">
        <v>72</v>
      </c>
      <c r="B424" t="s">
        <v>8425</v>
      </c>
      <c r="C424" t="s">
        <v>74</v>
      </c>
      <c r="D424" t="s">
        <v>74</v>
      </c>
      <c r="E424" t="s">
        <v>74</v>
      </c>
      <c r="F424" t="s">
        <v>8426</v>
      </c>
      <c r="G424" t="s">
        <v>74</v>
      </c>
      <c r="H424" t="s">
        <v>74</v>
      </c>
      <c r="I424" t="s">
        <v>8427</v>
      </c>
      <c r="J424" t="s">
        <v>2149</v>
      </c>
      <c r="K424" t="s">
        <v>74</v>
      </c>
      <c r="L424" t="s">
        <v>74</v>
      </c>
      <c r="M424" t="s">
        <v>78</v>
      </c>
      <c r="N424" t="s">
        <v>79</v>
      </c>
      <c r="O424" t="s">
        <v>74</v>
      </c>
      <c r="P424" t="s">
        <v>74</v>
      </c>
      <c r="Q424" t="s">
        <v>74</v>
      </c>
      <c r="R424" t="s">
        <v>74</v>
      </c>
      <c r="S424" t="s">
        <v>74</v>
      </c>
      <c r="T424" t="s">
        <v>8428</v>
      </c>
      <c r="U424" t="s">
        <v>8429</v>
      </c>
      <c r="V424" t="s">
        <v>8430</v>
      </c>
      <c r="W424" t="s">
        <v>8431</v>
      </c>
      <c r="X424" t="s">
        <v>8432</v>
      </c>
      <c r="Y424" t="s">
        <v>8433</v>
      </c>
      <c r="Z424" t="s">
        <v>8434</v>
      </c>
      <c r="AA424" t="s">
        <v>8435</v>
      </c>
      <c r="AB424" t="s">
        <v>8436</v>
      </c>
      <c r="AC424" t="s">
        <v>8437</v>
      </c>
      <c r="AD424" t="s">
        <v>8438</v>
      </c>
      <c r="AE424" t="s">
        <v>8439</v>
      </c>
      <c r="AF424" t="s">
        <v>74</v>
      </c>
      <c r="AG424">
        <v>95</v>
      </c>
      <c r="AH424">
        <v>10</v>
      </c>
      <c r="AI424">
        <v>10</v>
      </c>
      <c r="AJ424">
        <v>39</v>
      </c>
      <c r="AK424">
        <v>75</v>
      </c>
      <c r="AL424" t="s">
        <v>123</v>
      </c>
      <c r="AM424" t="s">
        <v>124</v>
      </c>
      <c r="AN424" t="s">
        <v>125</v>
      </c>
      <c r="AO424" t="s">
        <v>2164</v>
      </c>
      <c r="AP424" t="s">
        <v>2165</v>
      </c>
      <c r="AQ424" t="s">
        <v>74</v>
      </c>
      <c r="AR424" t="s">
        <v>2166</v>
      </c>
      <c r="AS424" t="s">
        <v>2167</v>
      </c>
      <c r="AT424" t="s">
        <v>1963</v>
      </c>
      <c r="AU424">
        <v>2025</v>
      </c>
      <c r="AV424">
        <v>251</v>
      </c>
      <c r="AW424" t="s">
        <v>74</v>
      </c>
      <c r="AX424" t="s">
        <v>74</v>
      </c>
      <c r="AY424" t="s">
        <v>74</v>
      </c>
      <c r="AZ424" t="s">
        <v>74</v>
      </c>
      <c r="BA424" t="s">
        <v>74</v>
      </c>
      <c r="BB424" t="s">
        <v>74</v>
      </c>
      <c r="BC424" t="s">
        <v>74</v>
      </c>
      <c r="BD424">
        <v>106536</v>
      </c>
      <c r="BE424" t="s">
        <v>8440</v>
      </c>
      <c r="BF424" t="str">
        <f>HYPERLINK("http://dx.doi.org/10.1016/j.still.2025.106536","http://dx.doi.org/10.1016/j.still.2025.106536")</f>
        <v>http://dx.doi.org/10.1016/j.still.2025.106536</v>
      </c>
      <c r="BG424" t="s">
        <v>74</v>
      </c>
      <c r="BH424" t="s">
        <v>7812</v>
      </c>
      <c r="BI424">
        <v>14</v>
      </c>
      <c r="BJ424" t="s">
        <v>256</v>
      </c>
      <c r="BK424" t="s">
        <v>102</v>
      </c>
      <c r="BL424" t="s">
        <v>103</v>
      </c>
      <c r="BM424" t="s">
        <v>8441</v>
      </c>
      <c r="BN424" t="s">
        <v>74</v>
      </c>
      <c r="BO424" t="s">
        <v>74</v>
      </c>
      <c r="BP424" t="s">
        <v>74</v>
      </c>
      <c r="BQ424" t="s">
        <v>74</v>
      </c>
      <c r="BR424" t="s">
        <v>106</v>
      </c>
      <c r="BS424" t="s">
        <v>8442</v>
      </c>
      <c r="BT424" t="str">
        <f>HYPERLINK("https%3A%2F%2Fwww.webofscience.com%2Fwos%2Fwoscc%2Ffull-record%2FWOS:001447185200001","View Full Record in Web of Science")</f>
        <v>View Full Record in Web of Science</v>
      </c>
    </row>
    <row r="425" spans="1:72" x14ac:dyDescent="0.2">
      <c r="A425" t="s">
        <v>72</v>
      </c>
      <c r="B425" t="s">
        <v>8443</v>
      </c>
      <c r="C425" t="s">
        <v>74</v>
      </c>
      <c r="D425" t="s">
        <v>74</v>
      </c>
      <c r="E425" t="s">
        <v>74</v>
      </c>
      <c r="F425" t="s">
        <v>8444</v>
      </c>
      <c r="G425" t="s">
        <v>74</v>
      </c>
      <c r="H425" t="s">
        <v>74</v>
      </c>
      <c r="I425" t="s">
        <v>8445</v>
      </c>
      <c r="J425" t="s">
        <v>1451</v>
      </c>
      <c r="K425" t="s">
        <v>74</v>
      </c>
      <c r="L425" t="s">
        <v>74</v>
      </c>
      <c r="M425" t="s">
        <v>78</v>
      </c>
      <c r="N425" t="s">
        <v>79</v>
      </c>
      <c r="O425" t="s">
        <v>74</v>
      </c>
      <c r="P425" t="s">
        <v>74</v>
      </c>
      <c r="Q425" t="s">
        <v>74</v>
      </c>
      <c r="R425" t="s">
        <v>74</v>
      </c>
      <c r="S425" t="s">
        <v>74</v>
      </c>
      <c r="T425" t="s">
        <v>8446</v>
      </c>
      <c r="U425" t="s">
        <v>8447</v>
      </c>
      <c r="V425" t="s">
        <v>8448</v>
      </c>
      <c r="W425" t="s">
        <v>8449</v>
      </c>
      <c r="X425" t="s">
        <v>8450</v>
      </c>
      <c r="Y425" t="s">
        <v>8451</v>
      </c>
      <c r="Z425" t="s">
        <v>8452</v>
      </c>
      <c r="AA425" t="s">
        <v>8453</v>
      </c>
      <c r="AB425" t="s">
        <v>8454</v>
      </c>
      <c r="AC425" t="s">
        <v>8455</v>
      </c>
      <c r="AD425" t="s">
        <v>3385</v>
      </c>
      <c r="AE425" t="s">
        <v>8456</v>
      </c>
      <c r="AF425" t="s">
        <v>74</v>
      </c>
      <c r="AG425">
        <v>134</v>
      </c>
      <c r="AH425">
        <v>28</v>
      </c>
      <c r="AI425">
        <v>31</v>
      </c>
      <c r="AJ425">
        <v>44</v>
      </c>
      <c r="AK425">
        <v>168</v>
      </c>
      <c r="AL425" t="s">
        <v>123</v>
      </c>
      <c r="AM425" t="s">
        <v>124</v>
      </c>
      <c r="AN425" t="s">
        <v>125</v>
      </c>
      <c r="AO425" t="s">
        <v>1464</v>
      </c>
      <c r="AP425" t="s">
        <v>1465</v>
      </c>
      <c r="AQ425" t="s">
        <v>74</v>
      </c>
      <c r="AR425" t="s">
        <v>1466</v>
      </c>
      <c r="AS425" t="s">
        <v>1467</v>
      </c>
      <c r="AT425" t="s">
        <v>1468</v>
      </c>
      <c r="AU425">
        <v>2024</v>
      </c>
      <c r="AV425">
        <v>366</v>
      </c>
      <c r="AW425" t="s">
        <v>74</v>
      </c>
      <c r="AX425" t="s">
        <v>74</v>
      </c>
      <c r="AY425" t="s">
        <v>74</v>
      </c>
      <c r="AZ425" t="s">
        <v>74</v>
      </c>
      <c r="BA425" t="s">
        <v>74</v>
      </c>
      <c r="BB425" t="s">
        <v>74</v>
      </c>
      <c r="BC425" t="s">
        <v>74</v>
      </c>
      <c r="BD425">
        <v>108912</v>
      </c>
      <c r="BE425" t="s">
        <v>8457</v>
      </c>
      <c r="BF425" t="str">
        <f>HYPERLINK("http://dx.doi.org/10.1016/j.agee.2024.108912","http://dx.doi.org/10.1016/j.agee.2024.108912")</f>
        <v>http://dx.doi.org/10.1016/j.agee.2024.108912</v>
      </c>
      <c r="BG425" t="s">
        <v>74</v>
      </c>
      <c r="BH425" t="s">
        <v>2430</v>
      </c>
      <c r="BI425">
        <v>15</v>
      </c>
      <c r="BJ425" t="s">
        <v>1470</v>
      </c>
      <c r="BK425" t="s">
        <v>102</v>
      </c>
      <c r="BL425" t="s">
        <v>1471</v>
      </c>
      <c r="BM425" t="s">
        <v>8458</v>
      </c>
      <c r="BN425" t="s">
        <v>74</v>
      </c>
      <c r="BO425" t="s">
        <v>74</v>
      </c>
      <c r="BP425" t="s">
        <v>74</v>
      </c>
      <c r="BQ425" t="s">
        <v>74</v>
      </c>
      <c r="BR425" t="s">
        <v>106</v>
      </c>
      <c r="BS425" t="s">
        <v>8459</v>
      </c>
      <c r="BT425" t="str">
        <f>HYPERLINK("https%3A%2F%2Fwww.webofscience.com%2Fwos%2Fwoscc%2Ffull-record%2FWOS:001197814200001","View Full Record in Web of Science")</f>
        <v>View Full Record in Web of Science</v>
      </c>
    </row>
    <row r="426" spans="1:72" x14ac:dyDescent="0.2">
      <c r="A426" t="s">
        <v>72</v>
      </c>
      <c r="B426" t="s">
        <v>8460</v>
      </c>
      <c r="C426" t="s">
        <v>74</v>
      </c>
      <c r="D426" t="s">
        <v>74</v>
      </c>
      <c r="E426" t="s">
        <v>74</v>
      </c>
      <c r="F426" t="s">
        <v>8461</v>
      </c>
      <c r="G426" t="s">
        <v>74</v>
      </c>
      <c r="H426" t="s">
        <v>74</v>
      </c>
      <c r="I426" t="s">
        <v>8462</v>
      </c>
      <c r="J426" t="s">
        <v>8463</v>
      </c>
      <c r="K426" t="s">
        <v>74</v>
      </c>
      <c r="L426" t="s">
        <v>74</v>
      </c>
      <c r="M426" t="s">
        <v>78</v>
      </c>
      <c r="N426" t="s">
        <v>79</v>
      </c>
      <c r="O426" t="s">
        <v>74</v>
      </c>
      <c r="P426" t="s">
        <v>74</v>
      </c>
      <c r="Q426" t="s">
        <v>74</v>
      </c>
      <c r="R426" t="s">
        <v>74</v>
      </c>
      <c r="S426" t="s">
        <v>74</v>
      </c>
      <c r="T426" t="s">
        <v>8464</v>
      </c>
      <c r="U426" t="s">
        <v>8465</v>
      </c>
      <c r="V426" t="s">
        <v>8466</v>
      </c>
      <c r="W426" t="s">
        <v>8467</v>
      </c>
      <c r="X426" t="s">
        <v>8468</v>
      </c>
      <c r="Y426" t="s">
        <v>8469</v>
      </c>
      <c r="Z426" t="s">
        <v>8470</v>
      </c>
      <c r="AA426" t="s">
        <v>8471</v>
      </c>
      <c r="AB426" t="s">
        <v>8472</v>
      </c>
      <c r="AC426" t="s">
        <v>8473</v>
      </c>
      <c r="AD426" t="s">
        <v>8474</v>
      </c>
      <c r="AE426" t="s">
        <v>8475</v>
      </c>
      <c r="AF426" t="s">
        <v>74</v>
      </c>
      <c r="AG426">
        <v>15</v>
      </c>
      <c r="AH426">
        <v>6</v>
      </c>
      <c r="AI426">
        <v>7</v>
      </c>
      <c r="AJ426">
        <v>1</v>
      </c>
      <c r="AK426">
        <v>33</v>
      </c>
      <c r="AL426" t="s">
        <v>8476</v>
      </c>
      <c r="AM426" t="s">
        <v>8477</v>
      </c>
      <c r="AN426" t="s">
        <v>8478</v>
      </c>
      <c r="AO426" t="s">
        <v>8479</v>
      </c>
      <c r="AP426" t="s">
        <v>8480</v>
      </c>
      <c r="AQ426" t="s">
        <v>74</v>
      </c>
      <c r="AR426" t="s">
        <v>8481</v>
      </c>
      <c r="AS426" t="s">
        <v>8482</v>
      </c>
      <c r="AT426" t="s">
        <v>227</v>
      </c>
      <c r="AU426">
        <v>2021</v>
      </c>
      <c r="AV426">
        <v>13</v>
      </c>
      <c r="AW426">
        <v>1</v>
      </c>
      <c r="AX426" t="s">
        <v>74</v>
      </c>
      <c r="AY426" t="s">
        <v>74</v>
      </c>
      <c r="AZ426" t="s">
        <v>74</v>
      </c>
      <c r="BA426" t="s">
        <v>74</v>
      </c>
      <c r="BB426">
        <v>98</v>
      </c>
      <c r="BC426">
        <v>104</v>
      </c>
      <c r="BD426" t="s">
        <v>74</v>
      </c>
      <c r="BE426" t="s">
        <v>8483</v>
      </c>
      <c r="BF426" t="str">
        <f>HYPERLINK("http://dx.doi.org/10.1166/sam.2021.3835","http://dx.doi.org/10.1166/sam.2021.3835")</f>
        <v>http://dx.doi.org/10.1166/sam.2021.3835</v>
      </c>
      <c r="BG426" t="s">
        <v>74</v>
      </c>
      <c r="BH426" t="s">
        <v>74</v>
      </c>
      <c r="BI426">
        <v>7</v>
      </c>
      <c r="BJ426" t="s">
        <v>8484</v>
      </c>
      <c r="BK426" t="s">
        <v>102</v>
      </c>
      <c r="BL426" t="s">
        <v>8485</v>
      </c>
      <c r="BM426" t="s">
        <v>8486</v>
      </c>
      <c r="BN426" t="s">
        <v>74</v>
      </c>
      <c r="BO426" t="s">
        <v>74</v>
      </c>
      <c r="BP426" t="s">
        <v>74</v>
      </c>
      <c r="BQ426" t="s">
        <v>74</v>
      </c>
      <c r="BR426" t="s">
        <v>106</v>
      </c>
      <c r="BS426" t="s">
        <v>8487</v>
      </c>
      <c r="BT426" t="str">
        <f>HYPERLINK("https%3A%2F%2Fwww.webofscience.com%2Fwos%2Fwoscc%2Ffull-record%2FWOS:000632848200012","View Full Record in Web of Science")</f>
        <v>View Full Record in Web of Science</v>
      </c>
    </row>
    <row r="427" spans="1:72" x14ac:dyDescent="0.2">
      <c r="A427" t="s">
        <v>72</v>
      </c>
      <c r="B427" t="s">
        <v>8488</v>
      </c>
      <c r="C427" t="s">
        <v>74</v>
      </c>
      <c r="D427" t="s">
        <v>74</v>
      </c>
      <c r="E427" t="s">
        <v>74</v>
      </c>
      <c r="F427" t="s">
        <v>8489</v>
      </c>
      <c r="G427" t="s">
        <v>74</v>
      </c>
      <c r="H427" t="s">
        <v>74</v>
      </c>
      <c r="I427" t="s">
        <v>8490</v>
      </c>
      <c r="J427" t="s">
        <v>2387</v>
      </c>
      <c r="K427" t="s">
        <v>74</v>
      </c>
      <c r="L427" t="s">
        <v>74</v>
      </c>
      <c r="M427" t="s">
        <v>78</v>
      </c>
      <c r="N427" t="s">
        <v>79</v>
      </c>
      <c r="O427" t="s">
        <v>74</v>
      </c>
      <c r="P427" t="s">
        <v>74</v>
      </c>
      <c r="Q427" t="s">
        <v>74</v>
      </c>
      <c r="R427" t="s">
        <v>74</v>
      </c>
      <c r="S427" t="s">
        <v>74</v>
      </c>
      <c r="T427" t="s">
        <v>8491</v>
      </c>
      <c r="U427" t="s">
        <v>8492</v>
      </c>
      <c r="V427" t="s">
        <v>8493</v>
      </c>
      <c r="W427" t="s">
        <v>8494</v>
      </c>
      <c r="X427" t="s">
        <v>8495</v>
      </c>
      <c r="Y427" t="s">
        <v>8496</v>
      </c>
      <c r="Z427" t="s">
        <v>8497</v>
      </c>
      <c r="AA427" t="s">
        <v>74</v>
      </c>
      <c r="AB427" t="s">
        <v>8498</v>
      </c>
      <c r="AC427" t="s">
        <v>8499</v>
      </c>
      <c r="AD427" t="s">
        <v>8500</v>
      </c>
      <c r="AE427" t="s">
        <v>8501</v>
      </c>
      <c r="AF427" t="s">
        <v>74</v>
      </c>
      <c r="AG427">
        <v>76</v>
      </c>
      <c r="AH427">
        <v>112</v>
      </c>
      <c r="AI427">
        <v>122</v>
      </c>
      <c r="AJ427">
        <v>15</v>
      </c>
      <c r="AK427">
        <v>153</v>
      </c>
      <c r="AL427" t="s">
        <v>176</v>
      </c>
      <c r="AM427" t="s">
        <v>1610</v>
      </c>
      <c r="AN427" t="s">
        <v>1611</v>
      </c>
      <c r="AO427" t="s">
        <v>2400</v>
      </c>
      <c r="AP427" t="s">
        <v>2401</v>
      </c>
      <c r="AQ427" t="s">
        <v>74</v>
      </c>
      <c r="AR427" t="s">
        <v>2387</v>
      </c>
      <c r="AS427" t="s">
        <v>2402</v>
      </c>
      <c r="AT427" t="s">
        <v>912</v>
      </c>
      <c r="AU427">
        <v>2021</v>
      </c>
      <c r="AV427">
        <v>101</v>
      </c>
      <c r="AW427" t="s">
        <v>74</v>
      </c>
      <c r="AX427" t="s">
        <v>74</v>
      </c>
      <c r="AY427" t="s">
        <v>74</v>
      </c>
      <c r="AZ427" t="s">
        <v>74</v>
      </c>
      <c r="BA427" t="s">
        <v>74</v>
      </c>
      <c r="BB427" t="s">
        <v>74</v>
      </c>
      <c r="BC427" t="s">
        <v>74</v>
      </c>
      <c r="BD427">
        <v>102095</v>
      </c>
      <c r="BE427" t="s">
        <v>8502</v>
      </c>
      <c r="BF427" t="str">
        <f>HYPERLINK("http://dx.doi.org/10.1016/j.foodpol.2021.102095","http://dx.doi.org/10.1016/j.foodpol.2021.102095")</f>
        <v>http://dx.doi.org/10.1016/j.foodpol.2021.102095</v>
      </c>
      <c r="BG427" t="s">
        <v>74</v>
      </c>
      <c r="BH427" t="s">
        <v>8503</v>
      </c>
      <c r="BI427">
        <v>14</v>
      </c>
      <c r="BJ427" t="s">
        <v>2405</v>
      </c>
      <c r="BK427" t="s">
        <v>186</v>
      </c>
      <c r="BL427" t="s">
        <v>2406</v>
      </c>
      <c r="BM427" t="s">
        <v>8504</v>
      </c>
      <c r="BN427" t="s">
        <v>74</v>
      </c>
      <c r="BO427" t="s">
        <v>2296</v>
      </c>
      <c r="BP427" t="s">
        <v>74</v>
      </c>
      <c r="BQ427" t="s">
        <v>74</v>
      </c>
      <c r="BR427" t="s">
        <v>106</v>
      </c>
      <c r="BS427" t="s">
        <v>8505</v>
      </c>
      <c r="BT427" t="str">
        <f>HYPERLINK("https%3A%2F%2Fwww.webofscience.com%2Fwos%2Fwoscc%2Ffull-record%2FWOS:000670320200004","View Full Record in Web of Science")</f>
        <v>View Full Record in Web of Science</v>
      </c>
    </row>
    <row r="428" spans="1:72" x14ac:dyDescent="0.2">
      <c r="A428" t="s">
        <v>72</v>
      </c>
      <c r="B428" t="s">
        <v>8506</v>
      </c>
      <c r="C428" t="s">
        <v>74</v>
      </c>
      <c r="D428" t="s">
        <v>74</v>
      </c>
      <c r="E428" t="s">
        <v>74</v>
      </c>
      <c r="F428" t="s">
        <v>8507</v>
      </c>
      <c r="G428" t="s">
        <v>74</v>
      </c>
      <c r="H428" t="s">
        <v>74</v>
      </c>
      <c r="I428" t="s">
        <v>8508</v>
      </c>
      <c r="J428" t="s">
        <v>3413</v>
      </c>
      <c r="K428" t="s">
        <v>74</v>
      </c>
      <c r="L428" t="s">
        <v>74</v>
      </c>
      <c r="M428" t="s">
        <v>78</v>
      </c>
      <c r="N428" t="s">
        <v>79</v>
      </c>
      <c r="O428" t="s">
        <v>74</v>
      </c>
      <c r="P428" t="s">
        <v>74</v>
      </c>
      <c r="Q428" t="s">
        <v>74</v>
      </c>
      <c r="R428" t="s">
        <v>74</v>
      </c>
      <c r="S428" t="s">
        <v>74</v>
      </c>
      <c r="T428" t="s">
        <v>8509</v>
      </c>
      <c r="U428" t="s">
        <v>8510</v>
      </c>
      <c r="V428" t="s">
        <v>8511</v>
      </c>
      <c r="W428" t="s">
        <v>8512</v>
      </c>
      <c r="X428" t="s">
        <v>8513</v>
      </c>
      <c r="Y428" t="s">
        <v>8514</v>
      </c>
      <c r="Z428" t="s">
        <v>8515</v>
      </c>
      <c r="AA428" t="s">
        <v>8516</v>
      </c>
      <c r="AB428" t="s">
        <v>74</v>
      </c>
      <c r="AC428" t="s">
        <v>8517</v>
      </c>
      <c r="AD428" t="s">
        <v>8518</v>
      </c>
      <c r="AE428" t="s">
        <v>8519</v>
      </c>
      <c r="AF428" t="s">
        <v>74</v>
      </c>
      <c r="AG428">
        <v>63</v>
      </c>
      <c r="AH428">
        <v>6</v>
      </c>
      <c r="AI428">
        <v>8</v>
      </c>
      <c r="AJ428">
        <v>17</v>
      </c>
      <c r="AK428">
        <v>91</v>
      </c>
      <c r="AL428" t="s">
        <v>123</v>
      </c>
      <c r="AM428" t="s">
        <v>124</v>
      </c>
      <c r="AN428" t="s">
        <v>125</v>
      </c>
      <c r="AO428" t="s">
        <v>3425</v>
      </c>
      <c r="AP428" t="s">
        <v>3426</v>
      </c>
      <c r="AQ428" t="s">
        <v>74</v>
      </c>
      <c r="AR428" t="s">
        <v>3427</v>
      </c>
      <c r="AS428" t="s">
        <v>3428</v>
      </c>
      <c r="AT428" t="s">
        <v>1752</v>
      </c>
      <c r="AU428">
        <v>2024</v>
      </c>
      <c r="AV428">
        <v>165</v>
      </c>
      <c r="AW428" t="s">
        <v>74</v>
      </c>
      <c r="AX428" t="s">
        <v>74</v>
      </c>
      <c r="AY428" t="s">
        <v>74</v>
      </c>
      <c r="AZ428" t="s">
        <v>74</v>
      </c>
      <c r="BA428" t="s">
        <v>74</v>
      </c>
      <c r="BB428" t="s">
        <v>74</v>
      </c>
      <c r="BC428" t="s">
        <v>74</v>
      </c>
      <c r="BD428">
        <v>112216</v>
      </c>
      <c r="BE428" t="s">
        <v>8520</v>
      </c>
      <c r="BF428" t="str">
        <f>HYPERLINK("http://dx.doi.org/10.1016/j.ecolind.2024.112216","http://dx.doi.org/10.1016/j.ecolind.2024.112216")</f>
        <v>http://dx.doi.org/10.1016/j.ecolind.2024.112216</v>
      </c>
      <c r="BG428" t="s">
        <v>74</v>
      </c>
      <c r="BH428" t="s">
        <v>4236</v>
      </c>
      <c r="BI428">
        <v>13</v>
      </c>
      <c r="BJ428" t="s">
        <v>3430</v>
      </c>
      <c r="BK428" t="s">
        <v>102</v>
      </c>
      <c r="BL428" t="s">
        <v>756</v>
      </c>
      <c r="BM428" t="s">
        <v>8521</v>
      </c>
      <c r="BN428" t="s">
        <v>74</v>
      </c>
      <c r="BO428" t="s">
        <v>231</v>
      </c>
      <c r="BP428" t="s">
        <v>74</v>
      </c>
      <c r="BQ428" t="s">
        <v>74</v>
      </c>
      <c r="BR428" t="s">
        <v>106</v>
      </c>
      <c r="BS428" t="s">
        <v>8522</v>
      </c>
      <c r="BT428" t="str">
        <f>HYPERLINK("https%3A%2F%2Fwww.webofscience.com%2Fwos%2Fwoscc%2Ffull-record%2FWOS:001263825900001","View Full Record in Web of Science")</f>
        <v>View Full Record in Web of Science</v>
      </c>
    </row>
    <row r="429" spans="1:72" x14ac:dyDescent="0.2">
      <c r="A429" t="s">
        <v>72</v>
      </c>
      <c r="B429" t="s">
        <v>8523</v>
      </c>
      <c r="C429" t="s">
        <v>74</v>
      </c>
      <c r="D429" t="s">
        <v>74</v>
      </c>
      <c r="E429" t="s">
        <v>74</v>
      </c>
      <c r="F429" t="s">
        <v>8524</v>
      </c>
      <c r="G429" t="s">
        <v>74</v>
      </c>
      <c r="H429" t="s">
        <v>74</v>
      </c>
      <c r="I429" t="s">
        <v>8525</v>
      </c>
      <c r="J429" t="s">
        <v>3413</v>
      </c>
      <c r="K429" t="s">
        <v>74</v>
      </c>
      <c r="L429" t="s">
        <v>74</v>
      </c>
      <c r="M429" t="s">
        <v>78</v>
      </c>
      <c r="N429" t="s">
        <v>79</v>
      </c>
      <c r="O429" t="s">
        <v>74</v>
      </c>
      <c r="P429" t="s">
        <v>74</v>
      </c>
      <c r="Q429" t="s">
        <v>74</v>
      </c>
      <c r="R429" t="s">
        <v>74</v>
      </c>
      <c r="S429" t="s">
        <v>74</v>
      </c>
      <c r="T429" t="s">
        <v>8526</v>
      </c>
      <c r="U429" t="s">
        <v>8527</v>
      </c>
      <c r="V429" t="s">
        <v>8528</v>
      </c>
      <c r="W429" t="s">
        <v>8529</v>
      </c>
      <c r="X429" t="s">
        <v>8530</v>
      </c>
      <c r="Y429" t="s">
        <v>8531</v>
      </c>
      <c r="Z429" t="s">
        <v>8532</v>
      </c>
      <c r="AA429" t="s">
        <v>8533</v>
      </c>
      <c r="AB429" t="s">
        <v>8534</v>
      </c>
      <c r="AC429" t="s">
        <v>8535</v>
      </c>
      <c r="AD429" t="s">
        <v>8536</v>
      </c>
      <c r="AE429" t="s">
        <v>8537</v>
      </c>
      <c r="AF429" t="s">
        <v>74</v>
      </c>
      <c r="AG429">
        <v>63</v>
      </c>
      <c r="AH429">
        <v>58</v>
      </c>
      <c r="AI429">
        <v>61</v>
      </c>
      <c r="AJ429">
        <v>83</v>
      </c>
      <c r="AK429">
        <v>206</v>
      </c>
      <c r="AL429" t="s">
        <v>123</v>
      </c>
      <c r="AM429" t="s">
        <v>124</v>
      </c>
      <c r="AN429" t="s">
        <v>125</v>
      </c>
      <c r="AO429" t="s">
        <v>3425</v>
      </c>
      <c r="AP429" t="s">
        <v>3426</v>
      </c>
      <c r="AQ429" t="s">
        <v>74</v>
      </c>
      <c r="AR429" t="s">
        <v>3427</v>
      </c>
      <c r="AS429" t="s">
        <v>3428</v>
      </c>
      <c r="AT429" t="s">
        <v>99</v>
      </c>
      <c r="AU429">
        <v>2024</v>
      </c>
      <c r="AV429">
        <v>160</v>
      </c>
      <c r="AW429" t="s">
        <v>74</v>
      </c>
      <c r="AX429" t="s">
        <v>74</v>
      </c>
      <c r="AY429" t="s">
        <v>74</v>
      </c>
      <c r="AZ429" t="s">
        <v>74</v>
      </c>
      <c r="BA429" t="s">
        <v>74</v>
      </c>
      <c r="BB429" t="s">
        <v>74</v>
      </c>
      <c r="BC429" t="s">
        <v>74</v>
      </c>
      <c r="BD429">
        <v>111922</v>
      </c>
      <c r="BE429" t="s">
        <v>8538</v>
      </c>
      <c r="BF429" t="str">
        <f>HYPERLINK("http://dx.doi.org/10.1016/j.ecolind.2024.111922","http://dx.doi.org/10.1016/j.ecolind.2024.111922")</f>
        <v>http://dx.doi.org/10.1016/j.ecolind.2024.111922</v>
      </c>
      <c r="BG429" t="s">
        <v>74</v>
      </c>
      <c r="BH429" t="s">
        <v>5349</v>
      </c>
      <c r="BI429">
        <v>18</v>
      </c>
      <c r="BJ429" t="s">
        <v>3430</v>
      </c>
      <c r="BK429" t="s">
        <v>102</v>
      </c>
      <c r="BL429" t="s">
        <v>756</v>
      </c>
      <c r="BM429" t="s">
        <v>8539</v>
      </c>
      <c r="BN429" t="s">
        <v>74</v>
      </c>
      <c r="BO429" t="s">
        <v>231</v>
      </c>
      <c r="BP429" t="s">
        <v>4815</v>
      </c>
      <c r="BQ429" t="s">
        <v>4816</v>
      </c>
      <c r="BR429" t="s">
        <v>106</v>
      </c>
      <c r="BS429" t="s">
        <v>8540</v>
      </c>
      <c r="BT429" t="str">
        <f>HYPERLINK("https%3A%2F%2Fwww.webofscience.com%2Fwos%2Fwoscc%2Ffull-record%2FWOS:001218612700001","View Full Record in Web of Science")</f>
        <v>View Full Record in Web of Science</v>
      </c>
    </row>
    <row r="430" spans="1:72" x14ac:dyDescent="0.2">
      <c r="A430" t="s">
        <v>72</v>
      </c>
      <c r="B430" t="s">
        <v>8541</v>
      </c>
      <c r="C430" t="s">
        <v>74</v>
      </c>
      <c r="D430" t="s">
        <v>74</v>
      </c>
      <c r="E430" t="s">
        <v>74</v>
      </c>
      <c r="F430" t="s">
        <v>8542</v>
      </c>
      <c r="G430" t="s">
        <v>74</v>
      </c>
      <c r="H430" t="s">
        <v>74</v>
      </c>
      <c r="I430" t="s">
        <v>8543</v>
      </c>
      <c r="J430" t="s">
        <v>8544</v>
      </c>
      <c r="K430" t="s">
        <v>74</v>
      </c>
      <c r="L430" t="s">
        <v>74</v>
      </c>
      <c r="M430" t="s">
        <v>78</v>
      </c>
      <c r="N430" t="s">
        <v>79</v>
      </c>
      <c r="O430" t="s">
        <v>74</v>
      </c>
      <c r="P430" t="s">
        <v>74</v>
      </c>
      <c r="Q430" t="s">
        <v>74</v>
      </c>
      <c r="R430" t="s">
        <v>74</v>
      </c>
      <c r="S430" t="s">
        <v>74</v>
      </c>
      <c r="T430" t="s">
        <v>8545</v>
      </c>
      <c r="U430" t="s">
        <v>74</v>
      </c>
      <c r="V430" t="s">
        <v>8546</v>
      </c>
      <c r="W430" t="s">
        <v>8547</v>
      </c>
      <c r="X430" t="s">
        <v>74</v>
      </c>
      <c r="Y430" t="s">
        <v>8548</v>
      </c>
      <c r="Z430" t="s">
        <v>8549</v>
      </c>
      <c r="AA430" t="s">
        <v>74</v>
      </c>
      <c r="AB430" t="s">
        <v>74</v>
      </c>
      <c r="AC430" t="s">
        <v>74</v>
      </c>
      <c r="AD430" t="s">
        <v>74</v>
      </c>
      <c r="AE430" t="s">
        <v>74</v>
      </c>
      <c r="AF430" t="s">
        <v>74</v>
      </c>
      <c r="AG430">
        <v>4</v>
      </c>
      <c r="AH430">
        <v>0</v>
      </c>
      <c r="AI430">
        <v>0</v>
      </c>
      <c r="AJ430">
        <v>0</v>
      </c>
      <c r="AK430">
        <v>1</v>
      </c>
      <c r="AL430" t="s">
        <v>8550</v>
      </c>
      <c r="AM430" t="s">
        <v>8551</v>
      </c>
      <c r="AN430" t="s">
        <v>8552</v>
      </c>
      <c r="AO430" t="s">
        <v>8553</v>
      </c>
      <c r="AP430" t="s">
        <v>74</v>
      </c>
      <c r="AQ430" t="s">
        <v>74</v>
      </c>
      <c r="AR430" t="s">
        <v>8554</v>
      </c>
      <c r="AS430" t="s">
        <v>8555</v>
      </c>
      <c r="AT430" t="s">
        <v>805</v>
      </c>
      <c r="AU430">
        <v>2024</v>
      </c>
      <c r="AV430">
        <v>149</v>
      </c>
      <c r="AW430">
        <v>11</v>
      </c>
      <c r="AX430" t="s">
        <v>74</v>
      </c>
      <c r="AY430" t="s">
        <v>74</v>
      </c>
      <c r="AZ430" t="s">
        <v>74</v>
      </c>
      <c r="BA430" t="s">
        <v>74</v>
      </c>
      <c r="BB430" t="s">
        <v>74</v>
      </c>
      <c r="BC430" t="s">
        <v>74</v>
      </c>
      <c r="BD430" t="s">
        <v>74</v>
      </c>
      <c r="BE430" t="s">
        <v>8556</v>
      </c>
      <c r="BF430" t="str">
        <f>HYPERLINK("http://dx.doi.org/10.36961/si32433","http://dx.doi.org/10.36961/si32433")</f>
        <v>http://dx.doi.org/10.36961/si32433</v>
      </c>
      <c r="BG430" t="s">
        <v>74</v>
      </c>
      <c r="BH430" t="s">
        <v>74</v>
      </c>
      <c r="BI430">
        <v>80</v>
      </c>
      <c r="BJ430" t="s">
        <v>864</v>
      </c>
      <c r="BK430" t="s">
        <v>102</v>
      </c>
      <c r="BL430" t="s">
        <v>864</v>
      </c>
      <c r="BM430" t="s">
        <v>8557</v>
      </c>
      <c r="BN430" t="s">
        <v>74</v>
      </c>
      <c r="BO430" t="s">
        <v>74</v>
      </c>
      <c r="BP430" t="s">
        <v>74</v>
      </c>
      <c r="BQ430" t="s">
        <v>74</v>
      </c>
      <c r="BR430" t="s">
        <v>106</v>
      </c>
      <c r="BS430" t="s">
        <v>8558</v>
      </c>
      <c r="BT430" t="str">
        <f>HYPERLINK("https%3A%2F%2Fwww.webofscience.com%2Fwos%2Fwoscc%2Ffull-record%2FWOS:001350747400082","View Full Record in Web of Science")</f>
        <v>View Full Record in Web of Science</v>
      </c>
    </row>
    <row r="431" spans="1:72" x14ac:dyDescent="0.2">
      <c r="A431" t="s">
        <v>72</v>
      </c>
      <c r="B431" t="s">
        <v>8559</v>
      </c>
      <c r="C431" t="s">
        <v>74</v>
      </c>
      <c r="D431" t="s">
        <v>74</v>
      </c>
      <c r="E431" t="s">
        <v>74</v>
      </c>
      <c r="F431" t="s">
        <v>8560</v>
      </c>
      <c r="G431" t="s">
        <v>74</v>
      </c>
      <c r="H431" t="s">
        <v>74</v>
      </c>
      <c r="I431" t="s">
        <v>8561</v>
      </c>
      <c r="J431" t="s">
        <v>468</v>
      </c>
      <c r="K431" t="s">
        <v>74</v>
      </c>
      <c r="L431" t="s">
        <v>74</v>
      </c>
      <c r="M431" t="s">
        <v>78</v>
      </c>
      <c r="N431" t="s">
        <v>79</v>
      </c>
      <c r="O431" t="s">
        <v>74</v>
      </c>
      <c r="P431" t="s">
        <v>74</v>
      </c>
      <c r="Q431" t="s">
        <v>74</v>
      </c>
      <c r="R431" t="s">
        <v>74</v>
      </c>
      <c r="S431" t="s">
        <v>74</v>
      </c>
      <c r="T431" t="s">
        <v>8562</v>
      </c>
      <c r="U431" t="s">
        <v>8563</v>
      </c>
      <c r="V431" t="s">
        <v>8564</v>
      </c>
      <c r="W431" t="s">
        <v>8565</v>
      </c>
      <c r="X431" t="s">
        <v>8566</v>
      </c>
      <c r="Y431" t="s">
        <v>8567</v>
      </c>
      <c r="Z431" t="s">
        <v>8568</v>
      </c>
      <c r="AA431" t="s">
        <v>8569</v>
      </c>
      <c r="AB431" t="s">
        <v>74</v>
      </c>
      <c r="AC431" t="s">
        <v>8570</v>
      </c>
      <c r="AD431" t="s">
        <v>8571</v>
      </c>
      <c r="AE431" t="s">
        <v>8572</v>
      </c>
      <c r="AF431" t="s">
        <v>74</v>
      </c>
      <c r="AG431">
        <v>42</v>
      </c>
      <c r="AH431">
        <v>3</v>
      </c>
      <c r="AI431">
        <v>3</v>
      </c>
      <c r="AJ431">
        <v>3</v>
      </c>
      <c r="AK431">
        <v>64</v>
      </c>
      <c r="AL431" t="s">
        <v>222</v>
      </c>
      <c r="AM431" t="s">
        <v>223</v>
      </c>
      <c r="AN431" t="s">
        <v>224</v>
      </c>
      <c r="AO431" t="s">
        <v>74</v>
      </c>
      <c r="AP431" t="s">
        <v>479</v>
      </c>
      <c r="AQ431" t="s">
        <v>74</v>
      </c>
      <c r="AR431" t="s">
        <v>480</v>
      </c>
      <c r="AS431" t="s">
        <v>481</v>
      </c>
      <c r="AT431" t="s">
        <v>459</v>
      </c>
      <c r="AU431">
        <v>2023</v>
      </c>
      <c r="AV431">
        <v>15</v>
      </c>
      <c r="AW431">
        <v>4</v>
      </c>
      <c r="AX431" t="s">
        <v>74</v>
      </c>
      <c r="AY431" t="s">
        <v>74</v>
      </c>
      <c r="AZ431" t="s">
        <v>74</v>
      </c>
      <c r="BA431" t="s">
        <v>74</v>
      </c>
      <c r="BB431" t="s">
        <v>74</v>
      </c>
      <c r="BC431" t="s">
        <v>74</v>
      </c>
      <c r="BD431">
        <v>3530</v>
      </c>
      <c r="BE431" t="s">
        <v>8573</v>
      </c>
      <c r="BF431" t="str">
        <f>HYPERLINK("http://dx.doi.org/10.3390/su15043530","http://dx.doi.org/10.3390/su15043530")</f>
        <v>http://dx.doi.org/10.3390/su15043530</v>
      </c>
      <c r="BG431" t="s">
        <v>74</v>
      </c>
      <c r="BH431" t="s">
        <v>74</v>
      </c>
      <c r="BI431">
        <v>15</v>
      </c>
      <c r="BJ431" t="s">
        <v>484</v>
      </c>
      <c r="BK431" t="s">
        <v>186</v>
      </c>
      <c r="BL431" t="s">
        <v>485</v>
      </c>
      <c r="BM431" t="s">
        <v>8574</v>
      </c>
      <c r="BN431" t="s">
        <v>74</v>
      </c>
      <c r="BO431" t="s">
        <v>161</v>
      </c>
      <c r="BP431" t="s">
        <v>74</v>
      </c>
      <c r="BQ431" t="s">
        <v>74</v>
      </c>
      <c r="BR431" t="s">
        <v>106</v>
      </c>
      <c r="BS431" t="s">
        <v>8575</v>
      </c>
      <c r="BT431" t="str">
        <f>HYPERLINK("https%3A%2F%2Fwww.webofscience.com%2Fwos%2Fwoscc%2Ffull-record%2FWOS:000941450700001","View Full Record in Web of Science")</f>
        <v>View Full Record in Web of Science</v>
      </c>
    </row>
    <row r="432" spans="1:72" x14ac:dyDescent="0.2">
      <c r="A432" t="s">
        <v>72</v>
      </c>
      <c r="B432" t="s">
        <v>8576</v>
      </c>
      <c r="C432" t="s">
        <v>74</v>
      </c>
      <c r="D432" t="s">
        <v>74</v>
      </c>
      <c r="E432" t="s">
        <v>74</v>
      </c>
      <c r="F432" t="s">
        <v>8577</v>
      </c>
      <c r="G432" t="s">
        <v>74</v>
      </c>
      <c r="H432" t="s">
        <v>74</v>
      </c>
      <c r="I432" t="s">
        <v>8578</v>
      </c>
      <c r="J432" t="s">
        <v>995</v>
      </c>
      <c r="K432" t="s">
        <v>74</v>
      </c>
      <c r="L432" t="s">
        <v>74</v>
      </c>
      <c r="M432" t="s">
        <v>78</v>
      </c>
      <c r="N432" t="s">
        <v>79</v>
      </c>
      <c r="O432" t="s">
        <v>74</v>
      </c>
      <c r="P432" t="s">
        <v>74</v>
      </c>
      <c r="Q432" t="s">
        <v>74</v>
      </c>
      <c r="R432" t="s">
        <v>74</v>
      </c>
      <c r="S432" t="s">
        <v>74</v>
      </c>
      <c r="T432" t="s">
        <v>8579</v>
      </c>
      <c r="U432" t="s">
        <v>8580</v>
      </c>
      <c r="V432" t="s">
        <v>8581</v>
      </c>
      <c r="W432" t="s">
        <v>8582</v>
      </c>
      <c r="X432" t="s">
        <v>8583</v>
      </c>
      <c r="Y432" t="s">
        <v>8584</v>
      </c>
      <c r="Z432" t="s">
        <v>8585</v>
      </c>
      <c r="AA432" t="s">
        <v>8586</v>
      </c>
      <c r="AB432" t="s">
        <v>8587</v>
      </c>
      <c r="AC432" t="s">
        <v>8588</v>
      </c>
      <c r="AD432" t="s">
        <v>8589</v>
      </c>
      <c r="AE432" t="s">
        <v>8590</v>
      </c>
      <c r="AF432" t="s">
        <v>74</v>
      </c>
      <c r="AG432">
        <v>50</v>
      </c>
      <c r="AH432">
        <v>13</v>
      </c>
      <c r="AI432">
        <v>16</v>
      </c>
      <c r="AJ432">
        <v>5</v>
      </c>
      <c r="AK432">
        <v>106</v>
      </c>
      <c r="AL432" t="s">
        <v>123</v>
      </c>
      <c r="AM432" t="s">
        <v>124</v>
      </c>
      <c r="AN432" t="s">
        <v>125</v>
      </c>
      <c r="AO432" t="s">
        <v>1008</v>
      </c>
      <c r="AP432" t="s">
        <v>1009</v>
      </c>
      <c r="AQ432" t="s">
        <v>74</v>
      </c>
      <c r="AR432" t="s">
        <v>1010</v>
      </c>
      <c r="AS432" t="s">
        <v>1011</v>
      </c>
      <c r="AT432" t="s">
        <v>3608</v>
      </c>
      <c r="AU432">
        <v>2020</v>
      </c>
      <c r="AV432">
        <v>709</v>
      </c>
      <c r="AW432" t="s">
        <v>74</v>
      </c>
      <c r="AX432" t="s">
        <v>74</v>
      </c>
      <c r="AY432" t="s">
        <v>74</v>
      </c>
      <c r="AZ432" t="s">
        <v>74</v>
      </c>
      <c r="BA432" t="s">
        <v>74</v>
      </c>
      <c r="BB432" t="s">
        <v>74</v>
      </c>
      <c r="BC432" t="s">
        <v>74</v>
      </c>
      <c r="BD432">
        <v>134488</v>
      </c>
      <c r="BE432" t="s">
        <v>8591</v>
      </c>
      <c r="BF432" t="str">
        <f>HYPERLINK("http://dx.doi.org/10.1016/j.scitotenv.2019.134488","http://dx.doi.org/10.1016/j.scitotenv.2019.134488")</f>
        <v>http://dx.doi.org/10.1016/j.scitotenv.2019.134488</v>
      </c>
      <c r="BG432" t="s">
        <v>74</v>
      </c>
      <c r="BH432" t="s">
        <v>74</v>
      </c>
      <c r="BI432">
        <v>11</v>
      </c>
      <c r="BJ432" t="s">
        <v>567</v>
      </c>
      <c r="BK432" t="s">
        <v>102</v>
      </c>
      <c r="BL432" t="s">
        <v>568</v>
      </c>
      <c r="BM432" t="s">
        <v>8592</v>
      </c>
      <c r="BN432">
        <v>31884291</v>
      </c>
      <c r="BO432" t="s">
        <v>3889</v>
      </c>
      <c r="BP432" t="s">
        <v>74</v>
      </c>
      <c r="BQ432" t="s">
        <v>74</v>
      </c>
      <c r="BR432" t="s">
        <v>106</v>
      </c>
      <c r="BS432" t="s">
        <v>8593</v>
      </c>
      <c r="BT432" t="str">
        <f>HYPERLINK("https%3A%2F%2Fwww.webofscience.com%2Fwos%2Fwoscc%2Ffull-record%2FWOS:000512281700002","View Full Record in Web of Science")</f>
        <v>View Full Record in Web of Science</v>
      </c>
    </row>
    <row r="433" spans="1:72" x14ac:dyDescent="0.2">
      <c r="A433" t="s">
        <v>72</v>
      </c>
      <c r="B433" t="s">
        <v>8594</v>
      </c>
      <c r="C433" t="s">
        <v>74</v>
      </c>
      <c r="D433" t="s">
        <v>74</v>
      </c>
      <c r="E433" t="s">
        <v>74</v>
      </c>
      <c r="F433" t="s">
        <v>8595</v>
      </c>
      <c r="G433" t="s">
        <v>74</v>
      </c>
      <c r="H433" t="s">
        <v>74</v>
      </c>
      <c r="I433" t="s">
        <v>8596</v>
      </c>
      <c r="J433" t="s">
        <v>995</v>
      </c>
      <c r="K433" t="s">
        <v>74</v>
      </c>
      <c r="L433" t="s">
        <v>74</v>
      </c>
      <c r="M433" t="s">
        <v>78</v>
      </c>
      <c r="N433" t="s">
        <v>79</v>
      </c>
      <c r="O433" t="s">
        <v>74</v>
      </c>
      <c r="P433" t="s">
        <v>74</v>
      </c>
      <c r="Q433" t="s">
        <v>74</v>
      </c>
      <c r="R433" t="s">
        <v>74</v>
      </c>
      <c r="S433" t="s">
        <v>74</v>
      </c>
      <c r="T433" t="s">
        <v>8597</v>
      </c>
      <c r="U433" t="s">
        <v>8598</v>
      </c>
      <c r="V433" t="s">
        <v>8599</v>
      </c>
      <c r="W433" t="s">
        <v>8600</v>
      </c>
      <c r="X433" t="s">
        <v>8601</v>
      </c>
      <c r="Y433" t="s">
        <v>8602</v>
      </c>
      <c r="Z433" t="s">
        <v>74</v>
      </c>
      <c r="AA433" t="s">
        <v>8603</v>
      </c>
      <c r="AB433" t="s">
        <v>8604</v>
      </c>
      <c r="AC433" t="s">
        <v>8605</v>
      </c>
      <c r="AD433" t="s">
        <v>8605</v>
      </c>
      <c r="AE433" t="s">
        <v>8606</v>
      </c>
      <c r="AF433" t="s">
        <v>74</v>
      </c>
      <c r="AG433">
        <v>71</v>
      </c>
      <c r="AH433">
        <v>10</v>
      </c>
      <c r="AI433">
        <v>12</v>
      </c>
      <c r="AJ433">
        <v>0</v>
      </c>
      <c r="AK433">
        <v>78</v>
      </c>
      <c r="AL433" t="s">
        <v>123</v>
      </c>
      <c r="AM433" t="s">
        <v>124</v>
      </c>
      <c r="AN433" t="s">
        <v>125</v>
      </c>
      <c r="AO433" t="s">
        <v>1008</v>
      </c>
      <c r="AP433" t="s">
        <v>1009</v>
      </c>
      <c r="AQ433" t="s">
        <v>74</v>
      </c>
      <c r="AR433" t="s">
        <v>1010</v>
      </c>
      <c r="AS433" t="s">
        <v>1011</v>
      </c>
      <c r="AT433" t="s">
        <v>411</v>
      </c>
      <c r="AU433">
        <v>2015</v>
      </c>
      <c r="AV433">
        <v>527</v>
      </c>
      <c r="AW433" t="s">
        <v>74</v>
      </c>
      <c r="AX433" t="s">
        <v>74</v>
      </c>
      <c r="AY433" t="s">
        <v>74</v>
      </c>
      <c r="AZ433" t="s">
        <v>74</v>
      </c>
      <c r="BA433" t="s">
        <v>74</v>
      </c>
      <c r="BB433">
        <v>455</v>
      </c>
      <c r="BC433">
        <v>464</v>
      </c>
      <c r="BD433" t="s">
        <v>74</v>
      </c>
      <c r="BE433" t="s">
        <v>8607</v>
      </c>
      <c r="BF433" t="str">
        <f>HYPERLINK("http://dx.doi.org/10.1016/j.scitotenv.2015.03.129","http://dx.doi.org/10.1016/j.scitotenv.2015.03.129")</f>
        <v>http://dx.doi.org/10.1016/j.scitotenv.2015.03.129</v>
      </c>
      <c r="BG433" t="s">
        <v>74</v>
      </c>
      <c r="BH433" t="s">
        <v>74</v>
      </c>
      <c r="BI433">
        <v>10</v>
      </c>
      <c r="BJ433" t="s">
        <v>567</v>
      </c>
      <c r="BK433" t="s">
        <v>102</v>
      </c>
      <c r="BL433" t="s">
        <v>568</v>
      </c>
      <c r="BM433" t="s">
        <v>8608</v>
      </c>
      <c r="BN433">
        <v>25981943</v>
      </c>
      <c r="BO433" t="s">
        <v>74</v>
      </c>
      <c r="BP433" t="s">
        <v>74</v>
      </c>
      <c r="BQ433" t="s">
        <v>74</v>
      </c>
      <c r="BR433" t="s">
        <v>106</v>
      </c>
      <c r="BS433" t="s">
        <v>8609</v>
      </c>
      <c r="BT433" t="str">
        <f>HYPERLINK("https%3A%2F%2Fwww.webofscience.com%2Fwos%2Fwoscc%2Ffull-record%2FWOS:000356225300049","View Full Record in Web of Science")</f>
        <v>View Full Record in Web of Science</v>
      </c>
    </row>
    <row r="434" spans="1:72" x14ac:dyDescent="0.2">
      <c r="A434" t="s">
        <v>72</v>
      </c>
      <c r="B434" t="s">
        <v>8610</v>
      </c>
      <c r="C434" t="s">
        <v>74</v>
      </c>
      <c r="D434" t="s">
        <v>74</v>
      </c>
      <c r="E434" t="s">
        <v>74</v>
      </c>
      <c r="F434" t="s">
        <v>8611</v>
      </c>
      <c r="G434" t="s">
        <v>74</v>
      </c>
      <c r="H434" t="s">
        <v>74</v>
      </c>
      <c r="I434" t="s">
        <v>8612</v>
      </c>
      <c r="J434" t="s">
        <v>645</v>
      </c>
      <c r="K434" t="s">
        <v>74</v>
      </c>
      <c r="L434" t="s">
        <v>74</v>
      </c>
      <c r="M434" t="s">
        <v>78</v>
      </c>
      <c r="N434" t="s">
        <v>79</v>
      </c>
      <c r="O434" t="s">
        <v>74</v>
      </c>
      <c r="P434" t="s">
        <v>74</v>
      </c>
      <c r="Q434" t="s">
        <v>74</v>
      </c>
      <c r="R434" t="s">
        <v>74</v>
      </c>
      <c r="S434" t="s">
        <v>74</v>
      </c>
      <c r="T434" t="s">
        <v>8613</v>
      </c>
      <c r="U434" t="s">
        <v>8614</v>
      </c>
      <c r="V434" t="s">
        <v>8615</v>
      </c>
      <c r="W434" t="s">
        <v>8616</v>
      </c>
      <c r="X434" t="s">
        <v>8617</v>
      </c>
      <c r="Y434" t="s">
        <v>8618</v>
      </c>
      <c r="Z434" t="s">
        <v>8619</v>
      </c>
      <c r="AA434" t="s">
        <v>74</v>
      </c>
      <c r="AB434" t="s">
        <v>74</v>
      </c>
      <c r="AC434" t="s">
        <v>74</v>
      </c>
      <c r="AD434" t="s">
        <v>74</v>
      </c>
      <c r="AE434" t="s">
        <v>8620</v>
      </c>
      <c r="AF434" t="s">
        <v>74</v>
      </c>
      <c r="AG434">
        <v>43</v>
      </c>
      <c r="AH434">
        <v>0</v>
      </c>
      <c r="AI434">
        <v>0</v>
      </c>
      <c r="AJ434">
        <v>3</v>
      </c>
      <c r="AK434">
        <v>4</v>
      </c>
      <c r="AL434" t="s">
        <v>655</v>
      </c>
      <c r="AM434" t="s">
        <v>405</v>
      </c>
      <c r="AN434" t="s">
        <v>656</v>
      </c>
      <c r="AO434" t="s">
        <v>74</v>
      </c>
      <c r="AP434" t="s">
        <v>657</v>
      </c>
      <c r="AQ434" t="s">
        <v>74</v>
      </c>
      <c r="AR434" t="s">
        <v>658</v>
      </c>
      <c r="AS434" t="s">
        <v>659</v>
      </c>
      <c r="AT434" t="s">
        <v>8621</v>
      </c>
      <c r="AU434">
        <v>2025</v>
      </c>
      <c r="AV434">
        <v>13</v>
      </c>
      <c r="AW434" t="s">
        <v>74</v>
      </c>
      <c r="AX434" t="s">
        <v>74</v>
      </c>
      <c r="AY434" t="s">
        <v>74</v>
      </c>
      <c r="AZ434" t="s">
        <v>74</v>
      </c>
      <c r="BA434" t="s">
        <v>74</v>
      </c>
      <c r="BB434" t="s">
        <v>74</v>
      </c>
      <c r="BC434" t="s">
        <v>74</v>
      </c>
      <c r="BD434">
        <v>1581752</v>
      </c>
      <c r="BE434" t="s">
        <v>8622</v>
      </c>
      <c r="BF434" t="str">
        <f>HYPERLINK("http://dx.doi.org/10.3389/fenvs.2025.1581752","http://dx.doi.org/10.3389/fenvs.2025.1581752")</f>
        <v>http://dx.doi.org/10.3389/fenvs.2025.1581752</v>
      </c>
      <c r="BG434" t="s">
        <v>74</v>
      </c>
      <c r="BH434" t="s">
        <v>74</v>
      </c>
      <c r="BI434">
        <v>15</v>
      </c>
      <c r="BJ434" t="s">
        <v>567</v>
      </c>
      <c r="BK434" t="s">
        <v>102</v>
      </c>
      <c r="BL434" t="s">
        <v>568</v>
      </c>
      <c r="BM434" t="s">
        <v>8623</v>
      </c>
      <c r="BN434" t="s">
        <v>74</v>
      </c>
      <c r="BO434" t="s">
        <v>231</v>
      </c>
      <c r="BP434" t="s">
        <v>74</v>
      </c>
      <c r="BQ434" t="s">
        <v>74</v>
      </c>
      <c r="BR434" t="s">
        <v>106</v>
      </c>
      <c r="BS434" t="s">
        <v>8624</v>
      </c>
      <c r="BT434" t="str">
        <f>HYPERLINK("https%3A%2F%2Fwww.webofscience.com%2Fwos%2Fwoscc%2Ffull-record%2FWOS:001493099700001","View Full Record in Web of Science")</f>
        <v>View Full Record in Web of Science</v>
      </c>
    </row>
    <row r="435" spans="1:72" x14ac:dyDescent="0.2">
      <c r="A435" t="s">
        <v>72</v>
      </c>
      <c r="B435" t="s">
        <v>8625</v>
      </c>
      <c r="C435" t="s">
        <v>74</v>
      </c>
      <c r="D435" t="s">
        <v>74</v>
      </c>
      <c r="E435" t="s">
        <v>74</v>
      </c>
      <c r="F435" t="s">
        <v>8626</v>
      </c>
      <c r="G435" t="s">
        <v>74</v>
      </c>
      <c r="H435" t="s">
        <v>74</v>
      </c>
      <c r="I435" t="s">
        <v>8627</v>
      </c>
      <c r="J435" t="s">
        <v>1526</v>
      </c>
      <c r="K435" t="s">
        <v>74</v>
      </c>
      <c r="L435" t="s">
        <v>74</v>
      </c>
      <c r="M435" t="s">
        <v>78</v>
      </c>
      <c r="N435" t="s">
        <v>79</v>
      </c>
      <c r="O435" t="s">
        <v>74</v>
      </c>
      <c r="P435" t="s">
        <v>74</v>
      </c>
      <c r="Q435" t="s">
        <v>74</v>
      </c>
      <c r="R435" t="s">
        <v>74</v>
      </c>
      <c r="S435" t="s">
        <v>74</v>
      </c>
      <c r="T435" t="s">
        <v>8628</v>
      </c>
      <c r="U435" t="s">
        <v>8629</v>
      </c>
      <c r="V435" t="s">
        <v>8630</v>
      </c>
      <c r="W435" t="s">
        <v>8631</v>
      </c>
      <c r="X435" t="s">
        <v>8632</v>
      </c>
      <c r="Y435" t="s">
        <v>8633</v>
      </c>
      <c r="Z435" t="s">
        <v>8634</v>
      </c>
      <c r="AA435" t="s">
        <v>8635</v>
      </c>
      <c r="AB435" t="s">
        <v>8636</v>
      </c>
      <c r="AC435" t="s">
        <v>8637</v>
      </c>
      <c r="AD435" t="s">
        <v>8638</v>
      </c>
      <c r="AE435" t="s">
        <v>8639</v>
      </c>
      <c r="AF435" t="s">
        <v>74</v>
      </c>
      <c r="AG435">
        <v>56</v>
      </c>
      <c r="AH435">
        <v>36</v>
      </c>
      <c r="AI435">
        <v>40</v>
      </c>
      <c r="AJ435">
        <v>3</v>
      </c>
      <c r="AK435">
        <v>143</v>
      </c>
      <c r="AL435" t="s">
        <v>176</v>
      </c>
      <c r="AM435" t="s">
        <v>177</v>
      </c>
      <c r="AN435" t="s">
        <v>178</v>
      </c>
      <c r="AO435" t="s">
        <v>1538</v>
      </c>
      <c r="AP435" t="s">
        <v>1539</v>
      </c>
      <c r="AQ435" t="s">
        <v>74</v>
      </c>
      <c r="AR435" t="s">
        <v>1540</v>
      </c>
      <c r="AS435" t="s">
        <v>1541</v>
      </c>
      <c r="AT435" t="s">
        <v>3608</v>
      </c>
      <c r="AU435">
        <v>2017</v>
      </c>
      <c r="AV435">
        <v>146</v>
      </c>
      <c r="AW435" t="s">
        <v>74</v>
      </c>
      <c r="AX435" t="s">
        <v>74</v>
      </c>
      <c r="AY435" t="s">
        <v>74</v>
      </c>
      <c r="AZ435" t="s">
        <v>1070</v>
      </c>
      <c r="BA435" t="s">
        <v>74</v>
      </c>
      <c r="BB435">
        <v>63</v>
      </c>
      <c r="BC435">
        <v>70</v>
      </c>
      <c r="BD435" t="s">
        <v>74</v>
      </c>
      <c r="BE435" t="s">
        <v>8640</v>
      </c>
      <c r="BF435" t="str">
        <f>HYPERLINK("http://dx.doi.org/10.1016/j.jclepro.2016.05.022","http://dx.doi.org/10.1016/j.jclepro.2016.05.022")</f>
        <v>http://dx.doi.org/10.1016/j.jclepro.2016.05.022</v>
      </c>
      <c r="BG435" t="s">
        <v>74</v>
      </c>
      <c r="BH435" t="s">
        <v>74</v>
      </c>
      <c r="BI435">
        <v>8</v>
      </c>
      <c r="BJ435" t="s">
        <v>1543</v>
      </c>
      <c r="BK435" t="s">
        <v>186</v>
      </c>
      <c r="BL435" t="s">
        <v>1544</v>
      </c>
      <c r="BM435" t="s">
        <v>3610</v>
      </c>
      <c r="BN435" t="s">
        <v>74</v>
      </c>
      <c r="BO435" t="s">
        <v>74</v>
      </c>
      <c r="BP435" t="s">
        <v>74</v>
      </c>
      <c r="BQ435" t="s">
        <v>74</v>
      </c>
      <c r="BR435" t="s">
        <v>106</v>
      </c>
      <c r="BS435" t="s">
        <v>8641</v>
      </c>
      <c r="BT435" t="str">
        <f>HYPERLINK("https%3A%2F%2Fwww.webofscience.com%2Fwos%2Fwoscc%2Ffull-record%2FWOS:000397368000008","View Full Record in Web of Science")</f>
        <v>View Full Record in Web of Science</v>
      </c>
    </row>
    <row r="436" spans="1:72" x14ac:dyDescent="0.2">
      <c r="A436" t="s">
        <v>72</v>
      </c>
      <c r="B436" t="s">
        <v>8642</v>
      </c>
      <c r="C436" t="s">
        <v>74</v>
      </c>
      <c r="D436" t="s">
        <v>74</v>
      </c>
      <c r="E436" t="s">
        <v>74</v>
      </c>
      <c r="F436" t="s">
        <v>8643</v>
      </c>
      <c r="G436" t="s">
        <v>74</v>
      </c>
      <c r="H436" t="s">
        <v>74</v>
      </c>
      <c r="I436" t="s">
        <v>8644</v>
      </c>
      <c r="J436" t="s">
        <v>5618</v>
      </c>
      <c r="K436" t="s">
        <v>74</v>
      </c>
      <c r="L436" t="s">
        <v>74</v>
      </c>
      <c r="M436" t="s">
        <v>78</v>
      </c>
      <c r="N436" t="s">
        <v>79</v>
      </c>
      <c r="O436" t="s">
        <v>74</v>
      </c>
      <c r="P436" t="s">
        <v>74</v>
      </c>
      <c r="Q436" t="s">
        <v>74</v>
      </c>
      <c r="R436" t="s">
        <v>74</v>
      </c>
      <c r="S436" t="s">
        <v>74</v>
      </c>
      <c r="T436" t="s">
        <v>8645</v>
      </c>
      <c r="U436" t="s">
        <v>8646</v>
      </c>
      <c r="V436" t="s">
        <v>8647</v>
      </c>
      <c r="W436" t="s">
        <v>8648</v>
      </c>
      <c r="X436" t="s">
        <v>8649</v>
      </c>
      <c r="Y436" t="s">
        <v>8650</v>
      </c>
      <c r="Z436" t="s">
        <v>8651</v>
      </c>
      <c r="AA436" t="s">
        <v>8652</v>
      </c>
      <c r="AB436" t="s">
        <v>8653</v>
      </c>
      <c r="AC436" t="s">
        <v>74</v>
      </c>
      <c r="AD436" t="s">
        <v>74</v>
      </c>
      <c r="AE436" t="s">
        <v>74</v>
      </c>
      <c r="AF436" t="s">
        <v>74</v>
      </c>
      <c r="AG436">
        <v>45</v>
      </c>
      <c r="AH436">
        <v>2</v>
      </c>
      <c r="AI436">
        <v>2</v>
      </c>
      <c r="AJ436">
        <v>7</v>
      </c>
      <c r="AK436">
        <v>8</v>
      </c>
      <c r="AL436" t="s">
        <v>123</v>
      </c>
      <c r="AM436" t="s">
        <v>124</v>
      </c>
      <c r="AN436" t="s">
        <v>125</v>
      </c>
      <c r="AO436" t="s">
        <v>5629</v>
      </c>
      <c r="AP436" t="s">
        <v>5630</v>
      </c>
      <c r="AQ436" t="s">
        <v>74</v>
      </c>
      <c r="AR436" t="s">
        <v>5631</v>
      </c>
      <c r="AS436" t="s">
        <v>5632</v>
      </c>
      <c r="AT436" t="s">
        <v>912</v>
      </c>
      <c r="AU436">
        <v>2025</v>
      </c>
      <c r="AV436">
        <v>77</v>
      </c>
      <c r="AW436" t="s">
        <v>74</v>
      </c>
      <c r="AX436" t="s">
        <v>74</v>
      </c>
      <c r="AY436" t="s">
        <v>74</v>
      </c>
      <c r="AZ436" t="s">
        <v>74</v>
      </c>
      <c r="BA436" t="s">
        <v>74</v>
      </c>
      <c r="BB436" t="s">
        <v>74</v>
      </c>
      <c r="BC436" t="s">
        <v>74</v>
      </c>
      <c r="BD436">
        <v>104333</v>
      </c>
      <c r="BE436" t="s">
        <v>8654</v>
      </c>
      <c r="BF436" t="str">
        <f>HYPERLINK("http://dx.doi.org/10.1016/j.seta.2025.104333","http://dx.doi.org/10.1016/j.seta.2025.104333")</f>
        <v>http://dx.doi.org/10.1016/j.seta.2025.104333</v>
      </c>
      <c r="BG436" t="s">
        <v>74</v>
      </c>
      <c r="BH436" t="s">
        <v>1870</v>
      </c>
      <c r="BI436">
        <v>9</v>
      </c>
      <c r="BJ436" t="s">
        <v>1496</v>
      </c>
      <c r="BK436" t="s">
        <v>102</v>
      </c>
      <c r="BL436" t="s">
        <v>1497</v>
      </c>
      <c r="BM436" t="s">
        <v>8655</v>
      </c>
      <c r="BN436" t="s">
        <v>74</v>
      </c>
      <c r="BO436" t="s">
        <v>74</v>
      </c>
      <c r="BP436" t="s">
        <v>74</v>
      </c>
      <c r="BQ436" t="s">
        <v>74</v>
      </c>
      <c r="BR436" t="s">
        <v>106</v>
      </c>
      <c r="BS436" t="s">
        <v>8656</v>
      </c>
      <c r="BT436" t="str">
        <f>HYPERLINK("https%3A%2F%2Fwww.webofscience.com%2Fwos%2Fwoscc%2Ffull-record%2FWOS:001480906600001","View Full Record in Web of Science")</f>
        <v>View Full Record in Web of Science</v>
      </c>
    </row>
    <row r="437" spans="1:72" x14ac:dyDescent="0.2">
      <c r="A437" t="s">
        <v>72</v>
      </c>
      <c r="B437" t="s">
        <v>8657</v>
      </c>
      <c r="C437" t="s">
        <v>74</v>
      </c>
      <c r="D437" t="s">
        <v>74</v>
      </c>
      <c r="E437" t="s">
        <v>74</v>
      </c>
      <c r="F437" t="s">
        <v>8658</v>
      </c>
      <c r="G437" t="s">
        <v>74</v>
      </c>
      <c r="H437" t="s">
        <v>74</v>
      </c>
      <c r="I437" t="s">
        <v>8659</v>
      </c>
      <c r="J437" t="s">
        <v>3833</v>
      </c>
      <c r="K437" t="s">
        <v>74</v>
      </c>
      <c r="L437" t="s">
        <v>74</v>
      </c>
      <c r="M437" t="s">
        <v>78</v>
      </c>
      <c r="N437" t="s">
        <v>79</v>
      </c>
      <c r="O437" t="s">
        <v>74</v>
      </c>
      <c r="P437" t="s">
        <v>74</v>
      </c>
      <c r="Q437" t="s">
        <v>74</v>
      </c>
      <c r="R437" t="s">
        <v>74</v>
      </c>
      <c r="S437" t="s">
        <v>74</v>
      </c>
      <c r="T437" t="s">
        <v>8660</v>
      </c>
      <c r="U437" t="s">
        <v>8661</v>
      </c>
      <c r="V437" t="s">
        <v>8662</v>
      </c>
      <c r="W437" t="s">
        <v>8663</v>
      </c>
      <c r="X437" t="s">
        <v>8664</v>
      </c>
      <c r="Y437" t="s">
        <v>8665</v>
      </c>
      <c r="Z437" t="s">
        <v>8666</v>
      </c>
      <c r="AA437" t="s">
        <v>8667</v>
      </c>
      <c r="AB437" t="s">
        <v>8668</v>
      </c>
      <c r="AC437" t="s">
        <v>74</v>
      </c>
      <c r="AD437" t="s">
        <v>74</v>
      </c>
      <c r="AE437" t="s">
        <v>74</v>
      </c>
      <c r="AF437" t="s">
        <v>74</v>
      </c>
      <c r="AG437">
        <v>42</v>
      </c>
      <c r="AH437">
        <v>5</v>
      </c>
      <c r="AI437">
        <v>6</v>
      </c>
      <c r="AJ437">
        <v>3</v>
      </c>
      <c r="AK437">
        <v>35</v>
      </c>
      <c r="AL437" t="s">
        <v>655</v>
      </c>
      <c r="AM437" t="s">
        <v>405</v>
      </c>
      <c r="AN437" t="s">
        <v>656</v>
      </c>
      <c r="AO437" t="s">
        <v>3846</v>
      </c>
      <c r="AP437" t="s">
        <v>74</v>
      </c>
      <c r="AQ437" t="s">
        <v>74</v>
      </c>
      <c r="AR437" t="s">
        <v>3847</v>
      </c>
      <c r="AS437" t="s">
        <v>3848</v>
      </c>
      <c r="AT437" t="s">
        <v>203</v>
      </c>
      <c r="AU437">
        <v>2022</v>
      </c>
      <c r="AV437">
        <v>13</v>
      </c>
      <c r="AW437" t="s">
        <v>74</v>
      </c>
      <c r="AX437" t="s">
        <v>74</v>
      </c>
      <c r="AY437" t="s">
        <v>74</v>
      </c>
      <c r="AZ437" t="s">
        <v>74</v>
      </c>
      <c r="BA437" t="s">
        <v>74</v>
      </c>
      <c r="BB437" t="s">
        <v>74</v>
      </c>
      <c r="BC437" t="s">
        <v>74</v>
      </c>
      <c r="BD437">
        <v>1015307</v>
      </c>
      <c r="BE437" t="s">
        <v>8669</v>
      </c>
      <c r="BF437" t="str">
        <f>HYPERLINK("http://dx.doi.org/10.3389/fpls.2022.1015307","http://dx.doi.org/10.3389/fpls.2022.1015307")</f>
        <v>http://dx.doi.org/10.3389/fpls.2022.1015307</v>
      </c>
      <c r="BG437" t="s">
        <v>74</v>
      </c>
      <c r="BH437" t="s">
        <v>74</v>
      </c>
      <c r="BI437">
        <v>12</v>
      </c>
      <c r="BJ437" t="s">
        <v>3850</v>
      </c>
      <c r="BK437" t="s">
        <v>102</v>
      </c>
      <c r="BL437" t="s">
        <v>3850</v>
      </c>
      <c r="BM437" t="s">
        <v>8670</v>
      </c>
      <c r="BN437">
        <v>36407617</v>
      </c>
      <c r="BO437" t="s">
        <v>161</v>
      </c>
      <c r="BP437" t="s">
        <v>74</v>
      </c>
      <c r="BQ437" t="s">
        <v>74</v>
      </c>
      <c r="BR437" t="s">
        <v>106</v>
      </c>
      <c r="BS437" t="s">
        <v>8671</v>
      </c>
      <c r="BT437" t="str">
        <f>HYPERLINK("https%3A%2F%2Fwww.webofscience.com%2Fwos%2Fwoscc%2Ffull-record%2FWOS:000885639400001","View Full Record in Web of Science")</f>
        <v>View Full Record in Web of Science</v>
      </c>
    </row>
    <row r="438" spans="1:72" x14ac:dyDescent="0.2">
      <c r="A438" t="s">
        <v>72</v>
      </c>
      <c r="B438" t="s">
        <v>8672</v>
      </c>
      <c r="C438" t="s">
        <v>74</v>
      </c>
      <c r="D438" t="s">
        <v>74</v>
      </c>
      <c r="E438" t="s">
        <v>74</v>
      </c>
      <c r="F438" t="s">
        <v>8673</v>
      </c>
      <c r="G438" t="s">
        <v>74</v>
      </c>
      <c r="H438" t="s">
        <v>74</v>
      </c>
      <c r="I438" t="s">
        <v>8674</v>
      </c>
      <c r="J438" t="s">
        <v>8675</v>
      </c>
      <c r="K438" t="s">
        <v>74</v>
      </c>
      <c r="L438" t="s">
        <v>74</v>
      </c>
      <c r="M438" t="s">
        <v>78</v>
      </c>
      <c r="N438" t="s">
        <v>79</v>
      </c>
      <c r="O438" t="s">
        <v>74</v>
      </c>
      <c r="P438" t="s">
        <v>74</v>
      </c>
      <c r="Q438" t="s">
        <v>74</v>
      </c>
      <c r="R438" t="s">
        <v>74</v>
      </c>
      <c r="S438" t="s">
        <v>74</v>
      </c>
      <c r="T438" t="s">
        <v>8676</v>
      </c>
      <c r="U438" t="s">
        <v>8677</v>
      </c>
      <c r="V438" t="s">
        <v>8678</v>
      </c>
      <c r="W438" t="s">
        <v>8679</v>
      </c>
      <c r="X438" t="s">
        <v>7180</v>
      </c>
      <c r="Y438" t="s">
        <v>8680</v>
      </c>
      <c r="Z438" t="s">
        <v>8681</v>
      </c>
      <c r="AA438" t="s">
        <v>74</v>
      </c>
      <c r="AB438" t="s">
        <v>8682</v>
      </c>
      <c r="AC438" t="s">
        <v>8683</v>
      </c>
      <c r="AD438" t="s">
        <v>8684</v>
      </c>
      <c r="AE438" t="s">
        <v>8685</v>
      </c>
      <c r="AF438" t="s">
        <v>74</v>
      </c>
      <c r="AG438">
        <v>54</v>
      </c>
      <c r="AH438">
        <v>8</v>
      </c>
      <c r="AI438">
        <v>10</v>
      </c>
      <c r="AJ438">
        <v>1</v>
      </c>
      <c r="AK438">
        <v>39</v>
      </c>
      <c r="AL438" t="s">
        <v>8686</v>
      </c>
      <c r="AM438" t="s">
        <v>8687</v>
      </c>
      <c r="AN438" t="s">
        <v>8688</v>
      </c>
      <c r="AO438" t="s">
        <v>8689</v>
      </c>
      <c r="AP438" t="s">
        <v>8690</v>
      </c>
      <c r="AQ438" t="s">
        <v>74</v>
      </c>
      <c r="AR438" t="s">
        <v>8691</v>
      </c>
      <c r="AS438" t="s">
        <v>8692</v>
      </c>
      <c r="AT438" t="s">
        <v>99</v>
      </c>
      <c r="AU438">
        <v>2021</v>
      </c>
      <c r="AV438">
        <v>39</v>
      </c>
      <c r="AW438">
        <v>2</v>
      </c>
      <c r="AX438" t="s">
        <v>74</v>
      </c>
      <c r="AY438" t="s">
        <v>74</v>
      </c>
      <c r="AZ438" t="s">
        <v>74</v>
      </c>
      <c r="BA438" t="s">
        <v>74</v>
      </c>
      <c r="BB438">
        <v>553</v>
      </c>
      <c r="BC438">
        <v>570</v>
      </c>
      <c r="BD438">
        <v>144598719900279</v>
      </c>
      <c r="BE438" t="s">
        <v>8693</v>
      </c>
      <c r="BF438" t="str">
        <f>HYPERLINK("http://dx.doi.org/10.1177/0144598719900279","http://dx.doi.org/10.1177/0144598719900279")</f>
        <v>http://dx.doi.org/10.1177/0144598719900279</v>
      </c>
      <c r="BG438" t="s">
        <v>74</v>
      </c>
      <c r="BH438" t="s">
        <v>8694</v>
      </c>
      <c r="BI438">
        <v>18</v>
      </c>
      <c r="BJ438" t="s">
        <v>229</v>
      </c>
      <c r="BK438" t="s">
        <v>102</v>
      </c>
      <c r="BL438" t="s">
        <v>229</v>
      </c>
      <c r="BM438" t="s">
        <v>8695</v>
      </c>
      <c r="BN438" t="s">
        <v>74</v>
      </c>
      <c r="BO438" t="s">
        <v>161</v>
      </c>
      <c r="BP438" t="s">
        <v>74</v>
      </c>
      <c r="BQ438" t="s">
        <v>74</v>
      </c>
      <c r="BR438" t="s">
        <v>106</v>
      </c>
      <c r="BS438" t="s">
        <v>8696</v>
      </c>
      <c r="BT438" t="str">
        <f>HYPERLINK("https%3A%2F%2Fwww.webofscience.com%2Fwos%2Fwoscc%2Ffull-record%2FWOS:000507183400001","View Full Record in Web of Science")</f>
        <v>View Full Record in Web of Science</v>
      </c>
    </row>
    <row r="439" spans="1:72" x14ac:dyDescent="0.2">
      <c r="A439" t="s">
        <v>72</v>
      </c>
      <c r="B439" t="s">
        <v>8697</v>
      </c>
      <c r="C439" t="s">
        <v>74</v>
      </c>
      <c r="D439" t="s">
        <v>74</v>
      </c>
      <c r="E439" t="s">
        <v>74</v>
      </c>
      <c r="F439" t="s">
        <v>8698</v>
      </c>
      <c r="G439" t="s">
        <v>74</v>
      </c>
      <c r="H439" t="s">
        <v>74</v>
      </c>
      <c r="I439" t="s">
        <v>8699</v>
      </c>
      <c r="J439" t="s">
        <v>3791</v>
      </c>
      <c r="K439" t="s">
        <v>74</v>
      </c>
      <c r="L439" t="s">
        <v>74</v>
      </c>
      <c r="M439" t="s">
        <v>78</v>
      </c>
      <c r="N439" t="s">
        <v>79</v>
      </c>
      <c r="O439" t="s">
        <v>74</v>
      </c>
      <c r="P439" t="s">
        <v>74</v>
      </c>
      <c r="Q439" t="s">
        <v>74</v>
      </c>
      <c r="R439" t="s">
        <v>74</v>
      </c>
      <c r="S439" t="s">
        <v>74</v>
      </c>
      <c r="T439" t="s">
        <v>8700</v>
      </c>
      <c r="U439" t="s">
        <v>8701</v>
      </c>
      <c r="V439" t="s">
        <v>8702</v>
      </c>
      <c r="W439" t="s">
        <v>8703</v>
      </c>
      <c r="X439" t="s">
        <v>8704</v>
      </c>
      <c r="Y439" t="s">
        <v>8705</v>
      </c>
      <c r="Z439" t="s">
        <v>8706</v>
      </c>
      <c r="AA439" t="s">
        <v>8707</v>
      </c>
      <c r="AB439" t="s">
        <v>8708</v>
      </c>
      <c r="AC439" t="s">
        <v>8709</v>
      </c>
      <c r="AD439" t="s">
        <v>8710</v>
      </c>
      <c r="AE439" t="s">
        <v>8711</v>
      </c>
      <c r="AF439" t="s">
        <v>74</v>
      </c>
      <c r="AG439">
        <v>37</v>
      </c>
      <c r="AH439">
        <v>20</v>
      </c>
      <c r="AI439">
        <v>27</v>
      </c>
      <c r="AJ439">
        <v>5</v>
      </c>
      <c r="AK439">
        <v>64</v>
      </c>
      <c r="AL439" t="s">
        <v>123</v>
      </c>
      <c r="AM439" t="s">
        <v>124</v>
      </c>
      <c r="AN439" t="s">
        <v>125</v>
      </c>
      <c r="AO439" t="s">
        <v>3804</v>
      </c>
      <c r="AP439" t="s">
        <v>74</v>
      </c>
      <c r="AQ439" t="s">
        <v>74</v>
      </c>
      <c r="AR439" t="s">
        <v>3805</v>
      </c>
      <c r="AS439" t="s">
        <v>3806</v>
      </c>
      <c r="AT439" t="s">
        <v>912</v>
      </c>
      <c r="AU439">
        <v>2020</v>
      </c>
      <c r="AV439">
        <v>18</v>
      </c>
      <c r="AW439" t="s">
        <v>74</v>
      </c>
      <c r="AX439" t="s">
        <v>74</v>
      </c>
      <c r="AY439" t="s">
        <v>74</v>
      </c>
      <c r="AZ439" t="s">
        <v>74</v>
      </c>
      <c r="BA439" t="s">
        <v>74</v>
      </c>
      <c r="BB439" t="s">
        <v>74</v>
      </c>
      <c r="BC439" t="s">
        <v>74</v>
      </c>
      <c r="BD439">
        <v>100625</v>
      </c>
      <c r="BE439" t="s">
        <v>8712</v>
      </c>
      <c r="BF439" t="str">
        <f>HYPERLINK("http://dx.doi.org/10.1016/j.eti.2020.100625","http://dx.doi.org/10.1016/j.eti.2020.100625")</f>
        <v>http://dx.doi.org/10.1016/j.eti.2020.100625</v>
      </c>
      <c r="BG439" t="s">
        <v>74</v>
      </c>
      <c r="BH439" t="s">
        <v>74</v>
      </c>
      <c r="BI439">
        <v>9</v>
      </c>
      <c r="BJ439" t="s">
        <v>3808</v>
      </c>
      <c r="BK439" t="s">
        <v>102</v>
      </c>
      <c r="BL439" t="s">
        <v>3809</v>
      </c>
      <c r="BM439" t="s">
        <v>8713</v>
      </c>
      <c r="BN439" t="s">
        <v>74</v>
      </c>
      <c r="BO439" t="s">
        <v>74</v>
      </c>
      <c r="BP439" t="s">
        <v>74</v>
      </c>
      <c r="BQ439" t="s">
        <v>74</v>
      </c>
      <c r="BR439" t="s">
        <v>106</v>
      </c>
      <c r="BS439" t="s">
        <v>8714</v>
      </c>
      <c r="BT439" t="str">
        <f>HYPERLINK("https%3A%2F%2Fwww.webofscience.com%2Fwos%2Fwoscc%2Ffull-record%2FWOS:000531651100015","View Full Record in Web of Science")</f>
        <v>View Full Record in Web of Science</v>
      </c>
    </row>
    <row r="440" spans="1:72" x14ac:dyDescent="0.2">
      <c r="A440" t="s">
        <v>72</v>
      </c>
      <c r="B440" t="s">
        <v>8715</v>
      </c>
      <c r="C440" t="s">
        <v>74</v>
      </c>
      <c r="D440" t="s">
        <v>74</v>
      </c>
      <c r="E440" t="s">
        <v>74</v>
      </c>
      <c r="F440" t="s">
        <v>8716</v>
      </c>
      <c r="G440" t="s">
        <v>74</v>
      </c>
      <c r="H440" t="s">
        <v>74</v>
      </c>
      <c r="I440" t="s">
        <v>8717</v>
      </c>
      <c r="J440" t="s">
        <v>2864</v>
      </c>
      <c r="K440" t="s">
        <v>74</v>
      </c>
      <c r="L440" t="s">
        <v>74</v>
      </c>
      <c r="M440" t="s">
        <v>78</v>
      </c>
      <c r="N440" t="s">
        <v>79</v>
      </c>
      <c r="O440" t="s">
        <v>74</v>
      </c>
      <c r="P440" t="s">
        <v>74</v>
      </c>
      <c r="Q440" t="s">
        <v>74</v>
      </c>
      <c r="R440" t="s">
        <v>74</v>
      </c>
      <c r="S440" t="s">
        <v>74</v>
      </c>
      <c r="T440" t="s">
        <v>8718</v>
      </c>
      <c r="U440" t="s">
        <v>8719</v>
      </c>
      <c r="V440" t="s">
        <v>8720</v>
      </c>
      <c r="W440" t="s">
        <v>8721</v>
      </c>
      <c r="X440" t="s">
        <v>8722</v>
      </c>
      <c r="Y440" t="s">
        <v>8723</v>
      </c>
      <c r="Z440" t="s">
        <v>8724</v>
      </c>
      <c r="AA440" t="s">
        <v>8725</v>
      </c>
      <c r="AB440" t="s">
        <v>8726</v>
      </c>
      <c r="AC440" t="s">
        <v>8727</v>
      </c>
      <c r="AD440" t="s">
        <v>8727</v>
      </c>
      <c r="AE440" t="s">
        <v>8728</v>
      </c>
      <c r="AF440" t="s">
        <v>74</v>
      </c>
      <c r="AG440">
        <v>43</v>
      </c>
      <c r="AH440">
        <v>40</v>
      </c>
      <c r="AI440">
        <v>44</v>
      </c>
      <c r="AJ440">
        <v>3</v>
      </c>
      <c r="AK440">
        <v>53</v>
      </c>
      <c r="AL440" t="s">
        <v>176</v>
      </c>
      <c r="AM440" t="s">
        <v>177</v>
      </c>
      <c r="AN440" t="s">
        <v>178</v>
      </c>
      <c r="AO440" t="s">
        <v>2876</v>
      </c>
      <c r="AP440" t="s">
        <v>2877</v>
      </c>
      <c r="AQ440" t="s">
        <v>74</v>
      </c>
      <c r="AR440" t="s">
        <v>2878</v>
      </c>
      <c r="AS440" t="s">
        <v>2879</v>
      </c>
      <c r="AT440" t="s">
        <v>281</v>
      </c>
      <c r="AU440">
        <v>2017</v>
      </c>
      <c r="AV440">
        <v>105</v>
      </c>
      <c r="AW440" t="s">
        <v>74</v>
      </c>
      <c r="AX440" t="s">
        <v>74</v>
      </c>
      <c r="AY440" t="s">
        <v>74</v>
      </c>
      <c r="AZ440" t="s">
        <v>74</v>
      </c>
      <c r="BA440" t="s">
        <v>74</v>
      </c>
      <c r="BB440">
        <v>303</v>
      </c>
      <c r="BC440">
        <v>319</v>
      </c>
      <c r="BD440" t="s">
        <v>74</v>
      </c>
      <c r="BE440" t="s">
        <v>8729</v>
      </c>
      <c r="BF440" t="str">
        <f>HYPERLINK("http://dx.doi.org/10.1016/j.enpol.2017.02.012","http://dx.doi.org/10.1016/j.enpol.2017.02.012")</f>
        <v>http://dx.doi.org/10.1016/j.enpol.2017.02.012</v>
      </c>
      <c r="BG440" t="s">
        <v>74</v>
      </c>
      <c r="BH440" t="s">
        <v>74</v>
      </c>
      <c r="BI440">
        <v>17</v>
      </c>
      <c r="BJ440" t="s">
        <v>2881</v>
      </c>
      <c r="BK440" t="s">
        <v>186</v>
      </c>
      <c r="BL440" t="s">
        <v>2882</v>
      </c>
      <c r="BM440" t="s">
        <v>8730</v>
      </c>
      <c r="BN440" t="s">
        <v>74</v>
      </c>
      <c r="BO440" t="s">
        <v>74</v>
      </c>
      <c r="BP440" t="s">
        <v>74</v>
      </c>
      <c r="BQ440" t="s">
        <v>74</v>
      </c>
      <c r="BR440" t="s">
        <v>106</v>
      </c>
      <c r="BS440" t="s">
        <v>8731</v>
      </c>
      <c r="BT440" t="str">
        <f>HYPERLINK("https%3A%2F%2Fwww.webofscience.com%2Fwos%2Fwoscc%2Ffull-record%2FWOS:000400532900030","View Full Record in Web of Science")</f>
        <v>View Full Record in Web of Science</v>
      </c>
    </row>
    <row r="441" spans="1:72" x14ac:dyDescent="0.2">
      <c r="A441" t="s">
        <v>72</v>
      </c>
      <c r="B441" t="s">
        <v>8732</v>
      </c>
      <c r="C441" t="s">
        <v>74</v>
      </c>
      <c r="D441" t="s">
        <v>74</v>
      </c>
      <c r="E441" t="s">
        <v>74</v>
      </c>
      <c r="F441" t="s">
        <v>8733</v>
      </c>
      <c r="G441" t="s">
        <v>74</v>
      </c>
      <c r="H441" t="s">
        <v>74</v>
      </c>
      <c r="I441" t="s">
        <v>8734</v>
      </c>
      <c r="J441" t="s">
        <v>8735</v>
      </c>
      <c r="K441" t="s">
        <v>74</v>
      </c>
      <c r="L441" t="s">
        <v>74</v>
      </c>
      <c r="M441" t="s">
        <v>78</v>
      </c>
      <c r="N441" t="s">
        <v>79</v>
      </c>
      <c r="O441" t="s">
        <v>74</v>
      </c>
      <c r="P441" t="s">
        <v>74</v>
      </c>
      <c r="Q441" t="s">
        <v>74</v>
      </c>
      <c r="R441" t="s">
        <v>74</v>
      </c>
      <c r="S441" t="s">
        <v>74</v>
      </c>
      <c r="T441" t="s">
        <v>8736</v>
      </c>
      <c r="U441" t="s">
        <v>8737</v>
      </c>
      <c r="V441" t="s">
        <v>8738</v>
      </c>
      <c r="W441" t="s">
        <v>8739</v>
      </c>
      <c r="X441" t="s">
        <v>8740</v>
      </c>
      <c r="Y441" t="s">
        <v>8741</v>
      </c>
      <c r="Z441" t="s">
        <v>8742</v>
      </c>
      <c r="AA441" t="s">
        <v>8743</v>
      </c>
      <c r="AB441" t="s">
        <v>74</v>
      </c>
      <c r="AC441" t="s">
        <v>8744</v>
      </c>
      <c r="AD441" t="s">
        <v>8745</v>
      </c>
      <c r="AE441" t="s">
        <v>8746</v>
      </c>
      <c r="AF441" t="s">
        <v>74</v>
      </c>
      <c r="AG441">
        <v>36</v>
      </c>
      <c r="AH441">
        <v>0</v>
      </c>
      <c r="AI441">
        <v>0</v>
      </c>
      <c r="AJ441">
        <v>1</v>
      </c>
      <c r="AK441">
        <v>1</v>
      </c>
      <c r="AL441" t="s">
        <v>8747</v>
      </c>
      <c r="AM441" t="s">
        <v>8748</v>
      </c>
      <c r="AN441" t="s">
        <v>8749</v>
      </c>
      <c r="AO441" t="s">
        <v>8750</v>
      </c>
      <c r="AP441" t="s">
        <v>8751</v>
      </c>
      <c r="AQ441" t="s">
        <v>74</v>
      </c>
      <c r="AR441" t="s">
        <v>8752</v>
      </c>
      <c r="AS441" t="s">
        <v>8753</v>
      </c>
      <c r="AT441" t="s">
        <v>74</v>
      </c>
      <c r="AU441">
        <v>2024</v>
      </c>
      <c r="AV441">
        <v>36</v>
      </c>
      <c r="AW441">
        <v>4</v>
      </c>
      <c r="AX441" t="s">
        <v>74</v>
      </c>
      <c r="AY441" t="s">
        <v>74</v>
      </c>
      <c r="AZ441" t="s">
        <v>74</v>
      </c>
      <c r="BA441" t="s">
        <v>74</v>
      </c>
      <c r="BB441">
        <v>379</v>
      </c>
      <c r="BC441">
        <v>390</v>
      </c>
      <c r="BD441" t="s">
        <v>74</v>
      </c>
      <c r="BE441" t="s">
        <v>8754</v>
      </c>
      <c r="BF441" t="str">
        <f>HYPERLINK("http://dx.doi.org/10.26525/jtfs2024.36.4.379","http://dx.doi.org/10.26525/jtfs2024.36.4.379")</f>
        <v>http://dx.doi.org/10.26525/jtfs2024.36.4.379</v>
      </c>
      <c r="BG441" t="s">
        <v>74</v>
      </c>
      <c r="BH441" t="s">
        <v>74</v>
      </c>
      <c r="BI441">
        <v>12</v>
      </c>
      <c r="BJ441" t="s">
        <v>132</v>
      </c>
      <c r="BK441" t="s">
        <v>102</v>
      </c>
      <c r="BL441" t="s">
        <v>132</v>
      </c>
      <c r="BM441" t="s">
        <v>8755</v>
      </c>
      <c r="BN441" t="s">
        <v>74</v>
      </c>
      <c r="BO441" t="s">
        <v>74</v>
      </c>
      <c r="BP441" t="s">
        <v>74</v>
      </c>
      <c r="BQ441" t="s">
        <v>74</v>
      </c>
      <c r="BR441" t="s">
        <v>106</v>
      </c>
      <c r="BS441" t="s">
        <v>8756</v>
      </c>
      <c r="BT441" t="str">
        <f>HYPERLINK("https%3A%2F%2Fwww.webofscience.com%2Fwos%2Fwoscc%2Ffull-record%2FWOS:001361054300003","View Full Record in Web of Science")</f>
        <v>View Full Record in Web of Science</v>
      </c>
    </row>
    <row r="442" spans="1:72" x14ac:dyDescent="0.2">
      <c r="A442" t="s">
        <v>72</v>
      </c>
      <c r="B442" t="s">
        <v>8757</v>
      </c>
      <c r="C442" t="s">
        <v>74</v>
      </c>
      <c r="D442" t="s">
        <v>74</v>
      </c>
      <c r="E442" t="s">
        <v>74</v>
      </c>
      <c r="F442" t="s">
        <v>8758</v>
      </c>
      <c r="G442" t="s">
        <v>74</v>
      </c>
      <c r="H442" t="s">
        <v>74</v>
      </c>
      <c r="I442" t="s">
        <v>8759</v>
      </c>
      <c r="J442" t="s">
        <v>8760</v>
      </c>
      <c r="K442" t="s">
        <v>74</v>
      </c>
      <c r="L442" t="s">
        <v>74</v>
      </c>
      <c r="M442" t="s">
        <v>78</v>
      </c>
      <c r="N442" t="s">
        <v>79</v>
      </c>
      <c r="O442" t="s">
        <v>74</v>
      </c>
      <c r="P442" t="s">
        <v>74</v>
      </c>
      <c r="Q442" t="s">
        <v>74</v>
      </c>
      <c r="R442" t="s">
        <v>74</v>
      </c>
      <c r="S442" t="s">
        <v>74</v>
      </c>
      <c r="T442" t="s">
        <v>8761</v>
      </c>
      <c r="U442" t="s">
        <v>8762</v>
      </c>
      <c r="V442" t="s">
        <v>8763</v>
      </c>
      <c r="W442" t="s">
        <v>8764</v>
      </c>
      <c r="X442" t="s">
        <v>8765</v>
      </c>
      <c r="Y442" t="s">
        <v>8766</v>
      </c>
      <c r="Z442" t="s">
        <v>8767</v>
      </c>
      <c r="AA442" t="s">
        <v>8768</v>
      </c>
      <c r="AB442" t="s">
        <v>8769</v>
      </c>
      <c r="AC442" t="s">
        <v>8770</v>
      </c>
      <c r="AD442" t="s">
        <v>8771</v>
      </c>
      <c r="AE442" t="s">
        <v>8772</v>
      </c>
      <c r="AF442" t="s">
        <v>74</v>
      </c>
      <c r="AG442">
        <v>99</v>
      </c>
      <c r="AH442">
        <v>14</v>
      </c>
      <c r="AI442">
        <v>16</v>
      </c>
      <c r="AJ442">
        <v>0</v>
      </c>
      <c r="AK442">
        <v>25</v>
      </c>
      <c r="AL442" t="s">
        <v>8773</v>
      </c>
      <c r="AM442" t="s">
        <v>8774</v>
      </c>
      <c r="AN442" t="s">
        <v>8775</v>
      </c>
      <c r="AO442" t="s">
        <v>8776</v>
      </c>
      <c r="AP442" t="s">
        <v>8777</v>
      </c>
      <c r="AQ442" t="s">
        <v>74</v>
      </c>
      <c r="AR442" t="s">
        <v>8778</v>
      </c>
      <c r="AS442" t="s">
        <v>8779</v>
      </c>
      <c r="AT442" t="s">
        <v>74</v>
      </c>
      <c r="AU442">
        <v>2017</v>
      </c>
      <c r="AV442">
        <v>51</v>
      </c>
      <c r="AW442" t="s">
        <v>8780</v>
      </c>
      <c r="AX442" t="s">
        <v>74</v>
      </c>
      <c r="AY442" t="s">
        <v>74</v>
      </c>
      <c r="AZ442" t="s">
        <v>1070</v>
      </c>
      <c r="BA442" t="s">
        <v>74</v>
      </c>
      <c r="BB442" t="s">
        <v>74</v>
      </c>
      <c r="BC442" t="s">
        <v>74</v>
      </c>
      <c r="BD442">
        <v>1553</v>
      </c>
      <c r="BE442" t="s">
        <v>8781</v>
      </c>
      <c r="BF442" t="str">
        <f>HYPERLINK("http://dx.doi.org/10.14214/sf.1553","http://dx.doi.org/10.14214/sf.1553")</f>
        <v>http://dx.doi.org/10.14214/sf.1553</v>
      </c>
      <c r="BG442" t="s">
        <v>74</v>
      </c>
      <c r="BH442" t="s">
        <v>74</v>
      </c>
      <c r="BI442">
        <v>25</v>
      </c>
      <c r="BJ442" t="s">
        <v>132</v>
      </c>
      <c r="BK442" t="s">
        <v>186</v>
      </c>
      <c r="BL442" t="s">
        <v>132</v>
      </c>
      <c r="BM442" t="s">
        <v>8782</v>
      </c>
      <c r="BN442" t="s">
        <v>74</v>
      </c>
      <c r="BO442" t="s">
        <v>161</v>
      </c>
      <c r="BP442" t="s">
        <v>74</v>
      </c>
      <c r="BQ442" t="s">
        <v>74</v>
      </c>
      <c r="BR442" t="s">
        <v>106</v>
      </c>
      <c r="BS442" t="s">
        <v>8783</v>
      </c>
      <c r="BT442" t="str">
        <f>HYPERLINK("https%3A%2F%2Fwww.webofscience.com%2Fwos%2Fwoscc%2Ffull-record%2FWOS:000395896600004","View Full Record in Web of Science")</f>
        <v>View Full Record in Web of Science</v>
      </c>
    </row>
    <row r="443" spans="1:72" x14ac:dyDescent="0.2">
      <c r="A443" t="s">
        <v>72</v>
      </c>
      <c r="B443" t="s">
        <v>8784</v>
      </c>
      <c r="C443" t="s">
        <v>74</v>
      </c>
      <c r="D443" t="s">
        <v>74</v>
      </c>
      <c r="E443" t="s">
        <v>74</v>
      </c>
      <c r="F443" t="s">
        <v>8785</v>
      </c>
      <c r="G443" t="s">
        <v>74</v>
      </c>
      <c r="H443" t="s">
        <v>74</v>
      </c>
      <c r="I443" t="s">
        <v>8786</v>
      </c>
      <c r="J443" t="s">
        <v>8131</v>
      </c>
      <c r="K443" t="s">
        <v>74</v>
      </c>
      <c r="L443" t="s">
        <v>74</v>
      </c>
      <c r="M443" t="s">
        <v>78</v>
      </c>
      <c r="N443" t="s">
        <v>79</v>
      </c>
      <c r="O443" t="s">
        <v>74</v>
      </c>
      <c r="P443" t="s">
        <v>74</v>
      </c>
      <c r="Q443" t="s">
        <v>74</v>
      </c>
      <c r="R443" t="s">
        <v>74</v>
      </c>
      <c r="S443" t="s">
        <v>74</v>
      </c>
      <c r="T443" t="s">
        <v>8787</v>
      </c>
      <c r="U443" t="s">
        <v>8788</v>
      </c>
      <c r="V443" t="s">
        <v>8789</v>
      </c>
      <c r="W443" t="s">
        <v>8790</v>
      </c>
      <c r="X443" t="s">
        <v>8791</v>
      </c>
      <c r="Y443" t="s">
        <v>8792</v>
      </c>
      <c r="Z443" t="s">
        <v>8793</v>
      </c>
      <c r="AA443" t="s">
        <v>8794</v>
      </c>
      <c r="AB443" t="s">
        <v>8795</v>
      </c>
      <c r="AC443" t="s">
        <v>74</v>
      </c>
      <c r="AD443" t="s">
        <v>74</v>
      </c>
      <c r="AE443" t="s">
        <v>74</v>
      </c>
      <c r="AF443" t="s">
        <v>74</v>
      </c>
      <c r="AG443">
        <v>65</v>
      </c>
      <c r="AH443">
        <v>3</v>
      </c>
      <c r="AI443">
        <v>3</v>
      </c>
      <c r="AJ443">
        <v>14</v>
      </c>
      <c r="AK443">
        <v>30</v>
      </c>
      <c r="AL443" t="s">
        <v>504</v>
      </c>
      <c r="AM443" t="s">
        <v>505</v>
      </c>
      <c r="AN443" t="s">
        <v>506</v>
      </c>
      <c r="AO443" t="s">
        <v>8144</v>
      </c>
      <c r="AP443" t="s">
        <v>8145</v>
      </c>
      <c r="AQ443" t="s">
        <v>74</v>
      </c>
      <c r="AR443" t="s">
        <v>8146</v>
      </c>
      <c r="AS443" t="s">
        <v>8147</v>
      </c>
      <c r="AT443" t="s">
        <v>636</v>
      </c>
      <c r="AU443">
        <v>2025</v>
      </c>
      <c r="AV443">
        <v>130</v>
      </c>
      <c r="AW443">
        <v>2</v>
      </c>
      <c r="AX443" t="s">
        <v>74</v>
      </c>
      <c r="AY443" t="s">
        <v>74</v>
      </c>
      <c r="AZ443" t="s">
        <v>74</v>
      </c>
      <c r="BA443" t="s">
        <v>74</v>
      </c>
      <c r="BB443">
        <v>197</v>
      </c>
      <c r="BC443">
        <v>211</v>
      </c>
      <c r="BD443" t="s">
        <v>74</v>
      </c>
      <c r="BE443" t="s">
        <v>8796</v>
      </c>
      <c r="BF443" t="str">
        <f>HYPERLINK("http://dx.doi.org/10.1007/s10705-024-10394-1","http://dx.doi.org/10.1007/s10705-024-10394-1")</f>
        <v>http://dx.doi.org/10.1007/s10705-024-10394-1</v>
      </c>
      <c r="BG443" t="s">
        <v>74</v>
      </c>
      <c r="BH443" t="s">
        <v>3624</v>
      </c>
      <c r="BI443">
        <v>15</v>
      </c>
      <c r="BJ443" t="s">
        <v>256</v>
      </c>
      <c r="BK443" t="s">
        <v>102</v>
      </c>
      <c r="BL443" t="s">
        <v>103</v>
      </c>
      <c r="BM443" t="s">
        <v>8797</v>
      </c>
      <c r="BN443" t="s">
        <v>74</v>
      </c>
      <c r="BO443" t="s">
        <v>74</v>
      </c>
      <c r="BP443" t="s">
        <v>74</v>
      </c>
      <c r="BQ443" t="s">
        <v>74</v>
      </c>
      <c r="BR443" t="s">
        <v>106</v>
      </c>
      <c r="BS443" t="s">
        <v>8798</v>
      </c>
      <c r="BT443" t="str">
        <f>HYPERLINK("https%3A%2F%2Fwww.webofscience.com%2Fwos%2Fwoscc%2Ffull-record%2FWOS:001376278200001","View Full Record in Web of Science")</f>
        <v>View Full Record in Web of Science</v>
      </c>
    </row>
    <row r="444" spans="1:72" x14ac:dyDescent="0.2">
      <c r="A444" t="s">
        <v>72</v>
      </c>
      <c r="B444" t="s">
        <v>8799</v>
      </c>
      <c r="C444" t="s">
        <v>74</v>
      </c>
      <c r="D444" t="s">
        <v>74</v>
      </c>
      <c r="E444" t="s">
        <v>74</v>
      </c>
      <c r="F444" t="s">
        <v>8800</v>
      </c>
      <c r="G444" t="s">
        <v>74</v>
      </c>
      <c r="H444" t="s">
        <v>74</v>
      </c>
      <c r="I444" t="s">
        <v>8801</v>
      </c>
      <c r="J444" t="s">
        <v>8802</v>
      </c>
      <c r="K444" t="s">
        <v>74</v>
      </c>
      <c r="L444" t="s">
        <v>74</v>
      </c>
      <c r="M444" t="s">
        <v>78</v>
      </c>
      <c r="N444" t="s">
        <v>79</v>
      </c>
      <c r="O444" t="s">
        <v>74</v>
      </c>
      <c r="P444" t="s">
        <v>74</v>
      </c>
      <c r="Q444" t="s">
        <v>74</v>
      </c>
      <c r="R444" t="s">
        <v>74</v>
      </c>
      <c r="S444" t="s">
        <v>74</v>
      </c>
      <c r="T444" t="s">
        <v>8803</v>
      </c>
      <c r="U444" t="s">
        <v>8804</v>
      </c>
      <c r="V444" t="s">
        <v>8805</v>
      </c>
      <c r="W444" t="s">
        <v>8806</v>
      </c>
      <c r="X444" t="s">
        <v>8807</v>
      </c>
      <c r="Y444" t="s">
        <v>8808</v>
      </c>
      <c r="Z444" t="s">
        <v>8809</v>
      </c>
      <c r="AA444" t="s">
        <v>8810</v>
      </c>
      <c r="AB444" t="s">
        <v>8811</v>
      </c>
      <c r="AC444" t="s">
        <v>74</v>
      </c>
      <c r="AD444" t="s">
        <v>74</v>
      </c>
      <c r="AE444" t="s">
        <v>74</v>
      </c>
      <c r="AF444" t="s">
        <v>74</v>
      </c>
      <c r="AG444">
        <v>21</v>
      </c>
      <c r="AH444">
        <v>16</v>
      </c>
      <c r="AI444">
        <v>16</v>
      </c>
      <c r="AJ444">
        <v>8</v>
      </c>
      <c r="AK444">
        <v>56</v>
      </c>
      <c r="AL444" t="s">
        <v>4446</v>
      </c>
      <c r="AM444" t="s">
        <v>4447</v>
      </c>
      <c r="AN444" t="s">
        <v>4448</v>
      </c>
      <c r="AO444" t="s">
        <v>8812</v>
      </c>
      <c r="AP444" t="s">
        <v>8813</v>
      </c>
      <c r="AQ444" t="s">
        <v>74</v>
      </c>
      <c r="AR444" t="s">
        <v>8814</v>
      </c>
      <c r="AS444" t="s">
        <v>8815</v>
      </c>
      <c r="AT444" t="s">
        <v>74</v>
      </c>
      <c r="AU444">
        <v>2017</v>
      </c>
      <c r="AV444">
        <v>63</v>
      </c>
      <c r="AW444">
        <v>3</v>
      </c>
      <c r="AX444" t="s">
        <v>74</v>
      </c>
      <c r="AY444" t="s">
        <v>74</v>
      </c>
      <c r="AZ444" t="s">
        <v>74</v>
      </c>
      <c r="BA444" t="s">
        <v>74</v>
      </c>
      <c r="BB444">
        <v>97</v>
      </c>
      <c r="BC444">
        <v>104</v>
      </c>
      <c r="BD444" t="s">
        <v>74</v>
      </c>
      <c r="BE444" t="s">
        <v>8816</v>
      </c>
      <c r="BF444" t="str">
        <f>HYPERLINK("http://dx.doi.org/10.17221/205/2016-PSE","http://dx.doi.org/10.17221/205/2016-PSE")</f>
        <v>http://dx.doi.org/10.17221/205/2016-PSE</v>
      </c>
      <c r="BG444" t="s">
        <v>74</v>
      </c>
      <c r="BH444" t="s">
        <v>74</v>
      </c>
      <c r="BI444">
        <v>8</v>
      </c>
      <c r="BJ444" t="s">
        <v>711</v>
      </c>
      <c r="BK444" t="s">
        <v>102</v>
      </c>
      <c r="BL444" t="s">
        <v>103</v>
      </c>
      <c r="BM444" t="s">
        <v>8817</v>
      </c>
      <c r="BN444" t="s">
        <v>74</v>
      </c>
      <c r="BO444" t="s">
        <v>231</v>
      </c>
      <c r="BP444" t="s">
        <v>74</v>
      </c>
      <c r="BQ444" t="s">
        <v>74</v>
      </c>
      <c r="BR444" t="s">
        <v>106</v>
      </c>
      <c r="BS444" t="s">
        <v>8818</v>
      </c>
      <c r="BT444" t="str">
        <f>HYPERLINK("https%3A%2F%2Fwww.webofscience.com%2Fwos%2Fwoscc%2Ffull-record%2FWOS:000398069400001","View Full Record in Web of Science")</f>
        <v>View Full Record in Web of Science</v>
      </c>
    </row>
    <row r="445" spans="1:72" x14ac:dyDescent="0.2">
      <c r="A445" t="s">
        <v>72</v>
      </c>
      <c r="B445" t="s">
        <v>8819</v>
      </c>
      <c r="C445" t="s">
        <v>74</v>
      </c>
      <c r="D445" t="s">
        <v>74</v>
      </c>
      <c r="E445" t="s">
        <v>74</v>
      </c>
      <c r="F445" t="s">
        <v>8820</v>
      </c>
      <c r="G445" t="s">
        <v>74</v>
      </c>
      <c r="H445" t="s">
        <v>74</v>
      </c>
      <c r="I445" t="s">
        <v>8821</v>
      </c>
      <c r="J445" t="s">
        <v>446</v>
      </c>
      <c r="K445" t="s">
        <v>74</v>
      </c>
      <c r="L445" t="s">
        <v>74</v>
      </c>
      <c r="M445" t="s">
        <v>78</v>
      </c>
      <c r="N445" t="s">
        <v>79</v>
      </c>
      <c r="O445" t="s">
        <v>74</v>
      </c>
      <c r="P445" t="s">
        <v>74</v>
      </c>
      <c r="Q445" t="s">
        <v>74</v>
      </c>
      <c r="R445" t="s">
        <v>74</v>
      </c>
      <c r="S445" t="s">
        <v>74</v>
      </c>
      <c r="T445" t="s">
        <v>8822</v>
      </c>
      <c r="U445" t="s">
        <v>8823</v>
      </c>
      <c r="V445" t="s">
        <v>8824</v>
      </c>
      <c r="W445" t="s">
        <v>8825</v>
      </c>
      <c r="X445" t="s">
        <v>8826</v>
      </c>
      <c r="Y445" t="s">
        <v>8827</v>
      </c>
      <c r="Z445" t="s">
        <v>8828</v>
      </c>
      <c r="AA445" t="s">
        <v>74</v>
      </c>
      <c r="AB445" t="s">
        <v>8829</v>
      </c>
      <c r="AC445" t="s">
        <v>8830</v>
      </c>
      <c r="AD445" t="s">
        <v>8831</v>
      </c>
      <c r="AE445" t="s">
        <v>8832</v>
      </c>
      <c r="AF445" t="s">
        <v>74</v>
      </c>
      <c r="AG445">
        <v>81</v>
      </c>
      <c r="AH445">
        <v>5</v>
      </c>
      <c r="AI445">
        <v>5</v>
      </c>
      <c r="AJ445">
        <v>17</v>
      </c>
      <c r="AK445">
        <v>62</v>
      </c>
      <c r="AL445" t="s">
        <v>222</v>
      </c>
      <c r="AM445" t="s">
        <v>223</v>
      </c>
      <c r="AN445" t="s">
        <v>224</v>
      </c>
      <c r="AO445" t="s">
        <v>74</v>
      </c>
      <c r="AP445" t="s">
        <v>457</v>
      </c>
      <c r="AQ445" t="s">
        <v>74</v>
      </c>
      <c r="AR445" t="s">
        <v>446</v>
      </c>
      <c r="AS445" t="s">
        <v>458</v>
      </c>
      <c r="AT445" t="s">
        <v>1752</v>
      </c>
      <c r="AU445">
        <v>2024</v>
      </c>
      <c r="AV445">
        <v>14</v>
      </c>
      <c r="AW445">
        <v>8</v>
      </c>
      <c r="AX445" t="s">
        <v>74</v>
      </c>
      <c r="AY445" t="s">
        <v>74</v>
      </c>
      <c r="AZ445" t="s">
        <v>74</v>
      </c>
      <c r="BA445" t="s">
        <v>74</v>
      </c>
      <c r="BB445" t="s">
        <v>74</v>
      </c>
      <c r="BC445" t="s">
        <v>74</v>
      </c>
      <c r="BD445">
        <v>1720</v>
      </c>
      <c r="BE445" t="s">
        <v>8833</v>
      </c>
      <c r="BF445" t="str">
        <f>HYPERLINK("http://dx.doi.org/10.3390/agronomy14081720","http://dx.doi.org/10.3390/agronomy14081720")</f>
        <v>http://dx.doi.org/10.3390/agronomy14081720</v>
      </c>
      <c r="BG445" t="s">
        <v>74</v>
      </c>
      <c r="BH445" t="s">
        <v>74</v>
      </c>
      <c r="BI445">
        <v>18</v>
      </c>
      <c r="BJ445" t="s">
        <v>461</v>
      </c>
      <c r="BK445" t="s">
        <v>102</v>
      </c>
      <c r="BL445" t="s">
        <v>462</v>
      </c>
      <c r="BM445" t="s">
        <v>8834</v>
      </c>
      <c r="BN445" t="s">
        <v>74</v>
      </c>
      <c r="BO445" t="s">
        <v>231</v>
      </c>
      <c r="BP445" t="s">
        <v>74</v>
      </c>
      <c r="BQ445" t="s">
        <v>74</v>
      </c>
      <c r="BR445" t="s">
        <v>106</v>
      </c>
      <c r="BS445" t="s">
        <v>8835</v>
      </c>
      <c r="BT445" t="str">
        <f>HYPERLINK("https%3A%2F%2Fwww.webofscience.com%2Fwos%2Fwoscc%2Ffull-record%2FWOS:001305753200001","View Full Record in Web of Science")</f>
        <v>View Full Record in Web of Science</v>
      </c>
    </row>
    <row r="446" spans="1:72" x14ac:dyDescent="0.2">
      <c r="A446" t="s">
        <v>72</v>
      </c>
      <c r="B446" t="s">
        <v>8836</v>
      </c>
      <c r="C446" t="s">
        <v>74</v>
      </c>
      <c r="D446" t="s">
        <v>74</v>
      </c>
      <c r="E446" t="s">
        <v>74</v>
      </c>
      <c r="F446" t="s">
        <v>8837</v>
      </c>
      <c r="G446" t="s">
        <v>74</v>
      </c>
      <c r="H446" t="s">
        <v>74</v>
      </c>
      <c r="I446" t="s">
        <v>8838</v>
      </c>
      <c r="J446" t="s">
        <v>1344</v>
      </c>
      <c r="K446" t="s">
        <v>74</v>
      </c>
      <c r="L446" t="s">
        <v>74</v>
      </c>
      <c r="M446" t="s">
        <v>78</v>
      </c>
      <c r="N446" t="s">
        <v>79</v>
      </c>
      <c r="O446" t="s">
        <v>74</v>
      </c>
      <c r="P446" t="s">
        <v>74</v>
      </c>
      <c r="Q446" t="s">
        <v>74</v>
      </c>
      <c r="R446" t="s">
        <v>74</v>
      </c>
      <c r="S446" t="s">
        <v>74</v>
      </c>
      <c r="T446" t="s">
        <v>8839</v>
      </c>
      <c r="U446" t="s">
        <v>8840</v>
      </c>
      <c r="V446" t="s">
        <v>8841</v>
      </c>
      <c r="W446" t="s">
        <v>8842</v>
      </c>
      <c r="X446" t="s">
        <v>8843</v>
      </c>
      <c r="Y446" t="s">
        <v>8844</v>
      </c>
      <c r="Z446" t="s">
        <v>8845</v>
      </c>
      <c r="AA446" t="s">
        <v>74</v>
      </c>
      <c r="AB446" t="s">
        <v>74</v>
      </c>
      <c r="AC446" t="s">
        <v>8846</v>
      </c>
      <c r="AD446" t="s">
        <v>8847</v>
      </c>
      <c r="AE446" t="s">
        <v>8848</v>
      </c>
      <c r="AF446" t="s">
        <v>74</v>
      </c>
      <c r="AG446">
        <v>40</v>
      </c>
      <c r="AH446">
        <v>4</v>
      </c>
      <c r="AI446">
        <v>7</v>
      </c>
      <c r="AJ446">
        <v>0</v>
      </c>
      <c r="AK446">
        <v>40</v>
      </c>
      <c r="AL446" t="s">
        <v>222</v>
      </c>
      <c r="AM446" t="s">
        <v>223</v>
      </c>
      <c r="AN446" t="s">
        <v>224</v>
      </c>
      <c r="AO446" t="s">
        <v>74</v>
      </c>
      <c r="AP446" t="s">
        <v>1354</v>
      </c>
      <c r="AQ446" t="s">
        <v>74</v>
      </c>
      <c r="AR446" t="s">
        <v>1344</v>
      </c>
      <c r="AS446" t="s">
        <v>1355</v>
      </c>
      <c r="AT446" t="s">
        <v>8849</v>
      </c>
      <c r="AU446">
        <v>2023</v>
      </c>
      <c r="AV446">
        <v>13</v>
      </c>
      <c r="AW446">
        <v>5</v>
      </c>
      <c r="AX446" t="s">
        <v>74</v>
      </c>
      <c r="AY446" t="s">
        <v>74</v>
      </c>
      <c r="AZ446" t="s">
        <v>74</v>
      </c>
      <c r="BA446" t="s">
        <v>74</v>
      </c>
      <c r="BB446" t="s">
        <v>74</v>
      </c>
      <c r="BC446" t="s">
        <v>74</v>
      </c>
      <c r="BD446">
        <v>951</v>
      </c>
      <c r="BE446" t="s">
        <v>8850</v>
      </c>
      <c r="BF446" t="str">
        <f>HYPERLINK("http://dx.doi.org/10.3390/agriculture13050951","http://dx.doi.org/10.3390/agriculture13050951")</f>
        <v>http://dx.doi.org/10.3390/agriculture13050951</v>
      </c>
      <c r="BG446" t="s">
        <v>74</v>
      </c>
      <c r="BH446" t="s">
        <v>74</v>
      </c>
      <c r="BI446">
        <v>17</v>
      </c>
      <c r="BJ446" t="s">
        <v>1357</v>
      </c>
      <c r="BK446" t="s">
        <v>102</v>
      </c>
      <c r="BL446" t="s">
        <v>103</v>
      </c>
      <c r="BM446" t="s">
        <v>8851</v>
      </c>
      <c r="BN446" t="s">
        <v>74</v>
      </c>
      <c r="BO446" t="s">
        <v>161</v>
      </c>
      <c r="BP446" t="s">
        <v>74</v>
      </c>
      <c r="BQ446" t="s">
        <v>74</v>
      </c>
      <c r="BR446" t="s">
        <v>106</v>
      </c>
      <c r="BS446" t="s">
        <v>8852</v>
      </c>
      <c r="BT446" t="str">
        <f>HYPERLINK("https%3A%2F%2Fwww.webofscience.com%2Fwos%2Fwoscc%2Ffull-record%2FWOS:000994172600001","View Full Record in Web of Science")</f>
        <v>View Full Record in Web of Science</v>
      </c>
    </row>
    <row r="447" spans="1:72" x14ac:dyDescent="0.2">
      <c r="A447" t="s">
        <v>72</v>
      </c>
      <c r="B447" t="s">
        <v>8853</v>
      </c>
      <c r="C447" t="s">
        <v>74</v>
      </c>
      <c r="D447" t="s">
        <v>74</v>
      </c>
      <c r="E447" t="s">
        <v>74</v>
      </c>
      <c r="F447" t="s">
        <v>8854</v>
      </c>
      <c r="G447" t="s">
        <v>74</v>
      </c>
      <c r="H447" t="s">
        <v>74</v>
      </c>
      <c r="I447" t="s">
        <v>8855</v>
      </c>
      <c r="J447" t="s">
        <v>1344</v>
      </c>
      <c r="K447" t="s">
        <v>74</v>
      </c>
      <c r="L447" t="s">
        <v>74</v>
      </c>
      <c r="M447" t="s">
        <v>78</v>
      </c>
      <c r="N447" t="s">
        <v>79</v>
      </c>
      <c r="O447" t="s">
        <v>74</v>
      </c>
      <c r="P447" t="s">
        <v>74</v>
      </c>
      <c r="Q447" t="s">
        <v>74</v>
      </c>
      <c r="R447" t="s">
        <v>74</v>
      </c>
      <c r="S447" t="s">
        <v>74</v>
      </c>
      <c r="T447" t="s">
        <v>8856</v>
      </c>
      <c r="U447" t="s">
        <v>8857</v>
      </c>
      <c r="V447" t="s">
        <v>8858</v>
      </c>
      <c r="W447" t="s">
        <v>8859</v>
      </c>
      <c r="X447" t="s">
        <v>8860</v>
      </c>
      <c r="Y447" t="s">
        <v>8861</v>
      </c>
      <c r="Z447" t="s">
        <v>8862</v>
      </c>
      <c r="AA447" t="s">
        <v>74</v>
      </c>
      <c r="AB447" t="s">
        <v>8863</v>
      </c>
      <c r="AC447" t="s">
        <v>74</v>
      </c>
      <c r="AD447" t="s">
        <v>74</v>
      </c>
      <c r="AE447" t="s">
        <v>74</v>
      </c>
      <c r="AF447" t="s">
        <v>74</v>
      </c>
      <c r="AG447">
        <v>31</v>
      </c>
      <c r="AH447">
        <v>11</v>
      </c>
      <c r="AI447">
        <v>11</v>
      </c>
      <c r="AJ447">
        <v>10</v>
      </c>
      <c r="AK447">
        <v>83</v>
      </c>
      <c r="AL447" t="s">
        <v>222</v>
      </c>
      <c r="AM447" t="s">
        <v>223</v>
      </c>
      <c r="AN447" t="s">
        <v>224</v>
      </c>
      <c r="AO447" t="s">
        <v>74</v>
      </c>
      <c r="AP447" t="s">
        <v>1354</v>
      </c>
      <c r="AQ447" t="s">
        <v>74</v>
      </c>
      <c r="AR447" t="s">
        <v>1344</v>
      </c>
      <c r="AS447" t="s">
        <v>1355</v>
      </c>
      <c r="AT447" t="s">
        <v>281</v>
      </c>
      <c r="AU447">
        <v>2017</v>
      </c>
      <c r="AV447">
        <v>7</v>
      </c>
      <c r="AW447">
        <v>6</v>
      </c>
      <c r="AX447" t="s">
        <v>74</v>
      </c>
      <c r="AY447" t="s">
        <v>74</v>
      </c>
      <c r="AZ447" t="s">
        <v>74</v>
      </c>
      <c r="BA447" t="s">
        <v>74</v>
      </c>
      <c r="BB447" t="s">
        <v>74</v>
      </c>
      <c r="BC447" t="s">
        <v>74</v>
      </c>
      <c r="BD447">
        <v>49</v>
      </c>
      <c r="BE447" t="s">
        <v>8864</v>
      </c>
      <c r="BF447" t="str">
        <f>HYPERLINK("http://dx.doi.org/10.3390/agriculture7060049","http://dx.doi.org/10.3390/agriculture7060049")</f>
        <v>http://dx.doi.org/10.3390/agriculture7060049</v>
      </c>
      <c r="BG447" t="s">
        <v>74</v>
      </c>
      <c r="BH447" t="s">
        <v>74</v>
      </c>
      <c r="BI447">
        <v>13</v>
      </c>
      <c r="BJ447" t="s">
        <v>1357</v>
      </c>
      <c r="BK447" t="s">
        <v>102</v>
      </c>
      <c r="BL447" t="s">
        <v>103</v>
      </c>
      <c r="BM447" t="s">
        <v>8865</v>
      </c>
      <c r="BN447" t="s">
        <v>74</v>
      </c>
      <c r="BO447" t="s">
        <v>161</v>
      </c>
      <c r="BP447" t="s">
        <v>74</v>
      </c>
      <c r="BQ447" t="s">
        <v>74</v>
      </c>
      <c r="BR447" t="s">
        <v>106</v>
      </c>
      <c r="BS447" t="s">
        <v>8866</v>
      </c>
      <c r="BT447" t="str">
        <f>HYPERLINK("https%3A%2F%2Fwww.webofscience.com%2Fwos%2Fwoscc%2Ffull-record%2FWOS:000404449400003","View Full Record in Web of Science")</f>
        <v>View Full Record in Web of Science</v>
      </c>
    </row>
    <row r="448" spans="1:72" x14ac:dyDescent="0.2">
      <c r="A448" t="s">
        <v>72</v>
      </c>
      <c r="B448" t="s">
        <v>8867</v>
      </c>
      <c r="C448" t="s">
        <v>74</v>
      </c>
      <c r="D448" t="s">
        <v>74</v>
      </c>
      <c r="E448" t="s">
        <v>74</v>
      </c>
      <c r="F448" t="s">
        <v>8868</v>
      </c>
      <c r="G448" t="s">
        <v>74</v>
      </c>
      <c r="H448" t="s">
        <v>74</v>
      </c>
      <c r="I448" t="s">
        <v>8869</v>
      </c>
      <c r="J448" t="s">
        <v>995</v>
      </c>
      <c r="K448" t="s">
        <v>74</v>
      </c>
      <c r="L448" t="s">
        <v>74</v>
      </c>
      <c r="M448" t="s">
        <v>78</v>
      </c>
      <c r="N448" t="s">
        <v>79</v>
      </c>
      <c r="O448" t="s">
        <v>74</v>
      </c>
      <c r="P448" t="s">
        <v>74</v>
      </c>
      <c r="Q448" t="s">
        <v>74</v>
      </c>
      <c r="R448" t="s">
        <v>74</v>
      </c>
      <c r="S448" t="s">
        <v>74</v>
      </c>
      <c r="T448" t="s">
        <v>8870</v>
      </c>
      <c r="U448" t="s">
        <v>8871</v>
      </c>
      <c r="V448" t="s">
        <v>8872</v>
      </c>
      <c r="W448" t="s">
        <v>8873</v>
      </c>
      <c r="X448" t="s">
        <v>8874</v>
      </c>
      <c r="Y448" t="s">
        <v>8875</v>
      </c>
      <c r="Z448" t="s">
        <v>8876</v>
      </c>
      <c r="AA448" t="s">
        <v>8877</v>
      </c>
      <c r="AB448" t="s">
        <v>74</v>
      </c>
      <c r="AC448" t="s">
        <v>8878</v>
      </c>
      <c r="AD448" t="s">
        <v>8879</v>
      </c>
      <c r="AE448" t="s">
        <v>8880</v>
      </c>
      <c r="AF448" t="s">
        <v>74</v>
      </c>
      <c r="AG448">
        <v>58</v>
      </c>
      <c r="AH448">
        <v>5</v>
      </c>
      <c r="AI448">
        <v>5</v>
      </c>
      <c r="AJ448">
        <v>14</v>
      </c>
      <c r="AK448">
        <v>70</v>
      </c>
      <c r="AL448" t="s">
        <v>123</v>
      </c>
      <c r="AM448" t="s">
        <v>124</v>
      </c>
      <c r="AN448" t="s">
        <v>125</v>
      </c>
      <c r="AO448" t="s">
        <v>1008</v>
      </c>
      <c r="AP448" t="s">
        <v>1009</v>
      </c>
      <c r="AQ448" t="s">
        <v>74</v>
      </c>
      <c r="AR448" t="s">
        <v>1010</v>
      </c>
      <c r="AS448" t="s">
        <v>1011</v>
      </c>
      <c r="AT448" t="s">
        <v>4495</v>
      </c>
      <c r="AU448">
        <v>2024</v>
      </c>
      <c r="AV448">
        <v>939</v>
      </c>
      <c r="AW448" t="s">
        <v>74</v>
      </c>
      <c r="AX448" t="s">
        <v>74</v>
      </c>
      <c r="AY448" t="s">
        <v>74</v>
      </c>
      <c r="AZ448" t="s">
        <v>74</v>
      </c>
      <c r="BA448" t="s">
        <v>74</v>
      </c>
      <c r="BB448" t="s">
        <v>74</v>
      </c>
      <c r="BC448" t="s">
        <v>74</v>
      </c>
      <c r="BD448">
        <v>173300</v>
      </c>
      <c r="BE448" t="s">
        <v>8881</v>
      </c>
      <c r="BF448" t="str">
        <f>HYPERLINK("http://dx.doi.org/10.1016/j.scitotenv.2024.173300","http://dx.doi.org/10.1016/j.scitotenv.2024.173300")</f>
        <v>http://dx.doi.org/10.1016/j.scitotenv.2024.173300</v>
      </c>
      <c r="BG448" t="s">
        <v>74</v>
      </c>
      <c r="BH448" t="s">
        <v>4236</v>
      </c>
      <c r="BI448">
        <v>11</v>
      </c>
      <c r="BJ448" t="s">
        <v>567</v>
      </c>
      <c r="BK448" t="s">
        <v>102</v>
      </c>
      <c r="BL448" t="s">
        <v>568</v>
      </c>
      <c r="BM448" t="s">
        <v>8882</v>
      </c>
      <c r="BN448">
        <v>38810757</v>
      </c>
      <c r="BO448" t="s">
        <v>74</v>
      </c>
      <c r="BP448" t="s">
        <v>74</v>
      </c>
      <c r="BQ448" t="s">
        <v>74</v>
      </c>
      <c r="BR448" t="s">
        <v>106</v>
      </c>
      <c r="BS448" t="s">
        <v>8883</v>
      </c>
      <c r="BT448" t="str">
        <f>HYPERLINK("https%3A%2F%2Fwww.webofscience.com%2Fwos%2Fwoscc%2Ffull-record%2FWOS:001250705100002","View Full Record in Web of Science")</f>
        <v>View Full Record in Web of Science</v>
      </c>
    </row>
    <row r="449" spans="1:72" x14ac:dyDescent="0.2">
      <c r="A449" t="s">
        <v>72</v>
      </c>
      <c r="B449" t="s">
        <v>8884</v>
      </c>
      <c r="C449" t="s">
        <v>74</v>
      </c>
      <c r="D449" t="s">
        <v>74</v>
      </c>
      <c r="E449" t="s">
        <v>74</v>
      </c>
      <c r="F449" t="s">
        <v>8885</v>
      </c>
      <c r="G449" t="s">
        <v>74</v>
      </c>
      <c r="H449" t="s">
        <v>74</v>
      </c>
      <c r="I449" t="s">
        <v>8886</v>
      </c>
      <c r="J449" t="s">
        <v>138</v>
      </c>
      <c r="K449" t="s">
        <v>74</v>
      </c>
      <c r="L449" t="s">
        <v>74</v>
      </c>
      <c r="M449" t="s">
        <v>78</v>
      </c>
      <c r="N449" t="s">
        <v>79</v>
      </c>
      <c r="O449" t="s">
        <v>74</v>
      </c>
      <c r="P449" t="s">
        <v>74</v>
      </c>
      <c r="Q449" t="s">
        <v>74</v>
      </c>
      <c r="R449" t="s">
        <v>74</v>
      </c>
      <c r="S449" t="s">
        <v>74</v>
      </c>
      <c r="T449" t="s">
        <v>74</v>
      </c>
      <c r="U449" t="s">
        <v>74</v>
      </c>
      <c r="V449" t="s">
        <v>8887</v>
      </c>
      <c r="W449" t="s">
        <v>8888</v>
      </c>
      <c r="X449" t="s">
        <v>8889</v>
      </c>
      <c r="Y449" t="s">
        <v>8890</v>
      </c>
      <c r="Z449" t="s">
        <v>8891</v>
      </c>
      <c r="AA449" t="s">
        <v>8892</v>
      </c>
      <c r="AB449" t="s">
        <v>74</v>
      </c>
      <c r="AC449" t="s">
        <v>8893</v>
      </c>
      <c r="AD449" t="s">
        <v>8894</v>
      </c>
      <c r="AE449" t="s">
        <v>8895</v>
      </c>
      <c r="AF449" t="s">
        <v>74</v>
      </c>
      <c r="AG449">
        <v>49</v>
      </c>
      <c r="AH449">
        <v>0</v>
      </c>
      <c r="AI449">
        <v>0</v>
      </c>
      <c r="AJ449">
        <v>4</v>
      </c>
      <c r="AK449">
        <v>4</v>
      </c>
      <c r="AL449" t="s">
        <v>150</v>
      </c>
      <c r="AM449" t="s">
        <v>151</v>
      </c>
      <c r="AN449" t="s">
        <v>152</v>
      </c>
      <c r="AO449" t="s">
        <v>74</v>
      </c>
      <c r="AP449" t="s">
        <v>153</v>
      </c>
      <c r="AQ449" t="s">
        <v>74</v>
      </c>
      <c r="AR449" t="s">
        <v>138</v>
      </c>
      <c r="AS449" t="s">
        <v>154</v>
      </c>
      <c r="AT449" t="s">
        <v>74</v>
      </c>
      <c r="AU449">
        <v>2025</v>
      </c>
      <c r="AV449">
        <v>20</v>
      </c>
      <c r="AW449">
        <v>7</v>
      </c>
      <c r="AX449" t="s">
        <v>74</v>
      </c>
      <c r="AY449" t="s">
        <v>74</v>
      </c>
      <c r="AZ449" t="s">
        <v>74</v>
      </c>
      <c r="BA449" t="s">
        <v>74</v>
      </c>
      <c r="BB449" t="s">
        <v>74</v>
      </c>
      <c r="BC449" t="s">
        <v>74</v>
      </c>
      <c r="BD449" t="s">
        <v>8896</v>
      </c>
      <c r="BE449" t="s">
        <v>8897</v>
      </c>
      <c r="BF449" t="str">
        <f>HYPERLINK("http://dx.doi.org/10.1371/journal.pone.0325026","http://dx.doi.org/10.1371/journal.pone.0325026")</f>
        <v>http://dx.doi.org/10.1371/journal.pone.0325026</v>
      </c>
      <c r="BG449" t="s">
        <v>74</v>
      </c>
      <c r="BH449" t="s">
        <v>74</v>
      </c>
      <c r="BI449">
        <v>24</v>
      </c>
      <c r="BJ449" t="s">
        <v>158</v>
      </c>
      <c r="BK449" t="s">
        <v>102</v>
      </c>
      <c r="BL449" t="s">
        <v>159</v>
      </c>
      <c r="BM449" t="s">
        <v>8898</v>
      </c>
      <c r="BN449">
        <v>40601757</v>
      </c>
      <c r="BO449" t="s">
        <v>161</v>
      </c>
      <c r="BP449" t="s">
        <v>74</v>
      </c>
      <c r="BQ449" t="s">
        <v>74</v>
      </c>
      <c r="BR449" t="s">
        <v>106</v>
      </c>
      <c r="BS449" t="s">
        <v>8899</v>
      </c>
      <c r="BT449" t="str">
        <f>HYPERLINK("https%3A%2F%2Fwww.webofscience.com%2Fwos%2Fwoscc%2Ffull-record%2FWOS:001522088600001","View Full Record in Web of Science")</f>
        <v>View Full Record in Web of Science</v>
      </c>
    </row>
    <row r="450" spans="1:72" x14ac:dyDescent="0.2">
      <c r="A450" t="s">
        <v>72</v>
      </c>
      <c r="B450" t="s">
        <v>8900</v>
      </c>
      <c r="C450" t="s">
        <v>74</v>
      </c>
      <c r="D450" t="s">
        <v>74</v>
      </c>
      <c r="E450" t="s">
        <v>74</v>
      </c>
      <c r="F450" t="s">
        <v>8901</v>
      </c>
      <c r="G450" t="s">
        <v>74</v>
      </c>
      <c r="H450" t="s">
        <v>74</v>
      </c>
      <c r="I450" t="s">
        <v>8902</v>
      </c>
      <c r="J450" t="s">
        <v>2275</v>
      </c>
      <c r="K450" t="s">
        <v>74</v>
      </c>
      <c r="L450" t="s">
        <v>74</v>
      </c>
      <c r="M450" t="s">
        <v>78</v>
      </c>
      <c r="N450" t="s">
        <v>79</v>
      </c>
      <c r="O450" t="s">
        <v>74</v>
      </c>
      <c r="P450" t="s">
        <v>74</v>
      </c>
      <c r="Q450" t="s">
        <v>74</v>
      </c>
      <c r="R450" t="s">
        <v>74</v>
      </c>
      <c r="S450" t="s">
        <v>74</v>
      </c>
      <c r="T450" t="s">
        <v>8903</v>
      </c>
      <c r="U450" t="s">
        <v>8904</v>
      </c>
      <c r="V450" t="s">
        <v>8905</v>
      </c>
      <c r="W450" t="s">
        <v>8906</v>
      </c>
      <c r="X450" t="s">
        <v>8907</v>
      </c>
      <c r="Y450" t="s">
        <v>8908</v>
      </c>
      <c r="Z450" t="s">
        <v>8909</v>
      </c>
      <c r="AA450" t="s">
        <v>8910</v>
      </c>
      <c r="AB450" t="s">
        <v>8911</v>
      </c>
      <c r="AC450" t="s">
        <v>8912</v>
      </c>
      <c r="AD450" t="s">
        <v>8913</v>
      </c>
      <c r="AE450" t="s">
        <v>8914</v>
      </c>
      <c r="AF450" t="s">
        <v>74</v>
      </c>
      <c r="AG450">
        <v>91</v>
      </c>
      <c r="AH450">
        <v>2</v>
      </c>
      <c r="AI450">
        <v>2</v>
      </c>
      <c r="AJ450">
        <v>13</v>
      </c>
      <c r="AK450">
        <v>37</v>
      </c>
      <c r="AL450" t="s">
        <v>247</v>
      </c>
      <c r="AM450" t="s">
        <v>248</v>
      </c>
      <c r="AN450" t="s">
        <v>249</v>
      </c>
      <c r="AO450" t="s">
        <v>2288</v>
      </c>
      <c r="AP450" t="s">
        <v>2289</v>
      </c>
      <c r="AQ450" t="s">
        <v>74</v>
      </c>
      <c r="AR450" t="s">
        <v>2290</v>
      </c>
      <c r="AS450" t="s">
        <v>2291</v>
      </c>
      <c r="AT450" t="s">
        <v>912</v>
      </c>
      <c r="AU450">
        <v>2025</v>
      </c>
      <c r="AV450">
        <v>19</v>
      </c>
      <c r="AW450">
        <v>3</v>
      </c>
      <c r="AX450" t="s">
        <v>74</v>
      </c>
      <c r="AY450" t="s">
        <v>74</v>
      </c>
      <c r="AZ450" t="s">
        <v>74</v>
      </c>
      <c r="BA450" t="s">
        <v>74</v>
      </c>
      <c r="BB450">
        <v>759</v>
      </c>
      <c r="BC450">
        <v>775</v>
      </c>
      <c r="BD450" t="s">
        <v>74</v>
      </c>
      <c r="BE450" t="s">
        <v>8915</v>
      </c>
      <c r="BF450" t="str">
        <f>HYPERLINK("http://dx.doi.org/10.1002/bbb.2734","http://dx.doi.org/10.1002/bbb.2734")</f>
        <v>http://dx.doi.org/10.1002/bbb.2734</v>
      </c>
      <c r="BG450" t="s">
        <v>74</v>
      </c>
      <c r="BH450" t="s">
        <v>1495</v>
      </c>
      <c r="BI450">
        <v>17</v>
      </c>
      <c r="BJ450" t="s">
        <v>2294</v>
      </c>
      <c r="BK450" t="s">
        <v>102</v>
      </c>
      <c r="BL450" t="s">
        <v>2294</v>
      </c>
      <c r="BM450" t="s">
        <v>8916</v>
      </c>
      <c r="BN450" t="s">
        <v>74</v>
      </c>
      <c r="BO450" t="s">
        <v>74</v>
      </c>
      <c r="BP450" t="s">
        <v>74</v>
      </c>
      <c r="BQ450" t="s">
        <v>74</v>
      </c>
      <c r="BR450" t="s">
        <v>106</v>
      </c>
      <c r="BS450" t="s">
        <v>8917</v>
      </c>
      <c r="BT450" t="str">
        <f>HYPERLINK("https%3A%2F%2Fwww.webofscience.com%2Fwos%2Fwoscc%2Ffull-record%2FWOS:001410671400001","View Full Record in Web of Science")</f>
        <v>View Full Record in Web of Science</v>
      </c>
    </row>
    <row r="451" spans="1:72" x14ac:dyDescent="0.2">
      <c r="A451" t="s">
        <v>72</v>
      </c>
      <c r="B451" t="s">
        <v>8918</v>
      </c>
      <c r="C451" t="s">
        <v>74</v>
      </c>
      <c r="D451" t="s">
        <v>74</v>
      </c>
      <c r="E451" t="s">
        <v>74</v>
      </c>
      <c r="F451" t="s">
        <v>8919</v>
      </c>
      <c r="G451" t="s">
        <v>74</v>
      </c>
      <c r="H451" t="s">
        <v>74</v>
      </c>
      <c r="I451" t="s">
        <v>8920</v>
      </c>
      <c r="J451" t="s">
        <v>8921</v>
      </c>
      <c r="K451" t="s">
        <v>74</v>
      </c>
      <c r="L451" t="s">
        <v>74</v>
      </c>
      <c r="M451" t="s">
        <v>78</v>
      </c>
      <c r="N451" t="s">
        <v>79</v>
      </c>
      <c r="O451" t="s">
        <v>74</v>
      </c>
      <c r="P451" t="s">
        <v>74</v>
      </c>
      <c r="Q451" t="s">
        <v>74</v>
      </c>
      <c r="R451" t="s">
        <v>74</v>
      </c>
      <c r="S451" t="s">
        <v>74</v>
      </c>
      <c r="T451" t="s">
        <v>8922</v>
      </c>
      <c r="U451" t="s">
        <v>8923</v>
      </c>
      <c r="V451" t="s">
        <v>8924</v>
      </c>
      <c r="W451" t="s">
        <v>8925</v>
      </c>
      <c r="X451" t="s">
        <v>74</v>
      </c>
      <c r="Y451" t="s">
        <v>8926</v>
      </c>
      <c r="Z451" t="s">
        <v>8927</v>
      </c>
      <c r="AA451" t="s">
        <v>8928</v>
      </c>
      <c r="AB451" t="s">
        <v>8929</v>
      </c>
      <c r="AC451" t="s">
        <v>8930</v>
      </c>
      <c r="AD451" t="s">
        <v>8930</v>
      </c>
      <c r="AE451" t="s">
        <v>8931</v>
      </c>
      <c r="AF451" t="s">
        <v>74</v>
      </c>
      <c r="AG451">
        <v>25</v>
      </c>
      <c r="AH451">
        <v>4</v>
      </c>
      <c r="AI451">
        <v>4</v>
      </c>
      <c r="AJ451">
        <v>2</v>
      </c>
      <c r="AK451">
        <v>18</v>
      </c>
      <c r="AL451" t="s">
        <v>4471</v>
      </c>
      <c r="AM451" t="s">
        <v>4472</v>
      </c>
      <c r="AN451" t="s">
        <v>4473</v>
      </c>
      <c r="AO451" t="s">
        <v>8932</v>
      </c>
      <c r="AP451" t="s">
        <v>8933</v>
      </c>
      <c r="AQ451" t="s">
        <v>74</v>
      </c>
      <c r="AR451" t="s">
        <v>8934</v>
      </c>
      <c r="AS451" t="s">
        <v>8935</v>
      </c>
      <c r="AT451" t="s">
        <v>960</v>
      </c>
      <c r="AU451">
        <v>2023</v>
      </c>
      <c r="AV451">
        <v>45</v>
      </c>
      <c r="AW451">
        <v>1</v>
      </c>
      <c r="AX451" t="s">
        <v>74</v>
      </c>
      <c r="AY451" t="s">
        <v>74</v>
      </c>
      <c r="AZ451" t="s">
        <v>74</v>
      </c>
      <c r="BA451" t="s">
        <v>74</v>
      </c>
      <c r="BB451">
        <v>3041</v>
      </c>
      <c r="BC451">
        <v>3055</v>
      </c>
      <c r="BD451" t="s">
        <v>74</v>
      </c>
      <c r="BE451" t="s">
        <v>8936</v>
      </c>
      <c r="BF451" t="str">
        <f>HYPERLINK("http://dx.doi.org/10.1080/15567036.2023.2193154","http://dx.doi.org/10.1080/15567036.2023.2193154")</f>
        <v>http://dx.doi.org/10.1080/15567036.2023.2193154</v>
      </c>
      <c r="BG451" t="s">
        <v>74</v>
      </c>
      <c r="BH451" t="s">
        <v>74</v>
      </c>
      <c r="BI451">
        <v>15</v>
      </c>
      <c r="BJ451" t="s">
        <v>8937</v>
      </c>
      <c r="BK451" t="s">
        <v>102</v>
      </c>
      <c r="BL451" t="s">
        <v>8938</v>
      </c>
      <c r="BM451" t="s">
        <v>8939</v>
      </c>
      <c r="BN451" t="s">
        <v>74</v>
      </c>
      <c r="BO451" t="s">
        <v>74</v>
      </c>
      <c r="BP451" t="s">
        <v>74</v>
      </c>
      <c r="BQ451" t="s">
        <v>74</v>
      </c>
      <c r="BR451" t="s">
        <v>106</v>
      </c>
      <c r="BS451" t="s">
        <v>8940</v>
      </c>
      <c r="BT451" t="str">
        <f>HYPERLINK("https%3A%2F%2Fwww.webofscience.com%2Fwos%2Fwoscc%2Ffull-record%2FWOS:000956718500001","View Full Record in Web of Science")</f>
        <v>View Full Record in Web of Science</v>
      </c>
    </row>
    <row r="452" spans="1:72" x14ac:dyDescent="0.2">
      <c r="A452" t="s">
        <v>72</v>
      </c>
      <c r="B452" t="s">
        <v>8941</v>
      </c>
      <c r="C452" t="s">
        <v>74</v>
      </c>
      <c r="D452" t="s">
        <v>74</v>
      </c>
      <c r="E452" t="s">
        <v>74</v>
      </c>
      <c r="F452" t="s">
        <v>8942</v>
      </c>
      <c r="G452" t="s">
        <v>74</v>
      </c>
      <c r="H452" t="s">
        <v>74</v>
      </c>
      <c r="I452" t="s">
        <v>8943</v>
      </c>
      <c r="J452" t="s">
        <v>995</v>
      </c>
      <c r="K452" t="s">
        <v>74</v>
      </c>
      <c r="L452" t="s">
        <v>74</v>
      </c>
      <c r="M452" t="s">
        <v>78</v>
      </c>
      <c r="N452" t="s">
        <v>79</v>
      </c>
      <c r="O452" t="s">
        <v>74</v>
      </c>
      <c r="P452" t="s">
        <v>74</v>
      </c>
      <c r="Q452" t="s">
        <v>74</v>
      </c>
      <c r="R452" t="s">
        <v>74</v>
      </c>
      <c r="S452" t="s">
        <v>74</v>
      </c>
      <c r="T452" t="s">
        <v>8944</v>
      </c>
      <c r="U452" t="s">
        <v>8945</v>
      </c>
      <c r="V452" t="s">
        <v>8946</v>
      </c>
      <c r="W452" t="s">
        <v>8947</v>
      </c>
      <c r="X452" t="s">
        <v>3997</v>
      </c>
      <c r="Y452" t="s">
        <v>8948</v>
      </c>
      <c r="Z452" t="s">
        <v>8949</v>
      </c>
      <c r="AA452" t="s">
        <v>8950</v>
      </c>
      <c r="AB452" t="s">
        <v>74</v>
      </c>
      <c r="AC452" t="s">
        <v>8951</v>
      </c>
      <c r="AD452" t="s">
        <v>1591</v>
      </c>
      <c r="AE452" t="s">
        <v>8952</v>
      </c>
      <c r="AF452" t="s">
        <v>74</v>
      </c>
      <c r="AG452">
        <v>40</v>
      </c>
      <c r="AH452">
        <v>50</v>
      </c>
      <c r="AI452">
        <v>55</v>
      </c>
      <c r="AJ452">
        <v>11</v>
      </c>
      <c r="AK452">
        <v>147</v>
      </c>
      <c r="AL452" t="s">
        <v>123</v>
      </c>
      <c r="AM452" t="s">
        <v>124</v>
      </c>
      <c r="AN452" t="s">
        <v>125</v>
      </c>
      <c r="AO452" t="s">
        <v>1008</v>
      </c>
      <c r="AP452" t="s">
        <v>1009</v>
      </c>
      <c r="AQ452" t="s">
        <v>74</v>
      </c>
      <c r="AR452" t="s">
        <v>1010</v>
      </c>
      <c r="AS452" t="s">
        <v>1011</v>
      </c>
      <c r="AT452" t="s">
        <v>1632</v>
      </c>
      <c r="AU452">
        <v>2020</v>
      </c>
      <c r="AV452">
        <v>698</v>
      </c>
      <c r="AW452" t="s">
        <v>74</v>
      </c>
      <c r="AX452" t="s">
        <v>74</v>
      </c>
      <c r="AY452" t="s">
        <v>74</v>
      </c>
      <c r="AZ452" t="s">
        <v>74</v>
      </c>
      <c r="BA452" t="s">
        <v>74</v>
      </c>
      <c r="BB452" t="s">
        <v>74</v>
      </c>
      <c r="BC452" t="s">
        <v>74</v>
      </c>
      <c r="BD452">
        <v>134010</v>
      </c>
      <c r="BE452" t="s">
        <v>8953</v>
      </c>
      <c r="BF452" t="str">
        <f>HYPERLINK("http://dx.doi.org/10.1016/j.scitotenv.2019.134010","http://dx.doi.org/10.1016/j.scitotenv.2019.134010")</f>
        <v>http://dx.doi.org/10.1016/j.scitotenv.2019.134010</v>
      </c>
      <c r="BG452" t="s">
        <v>74</v>
      </c>
      <c r="BH452" t="s">
        <v>74</v>
      </c>
      <c r="BI452">
        <v>9</v>
      </c>
      <c r="BJ452" t="s">
        <v>567</v>
      </c>
      <c r="BK452" t="s">
        <v>102</v>
      </c>
      <c r="BL452" t="s">
        <v>568</v>
      </c>
      <c r="BM452" t="s">
        <v>8954</v>
      </c>
      <c r="BN452">
        <v>31505337</v>
      </c>
      <c r="BO452" t="s">
        <v>74</v>
      </c>
      <c r="BP452" t="s">
        <v>74</v>
      </c>
      <c r="BQ452" t="s">
        <v>74</v>
      </c>
      <c r="BR452" t="s">
        <v>106</v>
      </c>
      <c r="BS452" t="s">
        <v>8955</v>
      </c>
      <c r="BT452" t="str">
        <f>HYPERLINK("https%3A%2F%2Fwww.webofscience.com%2Fwos%2Fwoscc%2Ffull-record%2FWOS:000500580700008","View Full Record in Web of Science")</f>
        <v>View Full Record in Web of Science</v>
      </c>
    </row>
    <row r="453" spans="1:72" x14ac:dyDescent="0.2">
      <c r="A453" t="s">
        <v>72</v>
      </c>
      <c r="B453" t="s">
        <v>8956</v>
      </c>
      <c r="C453" t="s">
        <v>74</v>
      </c>
      <c r="D453" t="s">
        <v>74</v>
      </c>
      <c r="E453" t="s">
        <v>74</v>
      </c>
      <c r="F453" t="s">
        <v>8957</v>
      </c>
      <c r="G453" t="s">
        <v>74</v>
      </c>
      <c r="H453" t="s">
        <v>74</v>
      </c>
      <c r="I453" t="s">
        <v>8958</v>
      </c>
      <c r="J453" t="s">
        <v>3061</v>
      </c>
      <c r="K453" t="s">
        <v>74</v>
      </c>
      <c r="L453" t="s">
        <v>74</v>
      </c>
      <c r="M453" t="s">
        <v>78</v>
      </c>
      <c r="N453" t="s">
        <v>79</v>
      </c>
      <c r="O453" t="s">
        <v>74</v>
      </c>
      <c r="P453" t="s">
        <v>74</v>
      </c>
      <c r="Q453" t="s">
        <v>74</v>
      </c>
      <c r="R453" t="s">
        <v>74</v>
      </c>
      <c r="S453" t="s">
        <v>74</v>
      </c>
      <c r="T453" t="s">
        <v>8959</v>
      </c>
      <c r="U453" t="s">
        <v>8960</v>
      </c>
      <c r="V453" t="s">
        <v>8961</v>
      </c>
      <c r="W453" t="s">
        <v>8962</v>
      </c>
      <c r="X453" t="s">
        <v>8963</v>
      </c>
      <c r="Y453" t="s">
        <v>8964</v>
      </c>
      <c r="Z453" t="s">
        <v>8965</v>
      </c>
      <c r="AA453" t="s">
        <v>8966</v>
      </c>
      <c r="AB453" t="s">
        <v>74</v>
      </c>
      <c r="AC453" t="s">
        <v>8967</v>
      </c>
      <c r="AD453" t="s">
        <v>8968</v>
      </c>
      <c r="AE453" t="s">
        <v>8969</v>
      </c>
      <c r="AF453" t="s">
        <v>74</v>
      </c>
      <c r="AG453">
        <v>45</v>
      </c>
      <c r="AH453">
        <v>38</v>
      </c>
      <c r="AI453">
        <v>41</v>
      </c>
      <c r="AJ453">
        <v>4</v>
      </c>
      <c r="AK453">
        <v>195</v>
      </c>
      <c r="AL453" t="s">
        <v>2162</v>
      </c>
      <c r="AM453" t="s">
        <v>124</v>
      </c>
      <c r="AN453" t="s">
        <v>2163</v>
      </c>
      <c r="AO453" t="s">
        <v>3074</v>
      </c>
      <c r="AP453" t="s">
        <v>3075</v>
      </c>
      <c r="AQ453" t="s">
        <v>74</v>
      </c>
      <c r="AR453" t="s">
        <v>3061</v>
      </c>
      <c r="AS453" t="s">
        <v>3076</v>
      </c>
      <c r="AT453" t="s">
        <v>4005</v>
      </c>
      <c r="AU453">
        <v>2017</v>
      </c>
      <c r="AV453">
        <v>307</v>
      </c>
      <c r="AW453" t="s">
        <v>74</v>
      </c>
      <c r="AX453" t="s">
        <v>74</v>
      </c>
      <c r="AY453" t="s">
        <v>74</v>
      </c>
      <c r="AZ453" t="s">
        <v>74</v>
      </c>
      <c r="BA453" t="s">
        <v>74</v>
      </c>
      <c r="BB453">
        <v>38</v>
      </c>
      <c r="BC453">
        <v>45</v>
      </c>
      <c r="BD453" t="s">
        <v>74</v>
      </c>
      <c r="BE453" t="s">
        <v>8970</v>
      </c>
      <c r="BF453" t="str">
        <f>HYPERLINK("http://dx.doi.org/10.1016/j.geoderma.2017.07.036","http://dx.doi.org/10.1016/j.geoderma.2017.07.036")</f>
        <v>http://dx.doi.org/10.1016/j.geoderma.2017.07.036</v>
      </c>
      <c r="BG453" t="s">
        <v>74</v>
      </c>
      <c r="BH453" t="s">
        <v>74</v>
      </c>
      <c r="BI453">
        <v>8</v>
      </c>
      <c r="BJ453" t="s">
        <v>256</v>
      </c>
      <c r="BK453" t="s">
        <v>102</v>
      </c>
      <c r="BL453" t="s">
        <v>103</v>
      </c>
      <c r="BM453" t="s">
        <v>8971</v>
      </c>
      <c r="BN453" t="s">
        <v>74</v>
      </c>
      <c r="BO453" t="s">
        <v>74</v>
      </c>
      <c r="BP453" t="s">
        <v>74</v>
      </c>
      <c r="BQ453" t="s">
        <v>74</v>
      </c>
      <c r="BR453" t="s">
        <v>106</v>
      </c>
      <c r="BS453" t="s">
        <v>8972</v>
      </c>
      <c r="BT453" t="str">
        <f>HYPERLINK("https%3A%2F%2Fwww.webofscience.com%2Fwos%2Fwoscc%2Ffull-record%2FWOS:000412035600005","View Full Record in Web of Science")</f>
        <v>View Full Record in Web of Science</v>
      </c>
    </row>
    <row r="454" spans="1:72" x14ac:dyDescent="0.2">
      <c r="A454" t="s">
        <v>72</v>
      </c>
      <c r="B454" t="s">
        <v>8973</v>
      </c>
      <c r="C454" t="s">
        <v>74</v>
      </c>
      <c r="D454" t="s">
        <v>74</v>
      </c>
      <c r="E454" t="s">
        <v>74</v>
      </c>
      <c r="F454" t="s">
        <v>8974</v>
      </c>
      <c r="G454" t="s">
        <v>74</v>
      </c>
      <c r="H454" t="s">
        <v>74</v>
      </c>
      <c r="I454" t="s">
        <v>8975</v>
      </c>
      <c r="J454" t="s">
        <v>8976</v>
      </c>
      <c r="K454" t="s">
        <v>74</v>
      </c>
      <c r="L454" t="s">
        <v>74</v>
      </c>
      <c r="M454" t="s">
        <v>78</v>
      </c>
      <c r="N454" t="s">
        <v>79</v>
      </c>
      <c r="O454" t="s">
        <v>74</v>
      </c>
      <c r="P454" t="s">
        <v>74</v>
      </c>
      <c r="Q454" t="s">
        <v>74</v>
      </c>
      <c r="R454" t="s">
        <v>74</v>
      </c>
      <c r="S454" t="s">
        <v>74</v>
      </c>
      <c r="T454" t="s">
        <v>8977</v>
      </c>
      <c r="U454" t="s">
        <v>8978</v>
      </c>
      <c r="V454" t="s">
        <v>8979</v>
      </c>
      <c r="W454" t="s">
        <v>8980</v>
      </c>
      <c r="X454" t="s">
        <v>8981</v>
      </c>
      <c r="Y454" t="s">
        <v>8982</v>
      </c>
      <c r="Z454" t="s">
        <v>8983</v>
      </c>
      <c r="AA454" t="s">
        <v>8984</v>
      </c>
      <c r="AB454" t="s">
        <v>74</v>
      </c>
      <c r="AC454" t="s">
        <v>74</v>
      </c>
      <c r="AD454" t="s">
        <v>74</v>
      </c>
      <c r="AE454" t="s">
        <v>74</v>
      </c>
      <c r="AF454" t="s">
        <v>74</v>
      </c>
      <c r="AG454">
        <v>22</v>
      </c>
      <c r="AH454">
        <v>3</v>
      </c>
      <c r="AI454">
        <v>4</v>
      </c>
      <c r="AJ454">
        <v>0</v>
      </c>
      <c r="AK454">
        <v>13</v>
      </c>
      <c r="AL454" t="s">
        <v>8985</v>
      </c>
      <c r="AM454" t="s">
        <v>8986</v>
      </c>
      <c r="AN454" t="s">
        <v>8987</v>
      </c>
      <c r="AO454" t="s">
        <v>8988</v>
      </c>
      <c r="AP454" t="s">
        <v>8989</v>
      </c>
      <c r="AQ454" t="s">
        <v>74</v>
      </c>
      <c r="AR454" t="s">
        <v>8990</v>
      </c>
      <c r="AS454" t="s">
        <v>8991</v>
      </c>
      <c r="AT454" t="s">
        <v>8992</v>
      </c>
      <c r="AU454">
        <v>2018</v>
      </c>
      <c r="AV454">
        <v>20</v>
      </c>
      <c r="AW454">
        <v>2</v>
      </c>
      <c r="AX454" t="s">
        <v>74</v>
      </c>
      <c r="AY454" t="s">
        <v>74</v>
      </c>
      <c r="AZ454" t="s">
        <v>74</v>
      </c>
      <c r="BA454" t="s">
        <v>74</v>
      </c>
      <c r="BB454">
        <v>211</v>
      </c>
      <c r="BC454">
        <v>217</v>
      </c>
      <c r="BD454" t="s">
        <v>74</v>
      </c>
      <c r="BE454" t="s">
        <v>8993</v>
      </c>
      <c r="BF454" t="str">
        <f>HYPERLINK("http://dx.doi.org/10.1590/1806-9061-2017-0593","http://dx.doi.org/10.1590/1806-9061-2017-0593")</f>
        <v>http://dx.doi.org/10.1590/1806-9061-2017-0593</v>
      </c>
      <c r="BG454" t="s">
        <v>74</v>
      </c>
      <c r="BH454" t="s">
        <v>74</v>
      </c>
      <c r="BI454">
        <v>7</v>
      </c>
      <c r="BJ454" t="s">
        <v>3055</v>
      </c>
      <c r="BK454" t="s">
        <v>102</v>
      </c>
      <c r="BL454" t="s">
        <v>103</v>
      </c>
      <c r="BM454" t="s">
        <v>8994</v>
      </c>
      <c r="BN454" t="s">
        <v>74</v>
      </c>
      <c r="BO454" t="s">
        <v>161</v>
      </c>
      <c r="BP454" t="s">
        <v>74</v>
      </c>
      <c r="BQ454" t="s">
        <v>74</v>
      </c>
      <c r="BR454" t="s">
        <v>106</v>
      </c>
      <c r="BS454" t="s">
        <v>8995</v>
      </c>
      <c r="BT454" t="str">
        <f>HYPERLINK("https%3A%2F%2Fwww.webofscience.com%2Fwos%2Fwoscc%2Ffull-record%2FWOS:000440191300005","View Full Record in Web of Science")</f>
        <v>View Full Record in Web of Science</v>
      </c>
    </row>
    <row r="455" spans="1:72" x14ac:dyDescent="0.2">
      <c r="A455" t="s">
        <v>72</v>
      </c>
      <c r="B455" t="s">
        <v>8996</v>
      </c>
      <c r="C455" t="s">
        <v>74</v>
      </c>
      <c r="D455" t="s">
        <v>74</v>
      </c>
      <c r="E455" t="s">
        <v>74</v>
      </c>
      <c r="F455" t="s">
        <v>8997</v>
      </c>
      <c r="G455" t="s">
        <v>74</v>
      </c>
      <c r="H455" t="s">
        <v>74</v>
      </c>
      <c r="I455" t="s">
        <v>8998</v>
      </c>
      <c r="J455" t="s">
        <v>828</v>
      </c>
      <c r="K455" t="s">
        <v>74</v>
      </c>
      <c r="L455" t="s">
        <v>74</v>
      </c>
      <c r="M455" t="s">
        <v>78</v>
      </c>
      <c r="N455" t="s">
        <v>79</v>
      </c>
      <c r="O455" t="s">
        <v>74</v>
      </c>
      <c r="P455" t="s">
        <v>74</v>
      </c>
      <c r="Q455" t="s">
        <v>74</v>
      </c>
      <c r="R455" t="s">
        <v>74</v>
      </c>
      <c r="S455" t="s">
        <v>74</v>
      </c>
      <c r="T455" t="s">
        <v>8999</v>
      </c>
      <c r="U455" t="s">
        <v>74</v>
      </c>
      <c r="V455" t="s">
        <v>9000</v>
      </c>
      <c r="W455" t="s">
        <v>9001</v>
      </c>
      <c r="X455" t="s">
        <v>9002</v>
      </c>
      <c r="Y455" t="s">
        <v>9003</v>
      </c>
      <c r="Z455" t="s">
        <v>9004</v>
      </c>
      <c r="AA455" t="s">
        <v>9005</v>
      </c>
      <c r="AB455" t="s">
        <v>74</v>
      </c>
      <c r="AC455" t="s">
        <v>9006</v>
      </c>
      <c r="AD455" t="s">
        <v>9007</v>
      </c>
      <c r="AE455" t="s">
        <v>9008</v>
      </c>
      <c r="AF455" t="s">
        <v>74</v>
      </c>
      <c r="AG455">
        <v>11</v>
      </c>
      <c r="AH455">
        <v>0</v>
      </c>
      <c r="AI455">
        <v>0</v>
      </c>
      <c r="AJ455">
        <v>0</v>
      </c>
      <c r="AK455">
        <v>0</v>
      </c>
      <c r="AL455" t="s">
        <v>835</v>
      </c>
      <c r="AM455" t="s">
        <v>836</v>
      </c>
      <c r="AN455" t="s">
        <v>837</v>
      </c>
      <c r="AO455" t="s">
        <v>838</v>
      </c>
      <c r="AP455" t="s">
        <v>74</v>
      </c>
      <c r="AQ455" t="s">
        <v>74</v>
      </c>
      <c r="AR455" t="s">
        <v>839</v>
      </c>
      <c r="AS455" t="s">
        <v>840</v>
      </c>
      <c r="AT455" t="s">
        <v>74</v>
      </c>
      <c r="AU455">
        <v>2023</v>
      </c>
      <c r="AV455">
        <v>54</v>
      </c>
      <c r="AW455">
        <v>2</v>
      </c>
      <c r="AX455" t="s">
        <v>74</v>
      </c>
      <c r="AY455" t="s">
        <v>74</v>
      </c>
      <c r="AZ455" t="s">
        <v>74</v>
      </c>
      <c r="BA455" t="s">
        <v>74</v>
      </c>
      <c r="BB455" t="s">
        <v>74</v>
      </c>
      <c r="BC455" t="s">
        <v>74</v>
      </c>
      <c r="BD455" t="s">
        <v>74</v>
      </c>
      <c r="BE455" t="s">
        <v>74</v>
      </c>
      <c r="BF455" t="s">
        <v>74</v>
      </c>
      <c r="BG455" t="s">
        <v>74</v>
      </c>
      <c r="BH455" t="s">
        <v>74</v>
      </c>
      <c r="BI455">
        <v>98</v>
      </c>
      <c r="BJ455" t="s">
        <v>842</v>
      </c>
      <c r="BK455" t="s">
        <v>102</v>
      </c>
      <c r="BL455" t="s">
        <v>103</v>
      </c>
      <c r="BM455" t="s">
        <v>9009</v>
      </c>
      <c r="BN455" t="s">
        <v>74</v>
      </c>
      <c r="BO455" t="s">
        <v>74</v>
      </c>
      <c r="BP455" t="s">
        <v>74</v>
      </c>
      <c r="BQ455" t="s">
        <v>74</v>
      </c>
      <c r="BR455" t="s">
        <v>106</v>
      </c>
      <c r="BS455" t="s">
        <v>9010</v>
      </c>
      <c r="BT455" t="str">
        <f>HYPERLINK("https%3A%2F%2Fwww.webofscience.com%2Fwos%2Fwoscc%2Ffull-record%2FWOS:001279387400001","View Full Record in Web of Science")</f>
        <v>View Full Record in Web of Science</v>
      </c>
    </row>
    <row r="456" spans="1:72" x14ac:dyDescent="0.2">
      <c r="A456" t="s">
        <v>72</v>
      </c>
      <c r="B456" t="s">
        <v>9011</v>
      </c>
      <c r="C456" t="s">
        <v>74</v>
      </c>
      <c r="D456" t="s">
        <v>74</v>
      </c>
      <c r="E456" t="s">
        <v>74</v>
      </c>
      <c r="F456" t="s">
        <v>9012</v>
      </c>
      <c r="G456" t="s">
        <v>74</v>
      </c>
      <c r="H456" t="s">
        <v>74</v>
      </c>
      <c r="I456" t="s">
        <v>9013</v>
      </c>
      <c r="J456" t="s">
        <v>446</v>
      </c>
      <c r="K456" t="s">
        <v>74</v>
      </c>
      <c r="L456" t="s">
        <v>74</v>
      </c>
      <c r="M456" t="s">
        <v>78</v>
      </c>
      <c r="N456" t="s">
        <v>79</v>
      </c>
      <c r="O456" t="s">
        <v>74</v>
      </c>
      <c r="P456" t="s">
        <v>74</v>
      </c>
      <c r="Q456" t="s">
        <v>74</v>
      </c>
      <c r="R456" t="s">
        <v>74</v>
      </c>
      <c r="S456" t="s">
        <v>74</v>
      </c>
      <c r="T456" t="s">
        <v>9014</v>
      </c>
      <c r="U456" t="s">
        <v>9015</v>
      </c>
      <c r="V456" t="s">
        <v>9016</v>
      </c>
      <c r="W456" t="s">
        <v>9017</v>
      </c>
      <c r="X456" t="s">
        <v>9018</v>
      </c>
      <c r="Y456" t="s">
        <v>9019</v>
      </c>
      <c r="Z456" t="s">
        <v>9020</v>
      </c>
      <c r="AA456" t="s">
        <v>9021</v>
      </c>
      <c r="AB456" t="s">
        <v>9022</v>
      </c>
      <c r="AC456" t="s">
        <v>9023</v>
      </c>
      <c r="AD456" t="s">
        <v>9024</v>
      </c>
      <c r="AE456" t="s">
        <v>9025</v>
      </c>
      <c r="AF456" t="s">
        <v>74</v>
      </c>
      <c r="AG456">
        <v>76</v>
      </c>
      <c r="AH456">
        <v>28</v>
      </c>
      <c r="AI456">
        <v>29</v>
      </c>
      <c r="AJ456">
        <v>4</v>
      </c>
      <c r="AK456">
        <v>47</v>
      </c>
      <c r="AL456" t="s">
        <v>222</v>
      </c>
      <c r="AM456" t="s">
        <v>223</v>
      </c>
      <c r="AN456" t="s">
        <v>478</v>
      </c>
      <c r="AO456" t="s">
        <v>74</v>
      </c>
      <c r="AP456" t="s">
        <v>457</v>
      </c>
      <c r="AQ456" t="s">
        <v>74</v>
      </c>
      <c r="AR456" t="s">
        <v>446</v>
      </c>
      <c r="AS456" t="s">
        <v>458</v>
      </c>
      <c r="AT456" t="s">
        <v>459</v>
      </c>
      <c r="AU456">
        <v>2021</v>
      </c>
      <c r="AV456">
        <v>11</v>
      </c>
      <c r="AW456">
        <v>2</v>
      </c>
      <c r="AX456" t="s">
        <v>74</v>
      </c>
      <c r="AY456" t="s">
        <v>74</v>
      </c>
      <c r="AZ456" t="s">
        <v>74</v>
      </c>
      <c r="BA456" t="s">
        <v>74</v>
      </c>
      <c r="BB456" t="s">
        <v>74</v>
      </c>
      <c r="BC456" t="s">
        <v>74</v>
      </c>
      <c r="BD456">
        <v>351</v>
      </c>
      <c r="BE456" t="s">
        <v>9026</v>
      </c>
      <c r="BF456" t="str">
        <f>HYPERLINK("http://dx.doi.org/10.3390/agronomy11020351","http://dx.doi.org/10.3390/agronomy11020351")</f>
        <v>http://dx.doi.org/10.3390/agronomy11020351</v>
      </c>
      <c r="BG456" t="s">
        <v>74</v>
      </c>
      <c r="BH456" t="s">
        <v>74</v>
      </c>
      <c r="BI456">
        <v>19</v>
      </c>
      <c r="BJ456" t="s">
        <v>461</v>
      </c>
      <c r="BK456" t="s">
        <v>102</v>
      </c>
      <c r="BL456" t="s">
        <v>462</v>
      </c>
      <c r="BM456" t="s">
        <v>9027</v>
      </c>
      <c r="BN456" t="s">
        <v>74</v>
      </c>
      <c r="BO456" t="s">
        <v>161</v>
      </c>
      <c r="BP456" t="s">
        <v>74</v>
      </c>
      <c r="BQ456" t="s">
        <v>74</v>
      </c>
      <c r="BR456" t="s">
        <v>106</v>
      </c>
      <c r="BS456" t="s">
        <v>9028</v>
      </c>
      <c r="BT456" t="str">
        <f>HYPERLINK("https%3A%2F%2Fwww.webofscience.com%2Fwos%2Fwoscc%2Ffull-record%2FWOS:000621992400001","View Full Record in Web of Science")</f>
        <v>View Full Record in Web of Science</v>
      </c>
    </row>
    <row r="457" spans="1:72" x14ac:dyDescent="0.2">
      <c r="A457" t="s">
        <v>72</v>
      </c>
      <c r="B457" t="s">
        <v>9029</v>
      </c>
      <c r="C457" t="s">
        <v>74</v>
      </c>
      <c r="D457" t="s">
        <v>74</v>
      </c>
      <c r="E457" t="s">
        <v>74</v>
      </c>
      <c r="F457" t="s">
        <v>9030</v>
      </c>
      <c r="G457" t="s">
        <v>74</v>
      </c>
      <c r="H457" t="s">
        <v>74</v>
      </c>
      <c r="I457" t="s">
        <v>9031</v>
      </c>
      <c r="J457" t="s">
        <v>9032</v>
      </c>
      <c r="K457" t="s">
        <v>74</v>
      </c>
      <c r="L457" t="s">
        <v>74</v>
      </c>
      <c r="M457" t="s">
        <v>78</v>
      </c>
      <c r="N457" t="s">
        <v>79</v>
      </c>
      <c r="O457" t="s">
        <v>74</v>
      </c>
      <c r="P457" t="s">
        <v>74</v>
      </c>
      <c r="Q457" t="s">
        <v>74</v>
      </c>
      <c r="R457" t="s">
        <v>74</v>
      </c>
      <c r="S457" t="s">
        <v>74</v>
      </c>
      <c r="T457" t="s">
        <v>74</v>
      </c>
      <c r="U457" t="s">
        <v>9033</v>
      </c>
      <c r="V457" t="s">
        <v>9034</v>
      </c>
      <c r="W457" t="s">
        <v>9035</v>
      </c>
      <c r="X457" t="s">
        <v>9036</v>
      </c>
      <c r="Y457" t="s">
        <v>9037</v>
      </c>
      <c r="Z457" t="s">
        <v>9038</v>
      </c>
      <c r="AA457" t="s">
        <v>9039</v>
      </c>
      <c r="AB457" t="s">
        <v>9040</v>
      </c>
      <c r="AC457" t="s">
        <v>9041</v>
      </c>
      <c r="AD457" t="s">
        <v>9042</v>
      </c>
      <c r="AE457" t="s">
        <v>9043</v>
      </c>
      <c r="AF457" t="s">
        <v>74</v>
      </c>
      <c r="AG457">
        <v>64</v>
      </c>
      <c r="AH457">
        <v>2</v>
      </c>
      <c r="AI457">
        <v>4</v>
      </c>
      <c r="AJ457">
        <v>0</v>
      </c>
      <c r="AK457">
        <v>41</v>
      </c>
      <c r="AL457" t="s">
        <v>3289</v>
      </c>
      <c r="AM457" t="s">
        <v>3290</v>
      </c>
      <c r="AN457" t="s">
        <v>3291</v>
      </c>
      <c r="AO457" t="s">
        <v>9044</v>
      </c>
      <c r="AP457" t="s">
        <v>9045</v>
      </c>
      <c r="AQ457" t="s">
        <v>74</v>
      </c>
      <c r="AR457" t="s">
        <v>9046</v>
      </c>
      <c r="AS457" t="s">
        <v>9047</v>
      </c>
      <c r="AT457" t="s">
        <v>9048</v>
      </c>
      <c r="AU457">
        <v>2017</v>
      </c>
      <c r="AV457">
        <v>8</v>
      </c>
      <c r="AW457">
        <v>3</v>
      </c>
      <c r="AX457" t="s">
        <v>74</v>
      </c>
      <c r="AY457" t="s">
        <v>74</v>
      </c>
      <c r="AZ457" t="s">
        <v>74</v>
      </c>
      <c r="BA457" t="s">
        <v>74</v>
      </c>
      <c r="BB457">
        <v>773</v>
      </c>
      <c r="BC457">
        <v>799</v>
      </c>
      <c r="BD457" t="s">
        <v>74</v>
      </c>
      <c r="BE457" t="s">
        <v>9049</v>
      </c>
      <c r="BF457" t="str">
        <f>HYPERLINK("http://dx.doi.org/10.5194/esd-8-773-2017","http://dx.doi.org/10.5194/esd-8-773-2017")</f>
        <v>http://dx.doi.org/10.5194/esd-8-773-2017</v>
      </c>
      <c r="BG457" t="s">
        <v>74</v>
      </c>
      <c r="BH457" t="s">
        <v>74</v>
      </c>
      <c r="BI457">
        <v>27</v>
      </c>
      <c r="BJ457" t="s">
        <v>285</v>
      </c>
      <c r="BK457" t="s">
        <v>186</v>
      </c>
      <c r="BL457" t="s">
        <v>286</v>
      </c>
      <c r="BM457" t="s">
        <v>9050</v>
      </c>
      <c r="BN457" t="s">
        <v>74</v>
      </c>
      <c r="BO457" t="s">
        <v>161</v>
      </c>
      <c r="BP457" t="s">
        <v>74</v>
      </c>
      <c r="BQ457" t="s">
        <v>74</v>
      </c>
      <c r="BR457" t="s">
        <v>106</v>
      </c>
      <c r="BS457" t="s">
        <v>9051</v>
      </c>
      <c r="BT457" t="str">
        <f>HYPERLINK("https%3A%2F%2Fwww.webofscience.com%2Fwos%2Fwoscc%2Ffull-record%2FWOS:000409250800001","View Full Record in Web of Science")</f>
        <v>View Full Record in Web of Science</v>
      </c>
    </row>
    <row r="458" spans="1:72" x14ac:dyDescent="0.2">
      <c r="A458" t="s">
        <v>72</v>
      </c>
      <c r="B458" t="s">
        <v>9052</v>
      </c>
      <c r="C458" t="s">
        <v>74</v>
      </c>
      <c r="D458" t="s">
        <v>74</v>
      </c>
      <c r="E458" t="s">
        <v>74</v>
      </c>
      <c r="F458" t="s">
        <v>9053</v>
      </c>
      <c r="G458" t="s">
        <v>74</v>
      </c>
      <c r="H458" t="s">
        <v>74</v>
      </c>
      <c r="I458" t="s">
        <v>9054</v>
      </c>
      <c r="J458" t="s">
        <v>9055</v>
      </c>
      <c r="K458" t="s">
        <v>74</v>
      </c>
      <c r="L458" t="s">
        <v>74</v>
      </c>
      <c r="M458" t="s">
        <v>78</v>
      </c>
      <c r="N458" t="s">
        <v>79</v>
      </c>
      <c r="O458" t="s">
        <v>74</v>
      </c>
      <c r="P458" t="s">
        <v>74</v>
      </c>
      <c r="Q458" t="s">
        <v>74</v>
      </c>
      <c r="R458" t="s">
        <v>74</v>
      </c>
      <c r="S458" t="s">
        <v>74</v>
      </c>
      <c r="T458" t="s">
        <v>9056</v>
      </c>
      <c r="U458" t="s">
        <v>9057</v>
      </c>
      <c r="V458" t="s">
        <v>9058</v>
      </c>
      <c r="W458" t="s">
        <v>9059</v>
      </c>
      <c r="X458" t="s">
        <v>9060</v>
      </c>
      <c r="Y458" t="s">
        <v>9061</v>
      </c>
      <c r="Z458" t="s">
        <v>9062</v>
      </c>
      <c r="AA458" t="s">
        <v>74</v>
      </c>
      <c r="AB458" t="s">
        <v>74</v>
      </c>
      <c r="AC458" t="s">
        <v>9063</v>
      </c>
      <c r="AD458" t="s">
        <v>9064</v>
      </c>
      <c r="AE458" t="s">
        <v>9065</v>
      </c>
      <c r="AF458" t="s">
        <v>74</v>
      </c>
      <c r="AG458">
        <v>34</v>
      </c>
      <c r="AH458">
        <v>2</v>
      </c>
      <c r="AI458">
        <v>2</v>
      </c>
      <c r="AJ458">
        <v>15</v>
      </c>
      <c r="AK458">
        <v>63</v>
      </c>
      <c r="AL458" t="s">
        <v>5093</v>
      </c>
      <c r="AM458" t="s">
        <v>676</v>
      </c>
      <c r="AN458" t="s">
        <v>5094</v>
      </c>
      <c r="AO458" t="s">
        <v>9066</v>
      </c>
      <c r="AP458" t="s">
        <v>9067</v>
      </c>
      <c r="AQ458" t="s">
        <v>74</v>
      </c>
      <c r="AR458" t="s">
        <v>9068</v>
      </c>
      <c r="AS458" t="s">
        <v>9069</v>
      </c>
      <c r="AT458" t="s">
        <v>805</v>
      </c>
      <c r="AU458">
        <v>2023</v>
      </c>
      <c r="AV458">
        <v>313</v>
      </c>
      <c r="AW458" t="s">
        <v>74</v>
      </c>
      <c r="AX458" t="s">
        <v>74</v>
      </c>
      <c r="AY458" t="s">
        <v>74</v>
      </c>
      <c r="AZ458" t="s">
        <v>74</v>
      </c>
      <c r="BA458" t="s">
        <v>74</v>
      </c>
      <c r="BB458">
        <v>290</v>
      </c>
      <c r="BC458">
        <v>299</v>
      </c>
      <c r="BD458" t="s">
        <v>74</v>
      </c>
      <c r="BE458" t="s">
        <v>9070</v>
      </c>
      <c r="BF458" t="str">
        <f>HYPERLINK("http://dx.doi.org/10.5004/dwt.2023.30028","http://dx.doi.org/10.5004/dwt.2023.30028")</f>
        <v>http://dx.doi.org/10.5004/dwt.2023.30028</v>
      </c>
      <c r="BG458" t="s">
        <v>74</v>
      </c>
      <c r="BH458" t="s">
        <v>74</v>
      </c>
      <c r="BI458">
        <v>10</v>
      </c>
      <c r="BJ458" t="s">
        <v>9071</v>
      </c>
      <c r="BK458" t="s">
        <v>102</v>
      </c>
      <c r="BL458" t="s">
        <v>9072</v>
      </c>
      <c r="BM458" t="s">
        <v>9073</v>
      </c>
      <c r="BN458" t="s">
        <v>74</v>
      </c>
      <c r="BO458" t="s">
        <v>74</v>
      </c>
      <c r="BP458" t="s">
        <v>74</v>
      </c>
      <c r="BQ458" t="s">
        <v>74</v>
      </c>
      <c r="BR458" t="s">
        <v>106</v>
      </c>
      <c r="BS458" t="s">
        <v>9074</v>
      </c>
      <c r="BT458" t="str">
        <f>HYPERLINK("https%3A%2F%2Fwww.webofscience.com%2Fwos%2Fwoscc%2Ffull-record%2FWOS:001178252400029","View Full Record in Web of Science")</f>
        <v>View Full Record in Web of Science</v>
      </c>
    </row>
    <row r="459" spans="1:72" x14ac:dyDescent="0.2">
      <c r="A459" t="s">
        <v>72</v>
      </c>
      <c r="B459" t="s">
        <v>9075</v>
      </c>
      <c r="C459" t="s">
        <v>74</v>
      </c>
      <c r="D459" t="s">
        <v>74</v>
      </c>
      <c r="E459" t="s">
        <v>74</v>
      </c>
      <c r="F459" t="s">
        <v>9076</v>
      </c>
      <c r="G459" t="s">
        <v>74</v>
      </c>
      <c r="H459" t="s">
        <v>74</v>
      </c>
      <c r="I459" t="s">
        <v>9077</v>
      </c>
      <c r="J459" t="s">
        <v>1344</v>
      </c>
      <c r="K459" t="s">
        <v>74</v>
      </c>
      <c r="L459" t="s">
        <v>74</v>
      </c>
      <c r="M459" t="s">
        <v>78</v>
      </c>
      <c r="N459" t="s">
        <v>2506</v>
      </c>
      <c r="O459" t="s">
        <v>74</v>
      </c>
      <c r="P459" t="s">
        <v>74</v>
      </c>
      <c r="Q459" t="s">
        <v>74</v>
      </c>
      <c r="R459" t="s">
        <v>74</v>
      </c>
      <c r="S459" t="s">
        <v>74</v>
      </c>
      <c r="T459" t="s">
        <v>9078</v>
      </c>
      <c r="U459" t="s">
        <v>9079</v>
      </c>
      <c r="V459" t="s">
        <v>9080</v>
      </c>
      <c r="W459" t="s">
        <v>9081</v>
      </c>
      <c r="X459" t="s">
        <v>9082</v>
      </c>
      <c r="Y459" t="s">
        <v>9083</v>
      </c>
      <c r="Z459" t="s">
        <v>9084</v>
      </c>
      <c r="AA459" t="s">
        <v>74</v>
      </c>
      <c r="AB459" t="s">
        <v>9085</v>
      </c>
      <c r="AC459" t="s">
        <v>74</v>
      </c>
      <c r="AD459" t="s">
        <v>74</v>
      </c>
      <c r="AE459" t="s">
        <v>74</v>
      </c>
      <c r="AF459" t="s">
        <v>74</v>
      </c>
      <c r="AG459">
        <v>46</v>
      </c>
      <c r="AH459">
        <v>64</v>
      </c>
      <c r="AI459">
        <v>86</v>
      </c>
      <c r="AJ459">
        <v>2</v>
      </c>
      <c r="AK459">
        <v>86</v>
      </c>
      <c r="AL459" t="s">
        <v>222</v>
      </c>
      <c r="AM459" t="s">
        <v>223</v>
      </c>
      <c r="AN459" t="s">
        <v>224</v>
      </c>
      <c r="AO459" t="s">
        <v>74</v>
      </c>
      <c r="AP459" t="s">
        <v>1354</v>
      </c>
      <c r="AQ459" t="s">
        <v>74</v>
      </c>
      <c r="AR459" t="s">
        <v>1344</v>
      </c>
      <c r="AS459" t="s">
        <v>1355</v>
      </c>
      <c r="AT459" t="s">
        <v>281</v>
      </c>
      <c r="AU459">
        <v>2017</v>
      </c>
      <c r="AV459">
        <v>7</v>
      </c>
      <c r="AW459">
        <v>6</v>
      </c>
      <c r="AX459" t="s">
        <v>74</v>
      </c>
      <c r="AY459" t="s">
        <v>74</v>
      </c>
      <c r="AZ459" t="s">
        <v>74</v>
      </c>
      <c r="BA459" t="s">
        <v>74</v>
      </c>
      <c r="BB459" t="s">
        <v>74</v>
      </c>
      <c r="BC459" t="s">
        <v>74</v>
      </c>
      <c r="BD459">
        <v>50</v>
      </c>
      <c r="BE459" t="s">
        <v>9086</v>
      </c>
      <c r="BF459" t="str">
        <f>HYPERLINK("http://dx.doi.org/10.3390/agriculture7060050","http://dx.doi.org/10.3390/agriculture7060050")</f>
        <v>http://dx.doi.org/10.3390/agriculture7060050</v>
      </c>
      <c r="BG459" t="s">
        <v>74</v>
      </c>
      <c r="BH459" t="s">
        <v>74</v>
      </c>
      <c r="BI459">
        <v>21</v>
      </c>
      <c r="BJ459" t="s">
        <v>1357</v>
      </c>
      <c r="BK459" t="s">
        <v>102</v>
      </c>
      <c r="BL459" t="s">
        <v>103</v>
      </c>
      <c r="BM459" t="s">
        <v>8865</v>
      </c>
      <c r="BN459" t="s">
        <v>74</v>
      </c>
      <c r="BO459" t="s">
        <v>161</v>
      </c>
      <c r="BP459" t="s">
        <v>74</v>
      </c>
      <c r="BQ459" t="s">
        <v>74</v>
      </c>
      <c r="BR459" t="s">
        <v>106</v>
      </c>
      <c r="BS459" t="s">
        <v>9087</v>
      </c>
      <c r="BT459" t="str">
        <f>HYPERLINK("https%3A%2F%2Fwww.webofscience.com%2Fwos%2Fwoscc%2Ffull-record%2FWOS:000404449400004","View Full Record in Web of Science")</f>
        <v>View Full Record in Web of Science</v>
      </c>
    </row>
    <row r="460" spans="1:72" x14ac:dyDescent="0.2">
      <c r="A460" t="s">
        <v>72</v>
      </c>
      <c r="B460" t="s">
        <v>9088</v>
      </c>
      <c r="C460" t="s">
        <v>74</v>
      </c>
      <c r="D460" t="s">
        <v>74</v>
      </c>
      <c r="E460" t="s">
        <v>74</v>
      </c>
      <c r="F460" t="s">
        <v>9089</v>
      </c>
      <c r="G460" t="s">
        <v>74</v>
      </c>
      <c r="H460" t="s">
        <v>74</v>
      </c>
      <c r="I460" t="s">
        <v>9090</v>
      </c>
      <c r="J460" t="s">
        <v>828</v>
      </c>
      <c r="K460" t="s">
        <v>74</v>
      </c>
      <c r="L460" t="s">
        <v>74</v>
      </c>
      <c r="M460" t="s">
        <v>78</v>
      </c>
      <c r="N460" t="s">
        <v>79</v>
      </c>
      <c r="O460" t="s">
        <v>74</v>
      </c>
      <c r="P460" t="s">
        <v>74</v>
      </c>
      <c r="Q460" t="s">
        <v>74</v>
      </c>
      <c r="R460" t="s">
        <v>74</v>
      </c>
      <c r="S460" t="s">
        <v>74</v>
      </c>
      <c r="T460" t="s">
        <v>74</v>
      </c>
      <c r="U460" t="s">
        <v>74</v>
      </c>
      <c r="V460" t="s">
        <v>9091</v>
      </c>
      <c r="W460" t="s">
        <v>9092</v>
      </c>
      <c r="X460" t="s">
        <v>9093</v>
      </c>
      <c r="Y460" t="s">
        <v>9094</v>
      </c>
      <c r="Z460" t="s">
        <v>9095</v>
      </c>
      <c r="AA460" t="s">
        <v>74</v>
      </c>
      <c r="AB460" t="s">
        <v>74</v>
      </c>
      <c r="AC460" t="s">
        <v>74</v>
      </c>
      <c r="AD460" t="s">
        <v>74</v>
      </c>
      <c r="AE460" t="s">
        <v>74</v>
      </c>
      <c r="AF460" t="s">
        <v>74</v>
      </c>
      <c r="AG460">
        <v>8</v>
      </c>
      <c r="AH460">
        <v>0</v>
      </c>
      <c r="AI460">
        <v>0</v>
      </c>
      <c r="AJ460">
        <v>0</v>
      </c>
      <c r="AK460">
        <v>19</v>
      </c>
      <c r="AL460" t="s">
        <v>835</v>
      </c>
      <c r="AM460" t="s">
        <v>836</v>
      </c>
      <c r="AN460" t="s">
        <v>3254</v>
      </c>
      <c r="AO460" t="s">
        <v>838</v>
      </c>
      <c r="AP460" t="s">
        <v>74</v>
      </c>
      <c r="AQ460" t="s">
        <v>74</v>
      </c>
      <c r="AR460" t="s">
        <v>839</v>
      </c>
      <c r="AS460" t="s">
        <v>840</v>
      </c>
      <c r="AT460" t="s">
        <v>3255</v>
      </c>
      <c r="AU460">
        <v>2014</v>
      </c>
      <c r="AV460">
        <v>45</v>
      </c>
      <c r="AW460">
        <v>2</v>
      </c>
      <c r="AX460" t="s">
        <v>74</v>
      </c>
      <c r="AY460" t="s">
        <v>74</v>
      </c>
      <c r="AZ460" t="s">
        <v>74</v>
      </c>
      <c r="BA460" t="s">
        <v>74</v>
      </c>
      <c r="BB460">
        <v>30</v>
      </c>
      <c r="BC460">
        <v>39</v>
      </c>
      <c r="BD460" t="s">
        <v>74</v>
      </c>
      <c r="BE460" t="s">
        <v>74</v>
      </c>
      <c r="BF460" t="s">
        <v>74</v>
      </c>
      <c r="BG460" t="s">
        <v>74</v>
      </c>
      <c r="BH460" t="s">
        <v>74</v>
      </c>
      <c r="BI460">
        <v>10</v>
      </c>
      <c r="BJ460" t="s">
        <v>842</v>
      </c>
      <c r="BK460" t="s">
        <v>102</v>
      </c>
      <c r="BL460" t="s">
        <v>103</v>
      </c>
      <c r="BM460" t="s">
        <v>9096</v>
      </c>
      <c r="BN460" t="s">
        <v>74</v>
      </c>
      <c r="BO460" t="s">
        <v>74</v>
      </c>
      <c r="BP460" t="s">
        <v>74</v>
      </c>
      <c r="BQ460" t="s">
        <v>74</v>
      </c>
      <c r="BR460" t="s">
        <v>106</v>
      </c>
      <c r="BS460" t="s">
        <v>9097</v>
      </c>
      <c r="BT460" t="str">
        <f>HYPERLINK("https%3A%2F%2Fwww.webofscience.com%2Fwos%2Fwoscc%2Ffull-record%2FWOS:000337663800006","View Full Record in Web of Science")</f>
        <v>View Full Record in Web of Science</v>
      </c>
    </row>
    <row r="461" spans="1:72" x14ac:dyDescent="0.2">
      <c r="A461" t="s">
        <v>72</v>
      </c>
      <c r="B461" t="s">
        <v>9098</v>
      </c>
      <c r="C461" t="s">
        <v>74</v>
      </c>
      <c r="D461" t="s">
        <v>74</v>
      </c>
      <c r="E461" t="s">
        <v>74</v>
      </c>
      <c r="F461" t="s">
        <v>9099</v>
      </c>
      <c r="G461" t="s">
        <v>74</v>
      </c>
      <c r="H461" t="s">
        <v>74</v>
      </c>
      <c r="I461" t="s">
        <v>9100</v>
      </c>
      <c r="J461" t="s">
        <v>3277</v>
      </c>
      <c r="K461" t="s">
        <v>74</v>
      </c>
      <c r="L461" t="s">
        <v>74</v>
      </c>
      <c r="M461" t="s">
        <v>78</v>
      </c>
      <c r="N461" t="s">
        <v>79</v>
      </c>
      <c r="O461" t="s">
        <v>74</v>
      </c>
      <c r="P461" t="s">
        <v>74</v>
      </c>
      <c r="Q461" t="s">
        <v>74</v>
      </c>
      <c r="R461" t="s">
        <v>74</v>
      </c>
      <c r="S461" t="s">
        <v>74</v>
      </c>
      <c r="T461" t="s">
        <v>74</v>
      </c>
      <c r="U461" t="s">
        <v>9101</v>
      </c>
      <c r="V461" t="s">
        <v>9102</v>
      </c>
      <c r="W461" t="s">
        <v>9103</v>
      </c>
      <c r="X461" t="s">
        <v>9104</v>
      </c>
      <c r="Y461" t="s">
        <v>9105</v>
      </c>
      <c r="Z461" t="s">
        <v>9106</v>
      </c>
      <c r="AA461" t="s">
        <v>74</v>
      </c>
      <c r="AB461" t="s">
        <v>9107</v>
      </c>
      <c r="AC461" t="s">
        <v>9108</v>
      </c>
      <c r="AD461" t="s">
        <v>9108</v>
      </c>
      <c r="AE461" t="s">
        <v>9109</v>
      </c>
      <c r="AF461" t="s">
        <v>74</v>
      </c>
      <c r="AG461">
        <v>32</v>
      </c>
      <c r="AH461">
        <v>17</v>
      </c>
      <c r="AI461">
        <v>23</v>
      </c>
      <c r="AJ461">
        <v>0</v>
      </c>
      <c r="AK461">
        <v>64</v>
      </c>
      <c r="AL461" t="s">
        <v>3289</v>
      </c>
      <c r="AM461" t="s">
        <v>3290</v>
      </c>
      <c r="AN461" t="s">
        <v>3291</v>
      </c>
      <c r="AO461" t="s">
        <v>3292</v>
      </c>
      <c r="AP461" t="s">
        <v>3293</v>
      </c>
      <c r="AQ461" t="s">
        <v>74</v>
      </c>
      <c r="AR461" t="s">
        <v>3277</v>
      </c>
      <c r="AS461" t="s">
        <v>3294</v>
      </c>
      <c r="AT461" t="s">
        <v>74</v>
      </c>
      <c r="AU461">
        <v>2014</v>
      </c>
      <c r="AV461">
        <v>11</v>
      </c>
      <c r="AW461">
        <v>16</v>
      </c>
      <c r="AX461" t="s">
        <v>74</v>
      </c>
      <c r="AY461" t="s">
        <v>74</v>
      </c>
      <c r="AZ461" t="s">
        <v>74</v>
      </c>
      <c r="BA461" t="s">
        <v>74</v>
      </c>
      <c r="BB461">
        <v>4429</v>
      </c>
      <c r="BC461">
        <v>4442</v>
      </c>
      <c r="BD461" t="s">
        <v>74</v>
      </c>
      <c r="BE461" t="s">
        <v>9110</v>
      </c>
      <c r="BF461" t="str">
        <f>HYPERLINK("http://dx.doi.org/10.5194/bg-11-4429-2014","http://dx.doi.org/10.5194/bg-11-4429-2014")</f>
        <v>http://dx.doi.org/10.5194/bg-11-4429-2014</v>
      </c>
      <c r="BG461" t="s">
        <v>74</v>
      </c>
      <c r="BH461" t="s">
        <v>74</v>
      </c>
      <c r="BI461">
        <v>14</v>
      </c>
      <c r="BJ461" t="s">
        <v>3296</v>
      </c>
      <c r="BK461" t="s">
        <v>102</v>
      </c>
      <c r="BL461" t="s">
        <v>1206</v>
      </c>
      <c r="BM461" t="s">
        <v>9111</v>
      </c>
      <c r="BN461" t="s">
        <v>74</v>
      </c>
      <c r="BO461" t="s">
        <v>161</v>
      </c>
      <c r="BP461" t="s">
        <v>74</v>
      </c>
      <c r="BQ461" t="s">
        <v>74</v>
      </c>
      <c r="BR461" t="s">
        <v>106</v>
      </c>
      <c r="BS461" t="s">
        <v>9112</v>
      </c>
      <c r="BT461" t="str">
        <f>HYPERLINK("https%3A%2F%2Fwww.webofscience.com%2Fwos%2Fwoscc%2Ffull-record%2FWOS:000341608900011","View Full Record in Web of Science")</f>
        <v>View Full Record in Web of Science</v>
      </c>
    </row>
    <row r="462" spans="1:72" x14ac:dyDescent="0.2">
      <c r="A462" t="s">
        <v>72</v>
      </c>
      <c r="B462" t="s">
        <v>9113</v>
      </c>
      <c r="C462" t="s">
        <v>74</v>
      </c>
      <c r="D462" t="s">
        <v>74</v>
      </c>
      <c r="E462" t="s">
        <v>74</v>
      </c>
      <c r="F462" t="s">
        <v>9114</v>
      </c>
      <c r="G462" t="s">
        <v>74</v>
      </c>
      <c r="H462" t="s">
        <v>74</v>
      </c>
      <c r="I462" t="s">
        <v>9115</v>
      </c>
      <c r="J462" t="s">
        <v>1477</v>
      </c>
      <c r="K462" t="s">
        <v>74</v>
      </c>
      <c r="L462" t="s">
        <v>74</v>
      </c>
      <c r="M462" t="s">
        <v>78</v>
      </c>
      <c r="N462" t="s">
        <v>79</v>
      </c>
      <c r="O462" t="s">
        <v>74</v>
      </c>
      <c r="P462" t="s">
        <v>74</v>
      </c>
      <c r="Q462" t="s">
        <v>74</v>
      </c>
      <c r="R462" t="s">
        <v>74</v>
      </c>
      <c r="S462" t="s">
        <v>74</v>
      </c>
      <c r="T462" t="s">
        <v>9116</v>
      </c>
      <c r="U462" t="s">
        <v>9117</v>
      </c>
      <c r="V462" t="s">
        <v>9118</v>
      </c>
      <c r="W462" t="s">
        <v>9119</v>
      </c>
      <c r="X462" t="s">
        <v>9120</v>
      </c>
      <c r="Y462" t="s">
        <v>9121</v>
      </c>
      <c r="Z462" t="s">
        <v>9122</v>
      </c>
      <c r="AA462" t="s">
        <v>7713</v>
      </c>
      <c r="AB462" t="s">
        <v>9123</v>
      </c>
      <c r="AC462" t="s">
        <v>9124</v>
      </c>
      <c r="AD462" t="s">
        <v>9124</v>
      </c>
      <c r="AE462" t="s">
        <v>9125</v>
      </c>
      <c r="AF462" t="s">
        <v>74</v>
      </c>
      <c r="AG462">
        <v>73</v>
      </c>
      <c r="AH462">
        <v>150</v>
      </c>
      <c r="AI462">
        <v>159</v>
      </c>
      <c r="AJ462">
        <v>11</v>
      </c>
      <c r="AK462">
        <v>142</v>
      </c>
      <c r="AL462" t="s">
        <v>934</v>
      </c>
      <c r="AM462" t="s">
        <v>177</v>
      </c>
      <c r="AN462" t="s">
        <v>935</v>
      </c>
      <c r="AO462" t="s">
        <v>1490</v>
      </c>
      <c r="AP462" t="s">
        <v>1491</v>
      </c>
      <c r="AQ462" t="s">
        <v>74</v>
      </c>
      <c r="AR462" t="s">
        <v>1492</v>
      </c>
      <c r="AS462" t="s">
        <v>1493</v>
      </c>
      <c r="AT462" t="s">
        <v>636</v>
      </c>
      <c r="AU462">
        <v>2022</v>
      </c>
      <c r="AV462">
        <v>157</v>
      </c>
      <c r="AW462" t="s">
        <v>74</v>
      </c>
      <c r="AX462" t="s">
        <v>74</v>
      </c>
      <c r="AY462" t="s">
        <v>74</v>
      </c>
      <c r="AZ462" t="s">
        <v>74</v>
      </c>
      <c r="BA462" t="s">
        <v>74</v>
      </c>
      <c r="BB462" t="s">
        <v>74</v>
      </c>
      <c r="BC462" t="s">
        <v>74</v>
      </c>
      <c r="BD462">
        <v>112123</v>
      </c>
      <c r="BE462" t="s">
        <v>9126</v>
      </c>
      <c r="BF462" t="str">
        <f>HYPERLINK("http://dx.doi.org/10.1016/j.rser.2022.112123","http://dx.doi.org/10.1016/j.rser.2022.112123")</f>
        <v>http://dx.doi.org/10.1016/j.rser.2022.112123</v>
      </c>
      <c r="BG462" t="s">
        <v>74</v>
      </c>
      <c r="BH462" t="s">
        <v>7201</v>
      </c>
      <c r="BI462">
        <v>10</v>
      </c>
      <c r="BJ462" t="s">
        <v>1496</v>
      </c>
      <c r="BK462" t="s">
        <v>102</v>
      </c>
      <c r="BL462" t="s">
        <v>1497</v>
      </c>
      <c r="BM462" t="s">
        <v>9127</v>
      </c>
      <c r="BN462" t="s">
        <v>74</v>
      </c>
      <c r="BO462" t="s">
        <v>916</v>
      </c>
      <c r="BP462" t="s">
        <v>4815</v>
      </c>
      <c r="BQ462" t="s">
        <v>4816</v>
      </c>
      <c r="BR462" t="s">
        <v>106</v>
      </c>
      <c r="BS462" t="s">
        <v>9128</v>
      </c>
      <c r="BT462" t="str">
        <f>HYPERLINK("https%3A%2F%2Fwww.webofscience.com%2Fwos%2Fwoscc%2Ffull-record%2FWOS:000786594900001","View Full Record in Web of Science")</f>
        <v>View Full Record in Web of Science</v>
      </c>
    </row>
    <row r="463" spans="1:72" x14ac:dyDescent="0.2">
      <c r="A463" t="s">
        <v>72</v>
      </c>
      <c r="B463" t="s">
        <v>9129</v>
      </c>
      <c r="C463" t="s">
        <v>74</v>
      </c>
      <c r="D463" t="s">
        <v>74</v>
      </c>
      <c r="E463" t="s">
        <v>74</v>
      </c>
      <c r="F463" t="s">
        <v>9130</v>
      </c>
      <c r="G463" t="s">
        <v>74</v>
      </c>
      <c r="H463" t="s">
        <v>74</v>
      </c>
      <c r="I463" t="s">
        <v>9131</v>
      </c>
      <c r="J463" t="s">
        <v>1807</v>
      </c>
      <c r="K463" t="s">
        <v>74</v>
      </c>
      <c r="L463" t="s">
        <v>74</v>
      </c>
      <c r="M463" t="s">
        <v>78</v>
      </c>
      <c r="N463" t="s">
        <v>79</v>
      </c>
      <c r="O463" t="s">
        <v>74</v>
      </c>
      <c r="P463" t="s">
        <v>74</v>
      </c>
      <c r="Q463" t="s">
        <v>74</v>
      </c>
      <c r="R463" t="s">
        <v>74</v>
      </c>
      <c r="S463" t="s">
        <v>74</v>
      </c>
      <c r="T463" t="s">
        <v>9132</v>
      </c>
      <c r="U463" t="s">
        <v>9133</v>
      </c>
      <c r="V463" t="s">
        <v>9134</v>
      </c>
      <c r="W463" t="s">
        <v>9135</v>
      </c>
      <c r="X463" t="s">
        <v>9136</v>
      </c>
      <c r="Y463" t="s">
        <v>9137</v>
      </c>
      <c r="Z463" t="s">
        <v>9138</v>
      </c>
      <c r="AA463" t="s">
        <v>9139</v>
      </c>
      <c r="AB463" t="s">
        <v>9140</v>
      </c>
      <c r="AC463" t="s">
        <v>9141</v>
      </c>
      <c r="AD463" t="s">
        <v>9141</v>
      </c>
      <c r="AE463" t="s">
        <v>9142</v>
      </c>
      <c r="AF463" t="s">
        <v>74</v>
      </c>
      <c r="AG463">
        <v>59</v>
      </c>
      <c r="AH463">
        <v>18</v>
      </c>
      <c r="AI463">
        <v>21</v>
      </c>
      <c r="AJ463">
        <v>7</v>
      </c>
      <c r="AK463">
        <v>144</v>
      </c>
      <c r="AL463" t="s">
        <v>1820</v>
      </c>
      <c r="AM463" t="s">
        <v>1821</v>
      </c>
      <c r="AN463" t="s">
        <v>1822</v>
      </c>
      <c r="AO463" t="s">
        <v>1823</v>
      </c>
      <c r="AP463" t="s">
        <v>1824</v>
      </c>
      <c r="AQ463" t="s">
        <v>74</v>
      </c>
      <c r="AR463" t="s">
        <v>1825</v>
      </c>
      <c r="AS463" t="s">
        <v>1826</v>
      </c>
      <c r="AT463" t="s">
        <v>74</v>
      </c>
      <c r="AU463">
        <v>2017</v>
      </c>
      <c r="AV463">
        <v>55</v>
      </c>
      <c r="AW463">
        <v>1</v>
      </c>
      <c r="AX463" t="s">
        <v>74</v>
      </c>
      <c r="AY463" t="s">
        <v>74</v>
      </c>
      <c r="AZ463" t="s">
        <v>74</v>
      </c>
      <c r="BA463" t="s">
        <v>74</v>
      </c>
      <c r="BB463">
        <v>47</v>
      </c>
      <c r="BC463">
        <v>57</v>
      </c>
      <c r="BD463" t="s">
        <v>74</v>
      </c>
      <c r="BE463" t="s">
        <v>9143</v>
      </c>
      <c r="BF463" t="str">
        <f>HYPERLINK("http://dx.doi.org/10.1071/SR16010","http://dx.doi.org/10.1071/SR16010")</f>
        <v>http://dx.doi.org/10.1071/SR16010</v>
      </c>
      <c r="BG463" t="s">
        <v>74</v>
      </c>
      <c r="BH463" t="s">
        <v>74</v>
      </c>
      <c r="BI463">
        <v>11</v>
      </c>
      <c r="BJ463" t="s">
        <v>256</v>
      </c>
      <c r="BK463" t="s">
        <v>102</v>
      </c>
      <c r="BL463" t="s">
        <v>103</v>
      </c>
      <c r="BM463" t="s">
        <v>9144</v>
      </c>
      <c r="BN463" t="s">
        <v>74</v>
      </c>
      <c r="BO463" t="s">
        <v>74</v>
      </c>
      <c r="BP463" t="s">
        <v>74</v>
      </c>
      <c r="BQ463" t="s">
        <v>74</v>
      </c>
      <c r="BR463" t="s">
        <v>106</v>
      </c>
      <c r="BS463" t="s">
        <v>9145</v>
      </c>
      <c r="BT463" t="str">
        <f>HYPERLINK("https%3A%2F%2Fwww.webofscience.com%2Fwos%2Fwoscc%2Ffull-record%2FWOS:000392202900006","View Full Record in Web of Science")</f>
        <v>View Full Record in Web of Science</v>
      </c>
    </row>
    <row r="464" spans="1:72" x14ac:dyDescent="0.2">
      <c r="A464" t="s">
        <v>72</v>
      </c>
      <c r="B464" t="s">
        <v>9146</v>
      </c>
      <c r="C464" t="s">
        <v>74</v>
      </c>
      <c r="D464" t="s">
        <v>74</v>
      </c>
      <c r="E464" t="s">
        <v>74</v>
      </c>
      <c r="F464" t="s">
        <v>9147</v>
      </c>
      <c r="G464" t="s">
        <v>74</v>
      </c>
      <c r="H464" t="s">
        <v>74</v>
      </c>
      <c r="I464" t="s">
        <v>9148</v>
      </c>
      <c r="J464" t="s">
        <v>9149</v>
      </c>
      <c r="K464" t="s">
        <v>74</v>
      </c>
      <c r="L464" t="s">
        <v>74</v>
      </c>
      <c r="M464" t="s">
        <v>78</v>
      </c>
      <c r="N464" t="s">
        <v>79</v>
      </c>
      <c r="O464" t="s">
        <v>74</v>
      </c>
      <c r="P464" t="s">
        <v>74</v>
      </c>
      <c r="Q464" t="s">
        <v>74</v>
      </c>
      <c r="R464" t="s">
        <v>74</v>
      </c>
      <c r="S464" t="s">
        <v>74</v>
      </c>
      <c r="T464" t="s">
        <v>74</v>
      </c>
      <c r="U464" t="s">
        <v>9150</v>
      </c>
      <c r="V464" t="s">
        <v>9151</v>
      </c>
      <c r="W464" t="s">
        <v>9152</v>
      </c>
      <c r="X464" t="s">
        <v>9153</v>
      </c>
      <c r="Y464" t="s">
        <v>9154</v>
      </c>
      <c r="Z464" t="s">
        <v>9155</v>
      </c>
      <c r="AA464" t="s">
        <v>9156</v>
      </c>
      <c r="AB464" t="s">
        <v>74</v>
      </c>
      <c r="AC464" t="s">
        <v>9157</v>
      </c>
      <c r="AD464" t="s">
        <v>9158</v>
      </c>
      <c r="AE464" t="s">
        <v>9159</v>
      </c>
      <c r="AF464" t="s">
        <v>74</v>
      </c>
      <c r="AG464">
        <v>59</v>
      </c>
      <c r="AH464">
        <v>0</v>
      </c>
      <c r="AI464">
        <v>0</v>
      </c>
      <c r="AJ464">
        <v>4</v>
      </c>
      <c r="AK464">
        <v>4</v>
      </c>
      <c r="AL464" t="s">
        <v>7324</v>
      </c>
      <c r="AM464" t="s">
        <v>1996</v>
      </c>
      <c r="AN464" t="s">
        <v>7325</v>
      </c>
      <c r="AO464" t="s">
        <v>74</v>
      </c>
      <c r="AP464" t="s">
        <v>9160</v>
      </c>
      <c r="AQ464" t="s">
        <v>74</v>
      </c>
      <c r="AR464" t="s">
        <v>9161</v>
      </c>
      <c r="AS464" t="s">
        <v>9162</v>
      </c>
      <c r="AT464" t="s">
        <v>9163</v>
      </c>
      <c r="AU464">
        <v>2025</v>
      </c>
      <c r="AV464">
        <v>15</v>
      </c>
      <c r="AW464">
        <v>52</v>
      </c>
      <c r="AX464" t="s">
        <v>74</v>
      </c>
      <c r="AY464" t="s">
        <v>74</v>
      </c>
      <c r="AZ464" t="s">
        <v>74</v>
      </c>
      <c r="BA464" t="s">
        <v>74</v>
      </c>
      <c r="BB464">
        <v>44071</v>
      </c>
      <c r="BC464">
        <v>44082</v>
      </c>
      <c r="BD464" t="s">
        <v>74</v>
      </c>
      <c r="BE464" t="s">
        <v>9164</v>
      </c>
      <c r="BF464" t="str">
        <f>HYPERLINK("http://dx.doi.org/10.1039/d5ra07809a","http://dx.doi.org/10.1039/d5ra07809a")</f>
        <v>http://dx.doi.org/10.1039/d5ra07809a</v>
      </c>
      <c r="BG464" t="s">
        <v>74</v>
      </c>
      <c r="BH464" t="s">
        <v>74</v>
      </c>
      <c r="BI464">
        <v>12</v>
      </c>
      <c r="BJ464" t="s">
        <v>2498</v>
      </c>
      <c r="BK464" t="s">
        <v>102</v>
      </c>
      <c r="BL464" t="s">
        <v>2499</v>
      </c>
      <c r="BM464" t="s">
        <v>9165</v>
      </c>
      <c r="BN464">
        <v>41230032</v>
      </c>
      <c r="BO464" t="s">
        <v>161</v>
      </c>
      <c r="BP464" t="s">
        <v>74</v>
      </c>
      <c r="BQ464" t="s">
        <v>74</v>
      </c>
      <c r="BR464" t="s">
        <v>106</v>
      </c>
      <c r="BS464" t="s">
        <v>9166</v>
      </c>
      <c r="BT464" t="str">
        <f>HYPERLINK("https%3A%2F%2Fwww.webofscience.com%2Fwos%2Fwoscc%2Ffull-record%2FWOS:001611454800001","View Full Record in Web of Science")</f>
        <v>View Full Record in Web of Science</v>
      </c>
    </row>
    <row r="465" spans="1:72" x14ac:dyDescent="0.2">
      <c r="A465" t="s">
        <v>72</v>
      </c>
      <c r="B465" t="s">
        <v>9167</v>
      </c>
      <c r="C465" t="s">
        <v>74</v>
      </c>
      <c r="D465" t="s">
        <v>74</v>
      </c>
      <c r="E465" t="s">
        <v>74</v>
      </c>
      <c r="F465" t="s">
        <v>9168</v>
      </c>
      <c r="G465" t="s">
        <v>74</v>
      </c>
      <c r="H465" t="s">
        <v>74</v>
      </c>
      <c r="I465" t="s">
        <v>9169</v>
      </c>
      <c r="J465" t="s">
        <v>9170</v>
      </c>
      <c r="K465" t="s">
        <v>74</v>
      </c>
      <c r="L465" t="s">
        <v>74</v>
      </c>
      <c r="M465" t="s">
        <v>78</v>
      </c>
      <c r="N465" t="s">
        <v>79</v>
      </c>
      <c r="O465" t="s">
        <v>74</v>
      </c>
      <c r="P465" t="s">
        <v>74</v>
      </c>
      <c r="Q465" t="s">
        <v>74</v>
      </c>
      <c r="R465" t="s">
        <v>74</v>
      </c>
      <c r="S465" t="s">
        <v>74</v>
      </c>
      <c r="T465" t="s">
        <v>74</v>
      </c>
      <c r="U465" t="s">
        <v>9171</v>
      </c>
      <c r="V465" t="s">
        <v>9172</v>
      </c>
      <c r="W465" t="s">
        <v>9173</v>
      </c>
      <c r="X465" t="s">
        <v>9174</v>
      </c>
      <c r="Y465" t="s">
        <v>9175</v>
      </c>
      <c r="Z465" t="s">
        <v>9176</v>
      </c>
      <c r="AA465" t="s">
        <v>9177</v>
      </c>
      <c r="AB465" t="s">
        <v>9178</v>
      </c>
      <c r="AC465" t="s">
        <v>9179</v>
      </c>
      <c r="AD465" t="s">
        <v>9180</v>
      </c>
      <c r="AE465" t="s">
        <v>9181</v>
      </c>
      <c r="AF465" t="s">
        <v>74</v>
      </c>
      <c r="AG465">
        <v>78</v>
      </c>
      <c r="AH465">
        <v>235</v>
      </c>
      <c r="AI465">
        <v>259</v>
      </c>
      <c r="AJ465">
        <v>2</v>
      </c>
      <c r="AK465">
        <v>127</v>
      </c>
      <c r="AL465" t="s">
        <v>7324</v>
      </c>
      <c r="AM465" t="s">
        <v>1996</v>
      </c>
      <c r="AN465" t="s">
        <v>7325</v>
      </c>
      <c r="AO465" t="s">
        <v>9182</v>
      </c>
      <c r="AP465" t="s">
        <v>74</v>
      </c>
      <c r="AQ465" t="s">
        <v>74</v>
      </c>
      <c r="AR465" t="s">
        <v>9183</v>
      </c>
      <c r="AS465" t="s">
        <v>9184</v>
      </c>
      <c r="AT465" t="s">
        <v>1468</v>
      </c>
      <c r="AU465">
        <v>2020</v>
      </c>
      <c r="AV465">
        <v>4</v>
      </c>
      <c r="AW465">
        <v>6</v>
      </c>
      <c r="AX465" t="s">
        <v>74</v>
      </c>
      <c r="AY465" t="s">
        <v>74</v>
      </c>
      <c r="AZ465" t="s">
        <v>74</v>
      </c>
      <c r="BA465" t="s">
        <v>74</v>
      </c>
      <c r="BB465">
        <v>2967</v>
      </c>
      <c r="BC465">
        <v>2986</v>
      </c>
      <c r="BD465" t="s">
        <v>74</v>
      </c>
      <c r="BE465" t="s">
        <v>9185</v>
      </c>
      <c r="BF465" t="str">
        <f>HYPERLINK("http://dx.doi.org/10.1039/d0se00222d","http://dx.doi.org/10.1039/d0se00222d")</f>
        <v>http://dx.doi.org/10.1039/d0se00222d</v>
      </c>
      <c r="BG465" t="s">
        <v>74</v>
      </c>
      <c r="BH465" t="s">
        <v>74</v>
      </c>
      <c r="BI465">
        <v>20</v>
      </c>
      <c r="BJ465" t="s">
        <v>9186</v>
      </c>
      <c r="BK465" t="s">
        <v>102</v>
      </c>
      <c r="BL465" t="s">
        <v>9187</v>
      </c>
      <c r="BM465" t="s">
        <v>9188</v>
      </c>
      <c r="BN465" t="s">
        <v>74</v>
      </c>
      <c r="BO465" t="s">
        <v>2296</v>
      </c>
      <c r="BP465" t="s">
        <v>74</v>
      </c>
      <c r="BQ465" t="s">
        <v>74</v>
      </c>
      <c r="BR465" t="s">
        <v>106</v>
      </c>
      <c r="BS465" t="s">
        <v>9189</v>
      </c>
      <c r="BT465" t="str">
        <f>HYPERLINK("https%3A%2F%2Fwww.webofscience.com%2Fwos%2Fwoscc%2Ffull-record%2FWOS:000539290400036","View Full Record in Web of Science")</f>
        <v>View Full Record in Web of Science</v>
      </c>
    </row>
    <row r="466" spans="1:72" x14ac:dyDescent="0.2">
      <c r="A466" t="s">
        <v>72</v>
      </c>
      <c r="B466" t="s">
        <v>9190</v>
      </c>
      <c r="C466" t="s">
        <v>74</v>
      </c>
      <c r="D466" t="s">
        <v>74</v>
      </c>
      <c r="E466" t="s">
        <v>74</v>
      </c>
      <c r="F466" t="s">
        <v>9191</v>
      </c>
      <c r="G466" t="s">
        <v>74</v>
      </c>
      <c r="H466" t="s">
        <v>74</v>
      </c>
      <c r="I466" t="s">
        <v>9192</v>
      </c>
      <c r="J466" t="s">
        <v>740</v>
      </c>
      <c r="K466" t="s">
        <v>74</v>
      </c>
      <c r="L466" t="s">
        <v>74</v>
      </c>
      <c r="M466" t="s">
        <v>78</v>
      </c>
      <c r="N466" t="s">
        <v>79</v>
      </c>
      <c r="O466" t="s">
        <v>74</v>
      </c>
      <c r="P466" t="s">
        <v>74</v>
      </c>
      <c r="Q466" t="s">
        <v>74</v>
      </c>
      <c r="R466" t="s">
        <v>74</v>
      </c>
      <c r="S466" t="s">
        <v>74</v>
      </c>
      <c r="T466" t="s">
        <v>9193</v>
      </c>
      <c r="U466" t="s">
        <v>9194</v>
      </c>
      <c r="V466" t="s">
        <v>9195</v>
      </c>
      <c r="W466" t="s">
        <v>9196</v>
      </c>
      <c r="X466" t="s">
        <v>9197</v>
      </c>
      <c r="Y466" t="s">
        <v>9198</v>
      </c>
      <c r="Z466" t="s">
        <v>747</v>
      </c>
      <c r="AA466" t="s">
        <v>9199</v>
      </c>
      <c r="AB466" t="s">
        <v>9200</v>
      </c>
      <c r="AC466" t="s">
        <v>74</v>
      </c>
      <c r="AD466" t="s">
        <v>74</v>
      </c>
      <c r="AE466" t="s">
        <v>74</v>
      </c>
      <c r="AF466" t="s">
        <v>74</v>
      </c>
      <c r="AG466">
        <v>36</v>
      </c>
      <c r="AH466">
        <v>66</v>
      </c>
      <c r="AI466">
        <v>76</v>
      </c>
      <c r="AJ466">
        <v>2</v>
      </c>
      <c r="AK466">
        <v>92</v>
      </c>
      <c r="AL466" t="s">
        <v>247</v>
      </c>
      <c r="AM466" t="s">
        <v>248</v>
      </c>
      <c r="AN466" t="s">
        <v>249</v>
      </c>
      <c r="AO466" t="s">
        <v>750</v>
      </c>
      <c r="AP466" t="s">
        <v>751</v>
      </c>
      <c r="AQ466" t="s">
        <v>74</v>
      </c>
      <c r="AR466" t="s">
        <v>752</v>
      </c>
      <c r="AS466" t="s">
        <v>753</v>
      </c>
      <c r="AT466" t="s">
        <v>912</v>
      </c>
      <c r="AU466">
        <v>2016</v>
      </c>
      <c r="AV466">
        <v>22</v>
      </c>
      <c r="AW466">
        <v>5</v>
      </c>
      <c r="AX466" t="s">
        <v>74</v>
      </c>
      <c r="AY466" t="s">
        <v>74</v>
      </c>
      <c r="AZ466" t="s">
        <v>74</v>
      </c>
      <c r="BA466" t="s">
        <v>74</v>
      </c>
      <c r="BB466">
        <v>1976</v>
      </c>
      <c r="BC466">
        <v>1984</v>
      </c>
      <c r="BD466" t="s">
        <v>74</v>
      </c>
      <c r="BE466" t="s">
        <v>9201</v>
      </c>
      <c r="BF466" t="str">
        <f>HYPERLINK("http://dx.doi.org/10.1111/gcb.13198","http://dx.doi.org/10.1111/gcb.13198")</f>
        <v>http://dx.doi.org/10.1111/gcb.13198</v>
      </c>
      <c r="BG466" t="s">
        <v>74</v>
      </c>
      <c r="BH466" t="s">
        <v>74</v>
      </c>
      <c r="BI466">
        <v>9</v>
      </c>
      <c r="BJ466" t="s">
        <v>755</v>
      </c>
      <c r="BK466" t="s">
        <v>102</v>
      </c>
      <c r="BL466" t="s">
        <v>756</v>
      </c>
      <c r="BM466" t="s">
        <v>9202</v>
      </c>
      <c r="BN466">
        <v>26679897</v>
      </c>
      <c r="BO466" t="s">
        <v>916</v>
      </c>
      <c r="BP466" t="s">
        <v>74</v>
      </c>
      <c r="BQ466" t="s">
        <v>74</v>
      </c>
      <c r="BR466" t="s">
        <v>106</v>
      </c>
      <c r="BS466" t="s">
        <v>9203</v>
      </c>
      <c r="BT466" t="str">
        <f>HYPERLINK("https%3A%2F%2Fwww.webofscience.com%2Fwos%2Fwoscc%2Ffull-record%2FWOS:000373130700024","View Full Record in Web of Science")</f>
        <v>View Full Record in Web of Science</v>
      </c>
    </row>
    <row r="467" spans="1:72" x14ac:dyDescent="0.2">
      <c r="A467" t="s">
        <v>72</v>
      </c>
      <c r="B467" t="s">
        <v>9204</v>
      </c>
      <c r="C467" t="s">
        <v>74</v>
      </c>
      <c r="D467" t="s">
        <v>74</v>
      </c>
      <c r="E467" t="s">
        <v>74</v>
      </c>
      <c r="F467" t="s">
        <v>9205</v>
      </c>
      <c r="G467" t="s">
        <v>74</v>
      </c>
      <c r="H467" t="s">
        <v>74</v>
      </c>
      <c r="I467" t="s">
        <v>9206</v>
      </c>
      <c r="J467" t="s">
        <v>9207</v>
      </c>
      <c r="K467" t="s">
        <v>74</v>
      </c>
      <c r="L467" t="s">
        <v>74</v>
      </c>
      <c r="M467" t="s">
        <v>78</v>
      </c>
      <c r="N467" t="s">
        <v>79</v>
      </c>
      <c r="O467" t="s">
        <v>74</v>
      </c>
      <c r="P467" t="s">
        <v>74</v>
      </c>
      <c r="Q467" t="s">
        <v>74</v>
      </c>
      <c r="R467" t="s">
        <v>74</v>
      </c>
      <c r="S467" t="s">
        <v>74</v>
      </c>
      <c r="T467" t="s">
        <v>9208</v>
      </c>
      <c r="U467" t="s">
        <v>9209</v>
      </c>
      <c r="V467" t="s">
        <v>9210</v>
      </c>
      <c r="W467" t="s">
        <v>9211</v>
      </c>
      <c r="X467" t="s">
        <v>9212</v>
      </c>
      <c r="Y467" t="s">
        <v>9213</v>
      </c>
      <c r="Z467" t="s">
        <v>9214</v>
      </c>
      <c r="AA467" t="s">
        <v>74</v>
      </c>
      <c r="AB467" t="s">
        <v>74</v>
      </c>
      <c r="AC467" t="s">
        <v>9215</v>
      </c>
      <c r="AD467" t="s">
        <v>9216</v>
      </c>
      <c r="AE467" t="s">
        <v>9217</v>
      </c>
      <c r="AF467" t="s">
        <v>74</v>
      </c>
      <c r="AG467">
        <v>59</v>
      </c>
      <c r="AH467">
        <v>0</v>
      </c>
      <c r="AI467">
        <v>0</v>
      </c>
      <c r="AJ467">
        <v>1</v>
      </c>
      <c r="AK467">
        <v>1</v>
      </c>
      <c r="AL467" t="s">
        <v>5093</v>
      </c>
      <c r="AM467" t="s">
        <v>676</v>
      </c>
      <c r="AN467" t="s">
        <v>5094</v>
      </c>
      <c r="AO467" t="s">
        <v>9218</v>
      </c>
      <c r="AP467" t="s">
        <v>9219</v>
      </c>
      <c r="AQ467" t="s">
        <v>74</v>
      </c>
      <c r="AR467" t="s">
        <v>9220</v>
      </c>
      <c r="AS467" t="s">
        <v>9221</v>
      </c>
      <c r="AT467" t="s">
        <v>459</v>
      </c>
      <c r="AU467">
        <v>2026</v>
      </c>
      <c r="AV467">
        <v>103</v>
      </c>
      <c r="AW467" t="s">
        <v>74</v>
      </c>
      <c r="AX467" t="s">
        <v>74</v>
      </c>
      <c r="AY467" t="s">
        <v>74</v>
      </c>
      <c r="AZ467" t="s">
        <v>74</v>
      </c>
      <c r="BA467" t="s">
        <v>74</v>
      </c>
      <c r="BB467" t="s">
        <v>74</v>
      </c>
      <c r="BC467" t="s">
        <v>74</v>
      </c>
      <c r="BD467">
        <v>102376</v>
      </c>
      <c r="BE467" t="s">
        <v>9222</v>
      </c>
      <c r="BF467" t="str">
        <f>HYPERLINK("http://dx.doi.org/10.1016/j.seps.2025.102376","http://dx.doi.org/10.1016/j.seps.2025.102376")</f>
        <v>http://dx.doi.org/10.1016/j.seps.2025.102376</v>
      </c>
      <c r="BG467" t="s">
        <v>74</v>
      </c>
      <c r="BH467" t="s">
        <v>1495</v>
      </c>
      <c r="BI467">
        <v>20</v>
      </c>
      <c r="BJ467" t="s">
        <v>9223</v>
      </c>
      <c r="BK467" t="s">
        <v>186</v>
      </c>
      <c r="BL467" t="s">
        <v>9224</v>
      </c>
      <c r="BM467" t="s">
        <v>9225</v>
      </c>
      <c r="BN467" t="s">
        <v>74</v>
      </c>
      <c r="BO467" t="s">
        <v>74</v>
      </c>
      <c r="BP467" t="s">
        <v>74</v>
      </c>
      <c r="BQ467" t="s">
        <v>74</v>
      </c>
      <c r="BR467" t="s">
        <v>106</v>
      </c>
      <c r="BS467" t="s">
        <v>9226</v>
      </c>
      <c r="BT467" t="str">
        <f>HYPERLINK("https%3A%2F%2Fwww.webofscience.com%2Fwos%2Fwoscc%2Ffull-record%2FWOS:001619109800001","View Full Record in Web of Science")</f>
        <v>View Full Record in Web of Science</v>
      </c>
    </row>
    <row r="468" spans="1:72" x14ac:dyDescent="0.2">
      <c r="A468" t="s">
        <v>72</v>
      </c>
      <c r="B468" t="s">
        <v>9227</v>
      </c>
      <c r="C468" t="s">
        <v>74</v>
      </c>
      <c r="D468" t="s">
        <v>74</v>
      </c>
      <c r="E468" t="s">
        <v>74</v>
      </c>
      <c r="F468" t="s">
        <v>9228</v>
      </c>
      <c r="G468" t="s">
        <v>74</v>
      </c>
      <c r="H468" t="s">
        <v>74</v>
      </c>
      <c r="I468" t="s">
        <v>9229</v>
      </c>
      <c r="J468" t="s">
        <v>2149</v>
      </c>
      <c r="K468" t="s">
        <v>74</v>
      </c>
      <c r="L468" t="s">
        <v>74</v>
      </c>
      <c r="M468" t="s">
        <v>78</v>
      </c>
      <c r="N468" t="s">
        <v>79</v>
      </c>
      <c r="O468" t="s">
        <v>74</v>
      </c>
      <c r="P468" t="s">
        <v>74</v>
      </c>
      <c r="Q468" t="s">
        <v>74</v>
      </c>
      <c r="R468" t="s">
        <v>74</v>
      </c>
      <c r="S468" t="s">
        <v>74</v>
      </c>
      <c r="T468" t="s">
        <v>9230</v>
      </c>
      <c r="U468" t="s">
        <v>9231</v>
      </c>
      <c r="V468" t="s">
        <v>9232</v>
      </c>
      <c r="W468" t="s">
        <v>9233</v>
      </c>
      <c r="X468" t="s">
        <v>9234</v>
      </c>
      <c r="Y468" t="s">
        <v>9235</v>
      </c>
      <c r="Z468" t="s">
        <v>7985</v>
      </c>
      <c r="AA468" t="s">
        <v>9236</v>
      </c>
      <c r="AB468" t="s">
        <v>9237</v>
      </c>
      <c r="AC468" t="s">
        <v>9238</v>
      </c>
      <c r="AD468" t="s">
        <v>9239</v>
      </c>
      <c r="AE468" t="s">
        <v>9240</v>
      </c>
      <c r="AF468" t="s">
        <v>74</v>
      </c>
      <c r="AG468">
        <v>42</v>
      </c>
      <c r="AH468">
        <v>24</v>
      </c>
      <c r="AI468">
        <v>28</v>
      </c>
      <c r="AJ468">
        <v>21</v>
      </c>
      <c r="AK468">
        <v>115</v>
      </c>
      <c r="AL468" t="s">
        <v>123</v>
      </c>
      <c r="AM468" t="s">
        <v>124</v>
      </c>
      <c r="AN468" t="s">
        <v>125</v>
      </c>
      <c r="AO468" t="s">
        <v>2164</v>
      </c>
      <c r="AP468" t="s">
        <v>2165</v>
      </c>
      <c r="AQ468" t="s">
        <v>74</v>
      </c>
      <c r="AR468" t="s">
        <v>2166</v>
      </c>
      <c r="AS468" t="s">
        <v>2167</v>
      </c>
      <c r="AT468" t="s">
        <v>2017</v>
      </c>
      <c r="AU468">
        <v>2023</v>
      </c>
      <c r="AV468">
        <v>234</v>
      </c>
      <c r="AW468" t="s">
        <v>74</v>
      </c>
      <c r="AX468" t="s">
        <v>74</v>
      </c>
      <c r="AY468" t="s">
        <v>74</v>
      </c>
      <c r="AZ468" t="s">
        <v>74</v>
      </c>
      <c r="BA468" t="s">
        <v>74</v>
      </c>
      <c r="BB468" t="s">
        <v>74</v>
      </c>
      <c r="BC468" t="s">
        <v>74</v>
      </c>
      <c r="BD468">
        <v>105857</v>
      </c>
      <c r="BE468" t="s">
        <v>9241</v>
      </c>
      <c r="BF468" t="str">
        <f>HYPERLINK("http://dx.doi.org/10.1016/j.still.2023.105857","http://dx.doi.org/10.1016/j.still.2023.105857")</f>
        <v>http://dx.doi.org/10.1016/j.still.2023.105857</v>
      </c>
      <c r="BG468" t="s">
        <v>74</v>
      </c>
      <c r="BH468" t="s">
        <v>1754</v>
      </c>
      <c r="BI468">
        <v>12</v>
      </c>
      <c r="BJ468" t="s">
        <v>256</v>
      </c>
      <c r="BK468" t="s">
        <v>102</v>
      </c>
      <c r="BL468" t="s">
        <v>103</v>
      </c>
      <c r="BM468" t="s">
        <v>9242</v>
      </c>
      <c r="BN468" t="s">
        <v>74</v>
      </c>
      <c r="BO468" t="s">
        <v>74</v>
      </c>
      <c r="BP468" t="s">
        <v>74</v>
      </c>
      <c r="BQ468" t="s">
        <v>74</v>
      </c>
      <c r="BR468" t="s">
        <v>106</v>
      </c>
      <c r="BS468" t="s">
        <v>9243</v>
      </c>
      <c r="BT468" t="str">
        <f>HYPERLINK("https%3A%2F%2Fwww.webofscience.com%2Fwos%2Fwoscc%2Ffull-record%2FWOS:001066240300001","View Full Record in Web of Science")</f>
        <v>View Full Record in Web of Science</v>
      </c>
    </row>
    <row r="469" spans="1:72" x14ac:dyDescent="0.2">
      <c r="A469" t="s">
        <v>72</v>
      </c>
      <c r="B469" t="s">
        <v>9244</v>
      </c>
      <c r="C469" t="s">
        <v>74</v>
      </c>
      <c r="D469" t="s">
        <v>74</v>
      </c>
      <c r="E469" t="s">
        <v>74</v>
      </c>
      <c r="F469" t="s">
        <v>9245</v>
      </c>
      <c r="G469" t="s">
        <v>74</v>
      </c>
      <c r="H469" t="s">
        <v>74</v>
      </c>
      <c r="I469" t="s">
        <v>9246</v>
      </c>
      <c r="J469" t="s">
        <v>9247</v>
      </c>
      <c r="K469" t="s">
        <v>74</v>
      </c>
      <c r="L469" t="s">
        <v>74</v>
      </c>
      <c r="M469" t="s">
        <v>78</v>
      </c>
      <c r="N469" t="s">
        <v>79</v>
      </c>
      <c r="O469" t="s">
        <v>74</v>
      </c>
      <c r="P469" t="s">
        <v>74</v>
      </c>
      <c r="Q469" t="s">
        <v>74</v>
      </c>
      <c r="R469" t="s">
        <v>74</v>
      </c>
      <c r="S469" t="s">
        <v>74</v>
      </c>
      <c r="T469" t="s">
        <v>9248</v>
      </c>
      <c r="U469" t="s">
        <v>74</v>
      </c>
      <c r="V469" t="s">
        <v>9249</v>
      </c>
      <c r="W469" t="s">
        <v>9250</v>
      </c>
      <c r="X469" t="s">
        <v>9251</v>
      </c>
      <c r="Y469" t="s">
        <v>9252</v>
      </c>
      <c r="Z469" t="s">
        <v>9253</v>
      </c>
      <c r="AA469" t="s">
        <v>9254</v>
      </c>
      <c r="AB469" t="s">
        <v>74</v>
      </c>
      <c r="AC469" t="s">
        <v>9255</v>
      </c>
      <c r="AD469" t="s">
        <v>9256</v>
      </c>
      <c r="AE469" t="s">
        <v>9257</v>
      </c>
      <c r="AF469" t="s">
        <v>74</v>
      </c>
      <c r="AG469">
        <v>43</v>
      </c>
      <c r="AH469">
        <v>1</v>
      </c>
      <c r="AI469">
        <v>1</v>
      </c>
      <c r="AJ469">
        <v>9</v>
      </c>
      <c r="AK469">
        <v>9</v>
      </c>
      <c r="AL469" t="s">
        <v>123</v>
      </c>
      <c r="AM469" t="s">
        <v>124</v>
      </c>
      <c r="AN469" t="s">
        <v>125</v>
      </c>
      <c r="AO469" t="s">
        <v>9258</v>
      </c>
      <c r="AP469" t="s">
        <v>9259</v>
      </c>
      <c r="AQ469" t="s">
        <v>74</v>
      </c>
      <c r="AR469" t="s">
        <v>9260</v>
      </c>
      <c r="AS469" t="s">
        <v>9261</v>
      </c>
      <c r="AT469" t="s">
        <v>203</v>
      </c>
      <c r="AU469">
        <v>2025</v>
      </c>
      <c r="AV469">
        <v>236</v>
      </c>
      <c r="AW469" t="s">
        <v>74</v>
      </c>
      <c r="AX469" t="s">
        <v>74</v>
      </c>
      <c r="AY469" t="s">
        <v>74</v>
      </c>
      <c r="AZ469" t="s">
        <v>74</v>
      </c>
      <c r="BA469" t="s">
        <v>74</v>
      </c>
      <c r="BB469" t="s">
        <v>74</v>
      </c>
      <c r="BC469" t="s">
        <v>74</v>
      </c>
      <c r="BD469">
        <v>121902</v>
      </c>
      <c r="BE469" t="s">
        <v>9262</v>
      </c>
      <c r="BF469" t="str">
        <f>HYPERLINK("http://dx.doi.org/10.1016/j.indcrop.2025.121902","http://dx.doi.org/10.1016/j.indcrop.2025.121902")</f>
        <v>http://dx.doi.org/10.1016/j.indcrop.2025.121902</v>
      </c>
      <c r="BG469" t="s">
        <v>74</v>
      </c>
      <c r="BH469" t="s">
        <v>1338</v>
      </c>
      <c r="BI469">
        <v>8</v>
      </c>
      <c r="BJ469" t="s">
        <v>7774</v>
      </c>
      <c r="BK469" t="s">
        <v>102</v>
      </c>
      <c r="BL469" t="s">
        <v>103</v>
      </c>
      <c r="BM469" t="s">
        <v>9263</v>
      </c>
      <c r="BN469" t="s">
        <v>74</v>
      </c>
      <c r="BO469" t="s">
        <v>231</v>
      </c>
      <c r="BP469" t="s">
        <v>74</v>
      </c>
      <c r="BQ469" t="s">
        <v>74</v>
      </c>
      <c r="BR469" t="s">
        <v>106</v>
      </c>
      <c r="BS469" t="s">
        <v>9264</v>
      </c>
      <c r="BT469" t="str">
        <f>HYPERLINK("https%3A%2F%2Fwww.webofscience.com%2Fwos%2Fwoscc%2Ffull-record%2FWOS:001572455300001","View Full Record in Web of Science")</f>
        <v>View Full Record in Web of Science</v>
      </c>
    </row>
    <row r="470" spans="1:72" x14ac:dyDescent="0.2">
      <c r="A470" t="s">
        <v>72</v>
      </c>
      <c r="B470" t="s">
        <v>9265</v>
      </c>
      <c r="C470" t="s">
        <v>74</v>
      </c>
      <c r="D470" t="s">
        <v>74</v>
      </c>
      <c r="E470" t="s">
        <v>74</v>
      </c>
      <c r="F470" t="s">
        <v>9266</v>
      </c>
      <c r="G470" t="s">
        <v>74</v>
      </c>
      <c r="H470" t="s">
        <v>74</v>
      </c>
      <c r="I470" t="s">
        <v>9267</v>
      </c>
      <c r="J470" t="s">
        <v>1451</v>
      </c>
      <c r="K470" t="s">
        <v>74</v>
      </c>
      <c r="L470" t="s">
        <v>74</v>
      </c>
      <c r="M470" t="s">
        <v>78</v>
      </c>
      <c r="N470" t="s">
        <v>79</v>
      </c>
      <c r="O470" t="s">
        <v>74</v>
      </c>
      <c r="P470" t="s">
        <v>74</v>
      </c>
      <c r="Q470" t="s">
        <v>74</v>
      </c>
      <c r="R470" t="s">
        <v>74</v>
      </c>
      <c r="S470" t="s">
        <v>74</v>
      </c>
      <c r="T470" t="s">
        <v>9268</v>
      </c>
      <c r="U470" t="s">
        <v>9269</v>
      </c>
      <c r="V470" t="s">
        <v>9270</v>
      </c>
      <c r="W470" t="s">
        <v>9271</v>
      </c>
      <c r="X470" t="s">
        <v>9272</v>
      </c>
      <c r="Y470" t="s">
        <v>9273</v>
      </c>
      <c r="Z470" t="s">
        <v>9274</v>
      </c>
      <c r="AA470" t="s">
        <v>74</v>
      </c>
      <c r="AB470" t="s">
        <v>74</v>
      </c>
      <c r="AC470" t="s">
        <v>9275</v>
      </c>
      <c r="AD470" t="s">
        <v>9276</v>
      </c>
      <c r="AE470" t="s">
        <v>9277</v>
      </c>
      <c r="AF470" t="s">
        <v>74</v>
      </c>
      <c r="AG470">
        <v>71</v>
      </c>
      <c r="AH470">
        <v>0</v>
      </c>
      <c r="AI470">
        <v>0</v>
      </c>
      <c r="AJ470">
        <v>0</v>
      </c>
      <c r="AK470">
        <v>0</v>
      </c>
      <c r="AL470" t="s">
        <v>123</v>
      </c>
      <c r="AM470" t="s">
        <v>124</v>
      </c>
      <c r="AN470" t="s">
        <v>125</v>
      </c>
      <c r="AO470" t="s">
        <v>1464</v>
      </c>
      <c r="AP470" t="s">
        <v>1465</v>
      </c>
      <c r="AQ470" t="s">
        <v>74</v>
      </c>
      <c r="AR470" t="s">
        <v>1466</v>
      </c>
      <c r="AS470" t="s">
        <v>1467</v>
      </c>
      <c r="AT470" t="s">
        <v>9278</v>
      </c>
      <c r="AU470">
        <v>2026</v>
      </c>
      <c r="AV470">
        <v>398</v>
      </c>
      <c r="AW470" t="s">
        <v>74</v>
      </c>
      <c r="AX470" t="s">
        <v>74</v>
      </c>
      <c r="AY470" t="s">
        <v>74</v>
      </c>
      <c r="AZ470" t="s">
        <v>74</v>
      </c>
      <c r="BA470" t="s">
        <v>74</v>
      </c>
      <c r="BB470" t="s">
        <v>74</v>
      </c>
      <c r="BC470" t="s">
        <v>74</v>
      </c>
      <c r="BD470">
        <v>110105</v>
      </c>
      <c r="BE470" t="s">
        <v>9279</v>
      </c>
      <c r="BF470" t="str">
        <f>HYPERLINK("http://dx.doi.org/10.1016/j.agee.2025.110105","http://dx.doi.org/10.1016/j.agee.2025.110105")</f>
        <v>http://dx.doi.org/10.1016/j.agee.2025.110105</v>
      </c>
      <c r="BG470" t="s">
        <v>74</v>
      </c>
      <c r="BH470" t="s">
        <v>74</v>
      </c>
      <c r="BI470">
        <v>14</v>
      </c>
      <c r="BJ470" t="s">
        <v>1470</v>
      </c>
      <c r="BK470" t="s">
        <v>102</v>
      </c>
      <c r="BL470" t="s">
        <v>1471</v>
      </c>
      <c r="BM470" t="s">
        <v>9280</v>
      </c>
      <c r="BN470" t="s">
        <v>74</v>
      </c>
      <c r="BO470" t="s">
        <v>74</v>
      </c>
      <c r="BP470" t="s">
        <v>74</v>
      </c>
      <c r="BQ470" t="s">
        <v>74</v>
      </c>
      <c r="BR470" t="s">
        <v>106</v>
      </c>
      <c r="BS470" t="s">
        <v>9281</v>
      </c>
      <c r="BT470" t="str">
        <f>HYPERLINK("https%3A%2F%2Fwww.webofscience.com%2Fwos%2Fwoscc%2Ffull-record%2FWOS:001628398800001","View Full Record in Web of Science")</f>
        <v>View Full Record in Web of Science</v>
      </c>
    </row>
    <row r="471" spans="1:72" x14ac:dyDescent="0.2">
      <c r="A471" t="s">
        <v>72</v>
      </c>
      <c r="B471" t="s">
        <v>9282</v>
      </c>
      <c r="C471" t="s">
        <v>74</v>
      </c>
      <c r="D471" t="s">
        <v>74</v>
      </c>
      <c r="E471" t="s">
        <v>74</v>
      </c>
      <c r="F471" t="s">
        <v>9283</v>
      </c>
      <c r="G471" t="s">
        <v>74</v>
      </c>
      <c r="H471" t="s">
        <v>74</v>
      </c>
      <c r="I471" t="s">
        <v>9284</v>
      </c>
      <c r="J471" t="s">
        <v>9285</v>
      </c>
      <c r="K471" t="s">
        <v>74</v>
      </c>
      <c r="L471" t="s">
        <v>74</v>
      </c>
      <c r="M471" t="s">
        <v>78</v>
      </c>
      <c r="N471" t="s">
        <v>79</v>
      </c>
      <c r="O471" t="s">
        <v>74</v>
      </c>
      <c r="P471" t="s">
        <v>74</v>
      </c>
      <c r="Q471" t="s">
        <v>74</v>
      </c>
      <c r="R471" t="s">
        <v>74</v>
      </c>
      <c r="S471" t="s">
        <v>74</v>
      </c>
      <c r="T471" t="s">
        <v>9286</v>
      </c>
      <c r="U471" t="s">
        <v>9287</v>
      </c>
      <c r="V471" t="s">
        <v>9288</v>
      </c>
      <c r="W471" t="s">
        <v>9289</v>
      </c>
      <c r="X471" t="s">
        <v>9290</v>
      </c>
      <c r="Y471" t="s">
        <v>9291</v>
      </c>
      <c r="Z471" t="s">
        <v>9292</v>
      </c>
      <c r="AA471" t="s">
        <v>9293</v>
      </c>
      <c r="AB471" t="s">
        <v>74</v>
      </c>
      <c r="AC471" t="s">
        <v>9294</v>
      </c>
      <c r="AD471" t="s">
        <v>9295</v>
      </c>
      <c r="AE471" t="s">
        <v>9296</v>
      </c>
      <c r="AF471" t="s">
        <v>74</v>
      </c>
      <c r="AG471">
        <v>44</v>
      </c>
      <c r="AH471">
        <v>4</v>
      </c>
      <c r="AI471">
        <v>4</v>
      </c>
      <c r="AJ471">
        <v>14</v>
      </c>
      <c r="AK471">
        <v>126</v>
      </c>
      <c r="AL471" t="s">
        <v>247</v>
      </c>
      <c r="AM471" t="s">
        <v>248</v>
      </c>
      <c r="AN471" t="s">
        <v>249</v>
      </c>
      <c r="AO471" t="s">
        <v>9297</v>
      </c>
      <c r="AP471" t="s">
        <v>9298</v>
      </c>
      <c r="AQ471" t="s">
        <v>74</v>
      </c>
      <c r="AR471" t="s">
        <v>9299</v>
      </c>
      <c r="AS471" t="s">
        <v>9300</v>
      </c>
      <c r="AT471" t="s">
        <v>5933</v>
      </c>
      <c r="AU471">
        <v>2024</v>
      </c>
      <c r="AV471">
        <v>104</v>
      </c>
      <c r="AW471">
        <v>4</v>
      </c>
      <c r="AX471" t="s">
        <v>74</v>
      </c>
      <c r="AY471" t="s">
        <v>74</v>
      </c>
      <c r="AZ471" t="s">
        <v>74</v>
      </c>
      <c r="BA471" t="s">
        <v>74</v>
      </c>
      <c r="BB471">
        <v>2449</v>
      </c>
      <c r="BC471">
        <v>2457</v>
      </c>
      <c r="BD471" t="s">
        <v>74</v>
      </c>
      <c r="BE471" t="s">
        <v>9301</v>
      </c>
      <c r="BF471" t="str">
        <f>HYPERLINK("http://dx.doi.org/10.1002/jsfa.13126","http://dx.doi.org/10.1002/jsfa.13126")</f>
        <v>http://dx.doi.org/10.1002/jsfa.13126</v>
      </c>
      <c r="BG471" t="s">
        <v>74</v>
      </c>
      <c r="BH471" t="s">
        <v>1712</v>
      </c>
      <c r="BI471">
        <v>9</v>
      </c>
      <c r="BJ471" t="s">
        <v>5220</v>
      </c>
      <c r="BK471" t="s">
        <v>102</v>
      </c>
      <c r="BL471" t="s">
        <v>5221</v>
      </c>
      <c r="BM471" t="s">
        <v>9302</v>
      </c>
      <c r="BN471">
        <v>37961839</v>
      </c>
      <c r="BO471" t="s">
        <v>74</v>
      </c>
      <c r="BP471" t="s">
        <v>74</v>
      </c>
      <c r="BQ471" t="s">
        <v>74</v>
      </c>
      <c r="BR471" t="s">
        <v>106</v>
      </c>
      <c r="BS471" t="s">
        <v>9303</v>
      </c>
      <c r="BT471" t="str">
        <f>HYPERLINK("https%3A%2F%2Fwww.webofscience.com%2Fwos%2Fwoscc%2Ffull-record%2FWOS:001114567000001","View Full Record in Web of Science")</f>
        <v>View Full Record in Web of Science</v>
      </c>
    </row>
    <row r="472" spans="1:72" x14ac:dyDescent="0.2">
      <c r="A472" t="s">
        <v>72</v>
      </c>
      <c r="B472" t="s">
        <v>9304</v>
      </c>
      <c r="C472" t="s">
        <v>74</v>
      </c>
      <c r="D472" t="s">
        <v>74</v>
      </c>
      <c r="E472" t="s">
        <v>74</v>
      </c>
      <c r="F472" t="s">
        <v>9305</v>
      </c>
      <c r="G472" t="s">
        <v>74</v>
      </c>
      <c r="H472" t="s">
        <v>74</v>
      </c>
      <c r="I472" t="s">
        <v>9306</v>
      </c>
      <c r="J472" t="s">
        <v>468</v>
      </c>
      <c r="K472" t="s">
        <v>74</v>
      </c>
      <c r="L472" t="s">
        <v>74</v>
      </c>
      <c r="M472" t="s">
        <v>78</v>
      </c>
      <c r="N472" t="s">
        <v>79</v>
      </c>
      <c r="O472" t="s">
        <v>74</v>
      </c>
      <c r="P472" t="s">
        <v>74</v>
      </c>
      <c r="Q472" t="s">
        <v>74</v>
      </c>
      <c r="R472" t="s">
        <v>74</v>
      </c>
      <c r="S472" t="s">
        <v>74</v>
      </c>
      <c r="T472" t="s">
        <v>9307</v>
      </c>
      <c r="U472" t="s">
        <v>9308</v>
      </c>
      <c r="V472" t="s">
        <v>9309</v>
      </c>
      <c r="W472" t="s">
        <v>9310</v>
      </c>
      <c r="X472" t="s">
        <v>9311</v>
      </c>
      <c r="Y472" t="s">
        <v>9312</v>
      </c>
      <c r="Z472" t="s">
        <v>9313</v>
      </c>
      <c r="AA472" t="s">
        <v>9314</v>
      </c>
      <c r="AB472" t="s">
        <v>9315</v>
      </c>
      <c r="AC472" t="s">
        <v>74</v>
      </c>
      <c r="AD472" t="s">
        <v>74</v>
      </c>
      <c r="AE472" t="s">
        <v>74</v>
      </c>
      <c r="AF472" t="s">
        <v>74</v>
      </c>
      <c r="AG472">
        <v>72</v>
      </c>
      <c r="AH472">
        <v>12</v>
      </c>
      <c r="AI472">
        <v>12</v>
      </c>
      <c r="AJ472">
        <v>2</v>
      </c>
      <c r="AK472">
        <v>27</v>
      </c>
      <c r="AL472" t="s">
        <v>222</v>
      </c>
      <c r="AM472" t="s">
        <v>223</v>
      </c>
      <c r="AN472" t="s">
        <v>478</v>
      </c>
      <c r="AO472" t="s">
        <v>74</v>
      </c>
      <c r="AP472" t="s">
        <v>479</v>
      </c>
      <c r="AQ472" t="s">
        <v>74</v>
      </c>
      <c r="AR472" t="s">
        <v>480</v>
      </c>
      <c r="AS472" t="s">
        <v>481</v>
      </c>
      <c r="AT472" t="s">
        <v>99</v>
      </c>
      <c r="AU472">
        <v>2022</v>
      </c>
      <c r="AV472">
        <v>14</v>
      </c>
      <c r="AW472">
        <v>6</v>
      </c>
      <c r="AX472" t="s">
        <v>74</v>
      </c>
      <c r="AY472" t="s">
        <v>74</v>
      </c>
      <c r="AZ472" t="s">
        <v>74</v>
      </c>
      <c r="BA472" t="s">
        <v>74</v>
      </c>
      <c r="BB472" t="s">
        <v>74</v>
      </c>
      <c r="BC472" t="s">
        <v>74</v>
      </c>
      <c r="BD472">
        <v>3613</v>
      </c>
      <c r="BE472" t="s">
        <v>9316</v>
      </c>
      <c r="BF472" t="str">
        <f>HYPERLINK("http://dx.doi.org/10.3390/su14063613","http://dx.doi.org/10.3390/su14063613")</f>
        <v>http://dx.doi.org/10.3390/su14063613</v>
      </c>
      <c r="BG472" t="s">
        <v>74</v>
      </c>
      <c r="BH472" t="s">
        <v>74</v>
      </c>
      <c r="BI472">
        <v>18</v>
      </c>
      <c r="BJ472" t="s">
        <v>484</v>
      </c>
      <c r="BK472" t="s">
        <v>186</v>
      </c>
      <c r="BL472" t="s">
        <v>485</v>
      </c>
      <c r="BM472" t="s">
        <v>9317</v>
      </c>
      <c r="BN472" t="s">
        <v>74</v>
      </c>
      <c r="BO472" t="s">
        <v>161</v>
      </c>
      <c r="BP472" t="s">
        <v>74</v>
      </c>
      <c r="BQ472" t="s">
        <v>74</v>
      </c>
      <c r="BR472" t="s">
        <v>106</v>
      </c>
      <c r="BS472" t="s">
        <v>9318</v>
      </c>
      <c r="BT472" t="str">
        <f>HYPERLINK("https%3A%2F%2Fwww.webofscience.com%2Fwos%2Fwoscc%2Ffull-record%2FWOS:000774459300001","View Full Record in Web of Science")</f>
        <v>View Full Record in Web of Science</v>
      </c>
    </row>
    <row r="473" spans="1:72" x14ac:dyDescent="0.2">
      <c r="A473" t="s">
        <v>72</v>
      </c>
      <c r="B473" t="s">
        <v>9319</v>
      </c>
      <c r="C473" t="s">
        <v>74</v>
      </c>
      <c r="D473" t="s">
        <v>74</v>
      </c>
      <c r="E473" t="s">
        <v>74</v>
      </c>
      <c r="F473" t="s">
        <v>9320</v>
      </c>
      <c r="G473" t="s">
        <v>74</v>
      </c>
      <c r="H473" t="s">
        <v>74</v>
      </c>
      <c r="I473" t="s">
        <v>9321</v>
      </c>
      <c r="J473" t="s">
        <v>9322</v>
      </c>
      <c r="K473" t="s">
        <v>74</v>
      </c>
      <c r="L473" t="s">
        <v>74</v>
      </c>
      <c r="M473" t="s">
        <v>78</v>
      </c>
      <c r="N473" t="s">
        <v>492</v>
      </c>
      <c r="O473" t="s">
        <v>74</v>
      </c>
      <c r="P473" t="s">
        <v>74</v>
      </c>
      <c r="Q473" t="s">
        <v>74</v>
      </c>
      <c r="R473" t="s">
        <v>74</v>
      </c>
      <c r="S473" t="s">
        <v>74</v>
      </c>
      <c r="T473" t="s">
        <v>9323</v>
      </c>
      <c r="U473" t="s">
        <v>9324</v>
      </c>
      <c r="V473" t="s">
        <v>9325</v>
      </c>
      <c r="W473" t="s">
        <v>9326</v>
      </c>
      <c r="X473" t="s">
        <v>9327</v>
      </c>
      <c r="Y473" t="s">
        <v>9328</v>
      </c>
      <c r="Z473" t="s">
        <v>9329</v>
      </c>
      <c r="AA473" t="s">
        <v>74</v>
      </c>
      <c r="AB473" t="s">
        <v>74</v>
      </c>
      <c r="AC473" t="s">
        <v>9330</v>
      </c>
      <c r="AD473" t="s">
        <v>9330</v>
      </c>
      <c r="AE473" t="s">
        <v>9331</v>
      </c>
      <c r="AF473" t="s">
        <v>74</v>
      </c>
      <c r="AG473">
        <v>81</v>
      </c>
      <c r="AH473">
        <v>0</v>
      </c>
      <c r="AI473">
        <v>0</v>
      </c>
      <c r="AJ473">
        <v>16</v>
      </c>
      <c r="AK473">
        <v>16</v>
      </c>
      <c r="AL473" t="s">
        <v>1242</v>
      </c>
      <c r="AM473" t="s">
        <v>1243</v>
      </c>
      <c r="AN473" t="s">
        <v>1244</v>
      </c>
      <c r="AO473" t="s">
        <v>9332</v>
      </c>
      <c r="AP473" t="s">
        <v>9333</v>
      </c>
      <c r="AQ473" t="s">
        <v>74</v>
      </c>
      <c r="AR473" t="s">
        <v>9334</v>
      </c>
      <c r="AS473" t="s">
        <v>9335</v>
      </c>
      <c r="AT473" t="s">
        <v>9336</v>
      </c>
      <c r="AU473">
        <v>2025</v>
      </c>
      <c r="AV473" t="s">
        <v>74</v>
      </c>
      <c r="AW473" t="s">
        <v>74</v>
      </c>
      <c r="AX473" t="s">
        <v>74</v>
      </c>
      <c r="AY473" t="s">
        <v>74</v>
      </c>
      <c r="AZ473" t="s">
        <v>74</v>
      </c>
      <c r="BA473" t="s">
        <v>74</v>
      </c>
      <c r="BB473" t="s">
        <v>74</v>
      </c>
      <c r="BC473" t="s">
        <v>74</v>
      </c>
      <c r="BD473" t="s">
        <v>74</v>
      </c>
      <c r="BE473" t="s">
        <v>9337</v>
      </c>
      <c r="BF473" t="str">
        <f>HYPERLINK("http://dx.doi.org/10.1007/s13399-025-06882-1","http://dx.doi.org/10.1007/s13399-025-06882-1")</f>
        <v>http://dx.doi.org/10.1007/s13399-025-06882-1</v>
      </c>
      <c r="BG473" t="s">
        <v>74</v>
      </c>
      <c r="BH473" t="s">
        <v>513</v>
      </c>
      <c r="BI473">
        <v>15</v>
      </c>
      <c r="BJ473" t="s">
        <v>2979</v>
      </c>
      <c r="BK473" t="s">
        <v>102</v>
      </c>
      <c r="BL473" t="s">
        <v>2980</v>
      </c>
      <c r="BM473" t="s">
        <v>9338</v>
      </c>
      <c r="BN473" t="s">
        <v>74</v>
      </c>
      <c r="BO473" t="s">
        <v>74</v>
      </c>
      <c r="BP473" t="s">
        <v>74</v>
      </c>
      <c r="BQ473" t="s">
        <v>74</v>
      </c>
      <c r="BR473" t="s">
        <v>106</v>
      </c>
      <c r="BS473" t="s">
        <v>9339</v>
      </c>
      <c r="BT473" t="str">
        <f>HYPERLINK("https%3A%2F%2Fwww.webofscience.com%2Fwos%2Fwoscc%2Ffull-record%2FWOS:001558206500001","View Full Record in Web of Science")</f>
        <v>View Full Record in Web of Science</v>
      </c>
    </row>
    <row r="474" spans="1:72" x14ac:dyDescent="0.2">
      <c r="A474" t="s">
        <v>72</v>
      </c>
      <c r="B474" t="s">
        <v>9340</v>
      </c>
      <c r="C474" t="s">
        <v>74</v>
      </c>
      <c r="D474" t="s">
        <v>74</v>
      </c>
      <c r="E474" t="s">
        <v>74</v>
      </c>
      <c r="F474" t="s">
        <v>9341</v>
      </c>
      <c r="G474" t="s">
        <v>74</v>
      </c>
      <c r="H474" t="s">
        <v>74</v>
      </c>
      <c r="I474" t="s">
        <v>9342</v>
      </c>
      <c r="J474" t="s">
        <v>4502</v>
      </c>
      <c r="K474" t="s">
        <v>74</v>
      </c>
      <c r="L474" t="s">
        <v>74</v>
      </c>
      <c r="M474" t="s">
        <v>78</v>
      </c>
      <c r="N474" t="s">
        <v>79</v>
      </c>
      <c r="O474" t="s">
        <v>74</v>
      </c>
      <c r="P474" t="s">
        <v>74</v>
      </c>
      <c r="Q474" t="s">
        <v>74</v>
      </c>
      <c r="R474" t="s">
        <v>74</v>
      </c>
      <c r="S474" t="s">
        <v>74</v>
      </c>
      <c r="T474" t="s">
        <v>9343</v>
      </c>
      <c r="U474" t="s">
        <v>9344</v>
      </c>
      <c r="V474" t="s">
        <v>9345</v>
      </c>
      <c r="W474" t="s">
        <v>9346</v>
      </c>
      <c r="X474" t="s">
        <v>1456</v>
      </c>
      <c r="Y474" t="s">
        <v>9347</v>
      </c>
      <c r="Z474" t="s">
        <v>9348</v>
      </c>
      <c r="AA474" t="s">
        <v>74</v>
      </c>
      <c r="AB474" t="s">
        <v>74</v>
      </c>
      <c r="AC474" t="s">
        <v>9349</v>
      </c>
      <c r="AD474" t="s">
        <v>9350</v>
      </c>
      <c r="AE474" t="s">
        <v>9351</v>
      </c>
      <c r="AF474" t="s">
        <v>74</v>
      </c>
      <c r="AG474">
        <v>72</v>
      </c>
      <c r="AH474">
        <v>0</v>
      </c>
      <c r="AI474">
        <v>0</v>
      </c>
      <c r="AJ474">
        <v>0</v>
      </c>
      <c r="AK474">
        <v>0</v>
      </c>
      <c r="AL474" t="s">
        <v>123</v>
      </c>
      <c r="AM474" t="s">
        <v>124</v>
      </c>
      <c r="AN474" t="s">
        <v>125</v>
      </c>
      <c r="AO474" t="s">
        <v>4514</v>
      </c>
      <c r="AP474" t="s">
        <v>4515</v>
      </c>
      <c r="AQ474" t="s">
        <v>74</v>
      </c>
      <c r="AR474" t="s">
        <v>4516</v>
      </c>
      <c r="AS474" t="s">
        <v>4517</v>
      </c>
      <c r="AT474" t="s">
        <v>227</v>
      </c>
      <c r="AU474">
        <v>2026</v>
      </c>
      <c r="AV474">
        <v>217</v>
      </c>
      <c r="AW474" t="s">
        <v>74</v>
      </c>
      <c r="AX474" t="s">
        <v>74</v>
      </c>
      <c r="AY474" t="s">
        <v>74</v>
      </c>
      <c r="AZ474" t="s">
        <v>74</v>
      </c>
      <c r="BA474" t="s">
        <v>74</v>
      </c>
      <c r="BB474" t="s">
        <v>74</v>
      </c>
      <c r="BC474" t="s">
        <v>74</v>
      </c>
      <c r="BD474">
        <v>106641</v>
      </c>
      <c r="BE474" t="s">
        <v>9352</v>
      </c>
      <c r="BF474" t="str">
        <f>HYPERLINK("http://dx.doi.org/10.1016/j.apsoil.2025.106641","http://dx.doi.org/10.1016/j.apsoil.2025.106641")</f>
        <v>http://dx.doi.org/10.1016/j.apsoil.2025.106641</v>
      </c>
      <c r="BG474" t="s">
        <v>74</v>
      </c>
      <c r="BH474" t="s">
        <v>962</v>
      </c>
      <c r="BI474">
        <v>12</v>
      </c>
      <c r="BJ474" t="s">
        <v>256</v>
      </c>
      <c r="BK474" t="s">
        <v>102</v>
      </c>
      <c r="BL474" t="s">
        <v>103</v>
      </c>
      <c r="BM474" t="s">
        <v>9353</v>
      </c>
      <c r="BN474" t="s">
        <v>74</v>
      </c>
      <c r="BO474" t="s">
        <v>916</v>
      </c>
      <c r="BP474" t="s">
        <v>74</v>
      </c>
      <c r="BQ474" t="s">
        <v>74</v>
      </c>
      <c r="BR474" t="s">
        <v>106</v>
      </c>
      <c r="BS474" t="s">
        <v>9354</v>
      </c>
      <c r="BT474" t="str">
        <f>HYPERLINK("https%3A%2F%2Fwww.webofscience.com%2Fwos%2Fwoscc%2Ffull-record%2FWOS:001630072200005","View Full Record in Web of Science")</f>
        <v>View Full Record in Web of Science</v>
      </c>
    </row>
    <row r="475" spans="1:72" x14ac:dyDescent="0.2">
      <c r="A475" t="s">
        <v>72</v>
      </c>
      <c r="B475" t="s">
        <v>9355</v>
      </c>
      <c r="C475" t="s">
        <v>74</v>
      </c>
      <c r="D475" t="s">
        <v>74</v>
      </c>
      <c r="E475" t="s">
        <v>74</v>
      </c>
      <c r="F475" t="s">
        <v>9356</v>
      </c>
      <c r="G475" t="s">
        <v>74</v>
      </c>
      <c r="H475" t="s">
        <v>74</v>
      </c>
      <c r="I475" t="s">
        <v>9357</v>
      </c>
      <c r="J475" t="s">
        <v>347</v>
      </c>
      <c r="K475" t="s">
        <v>74</v>
      </c>
      <c r="L475" t="s">
        <v>74</v>
      </c>
      <c r="M475" t="s">
        <v>78</v>
      </c>
      <c r="N475" t="s">
        <v>79</v>
      </c>
      <c r="O475" t="s">
        <v>74</v>
      </c>
      <c r="P475" t="s">
        <v>74</v>
      </c>
      <c r="Q475" t="s">
        <v>74</v>
      </c>
      <c r="R475" t="s">
        <v>74</v>
      </c>
      <c r="S475" t="s">
        <v>74</v>
      </c>
      <c r="T475" t="s">
        <v>74</v>
      </c>
      <c r="U475" t="s">
        <v>9358</v>
      </c>
      <c r="V475" t="s">
        <v>9359</v>
      </c>
      <c r="W475" t="s">
        <v>9360</v>
      </c>
      <c r="X475" t="s">
        <v>9361</v>
      </c>
      <c r="Y475" t="s">
        <v>9362</v>
      </c>
      <c r="Z475" t="s">
        <v>9363</v>
      </c>
      <c r="AA475" t="s">
        <v>9364</v>
      </c>
      <c r="AB475" t="s">
        <v>9365</v>
      </c>
      <c r="AC475" t="s">
        <v>9366</v>
      </c>
      <c r="AD475" t="s">
        <v>9367</v>
      </c>
      <c r="AE475" t="s">
        <v>9368</v>
      </c>
      <c r="AF475" t="s">
        <v>74</v>
      </c>
      <c r="AG475">
        <v>69</v>
      </c>
      <c r="AH475">
        <v>40</v>
      </c>
      <c r="AI475">
        <v>43</v>
      </c>
      <c r="AJ475">
        <v>0</v>
      </c>
      <c r="AK475">
        <v>55</v>
      </c>
      <c r="AL475" t="s">
        <v>274</v>
      </c>
      <c r="AM475" t="s">
        <v>275</v>
      </c>
      <c r="AN475" t="s">
        <v>276</v>
      </c>
      <c r="AO475" t="s">
        <v>357</v>
      </c>
      <c r="AP475" t="s">
        <v>74</v>
      </c>
      <c r="AQ475" t="s">
        <v>74</v>
      </c>
      <c r="AR475" t="s">
        <v>358</v>
      </c>
      <c r="AS475" t="s">
        <v>359</v>
      </c>
      <c r="AT475" t="s">
        <v>9369</v>
      </c>
      <c r="AU475">
        <v>2016</v>
      </c>
      <c r="AV475">
        <v>6</v>
      </c>
      <c r="AW475" t="s">
        <v>74</v>
      </c>
      <c r="AX475" t="s">
        <v>74</v>
      </c>
      <c r="AY475" t="s">
        <v>74</v>
      </c>
      <c r="AZ475" t="s">
        <v>74</v>
      </c>
      <c r="BA475" t="s">
        <v>74</v>
      </c>
      <c r="BB475" t="s">
        <v>74</v>
      </c>
      <c r="BC475" t="s">
        <v>74</v>
      </c>
      <c r="BD475">
        <v>29194</v>
      </c>
      <c r="BE475" t="s">
        <v>9370</v>
      </c>
      <c r="BF475" t="str">
        <f>HYPERLINK("http://dx.doi.org/10.1038/srep29194","http://dx.doi.org/10.1038/srep29194")</f>
        <v>http://dx.doi.org/10.1038/srep29194</v>
      </c>
      <c r="BG475" t="s">
        <v>74</v>
      </c>
      <c r="BH475" t="s">
        <v>74</v>
      </c>
      <c r="BI475">
        <v>11</v>
      </c>
      <c r="BJ475" t="s">
        <v>158</v>
      </c>
      <c r="BK475" t="s">
        <v>102</v>
      </c>
      <c r="BL475" t="s">
        <v>159</v>
      </c>
      <c r="BM475" t="s">
        <v>9371</v>
      </c>
      <c r="BN475">
        <v>27373738</v>
      </c>
      <c r="BO475" t="s">
        <v>161</v>
      </c>
      <c r="BP475" t="s">
        <v>74</v>
      </c>
      <c r="BQ475" t="s">
        <v>74</v>
      </c>
      <c r="BR475" t="s">
        <v>106</v>
      </c>
      <c r="BS475" t="s">
        <v>9372</v>
      </c>
      <c r="BT475" t="str">
        <f>HYPERLINK("https%3A%2F%2Fwww.webofscience.com%2Fwos%2Fwoscc%2Ffull-record%2FWOS:000378949300001","View Full Record in Web of Science")</f>
        <v>View Full Record in Web of Science</v>
      </c>
    </row>
    <row r="476" spans="1:72" x14ac:dyDescent="0.2">
      <c r="A476" t="s">
        <v>72</v>
      </c>
      <c r="B476" t="s">
        <v>9373</v>
      </c>
      <c r="C476" t="s">
        <v>74</v>
      </c>
      <c r="D476" t="s">
        <v>74</v>
      </c>
      <c r="E476" t="s">
        <v>74</v>
      </c>
      <c r="F476" t="s">
        <v>9374</v>
      </c>
      <c r="G476" t="s">
        <v>74</v>
      </c>
      <c r="H476" t="s">
        <v>74</v>
      </c>
      <c r="I476" t="s">
        <v>9375</v>
      </c>
      <c r="J476" t="s">
        <v>546</v>
      </c>
      <c r="K476" t="s">
        <v>74</v>
      </c>
      <c r="L476" t="s">
        <v>74</v>
      </c>
      <c r="M476" t="s">
        <v>78</v>
      </c>
      <c r="N476" t="s">
        <v>79</v>
      </c>
      <c r="O476" t="s">
        <v>74</v>
      </c>
      <c r="P476" t="s">
        <v>74</v>
      </c>
      <c r="Q476" t="s">
        <v>74</v>
      </c>
      <c r="R476" t="s">
        <v>74</v>
      </c>
      <c r="S476" t="s">
        <v>74</v>
      </c>
      <c r="T476" t="s">
        <v>9376</v>
      </c>
      <c r="U476" t="s">
        <v>9377</v>
      </c>
      <c r="V476" t="s">
        <v>9378</v>
      </c>
      <c r="W476" t="s">
        <v>9379</v>
      </c>
      <c r="X476" t="s">
        <v>9380</v>
      </c>
      <c r="Y476" t="s">
        <v>9381</v>
      </c>
      <c r="Z476" t="s">
        <v>9382</v>
      </c>
      <c r="AA476" t="s">
        <v>9383</v>
      </c>
      <c r="AB476" t="s">
        <v>9384</v>
      </c>
      <c r="AC476" t="s">
        <v>9385</v>
      </c>
      <c r="AD476" t="s">
        <v>9386</v>
      </c>
      <c r="AE476" t="s">
        <v>9387</v>
      </c>
      <c r="AF476" t="s">
        <v>74</v>
      </c>
      <c r="AG476">
        <v>56</v>
      </c>
      <c r="AH476">
        <v>24</v>
      </c>
      <c r="AI476">
        <v>25</v>
      </c>
      <c r="AJ476">
        <v>22</v>
      </c>
      <c r="AK476">
        <v>185</v>
      </c>
      <c r="AL476" t="s">
        <v>559</v>
      </c>
      <c r="AM476" t="s">
        <v>93</v>
      </c>
      <c r="AN476" t="s">
        <v>560</v>
      </c>
      <c r="AO476" t="s">
        <v>561</v>
      </c>
      <c r="AP476" t="s">
        <v>562</v>
      </c>
      <c r="AQ476" t="s">
        <v>74</v>
      </c>
      <c r="AR476" t="s">
        <v>563</v>
      </c>
      <c r="AS476" t="s">
        <v>564</v>
      </c>
      <c r="AT476" t="s">
        <v>2684</v>
      </c>
      <c r="AU476">
        <v>2023</v>
      </c>
      <c r="AV476">
        <v>328</v>
      </c>
      <c r="AW476" t="s">
        <v>74</v>
      </c>
      <c r="AX476" t="s">
        <v>74</v>
      </c>
      <c r="AY476" t="s">
        <v>74</v>
      </c>
      <c r="AZ476" t="s">
        <v>74</v>
      </c>
      <c r="BA476" t="s">
        <v>74</v>
      </c>
      <c r="BB476" t="s">
        <v>74</v>
      </c>
      <c r="BC476" t="s">
        <v>74</v>
      </c>
      <c r="BD476">
        <v>116990</v>
      </c>
      <c r="BE476" t="s">
        <v>9388</v>
      </c>
      <c r="BF476" t="str">
        <f>HYPERLINK("http://dx.doi.org/10.1016/j.jenvman.2022.116990","http://dx.doi.org/10.1016/j.jenvman.2022.116990")</f>
        <v>http://dx.doi.org/10.1016/j.jenvman.2022.116990</v>
      </c>
      <c r="BG476" t="s">
        <v>74</v>
      </c>
      <c r="BH476" t="s">
        <v>9389</v>
      </c>
      <c r="BI476">
        <v>9</v>
      </c>
      <c r="BJ476" t="s">
        <v>567</v>
      </c>
      <c r="BK476" t="s">
        <v>102</v>
      </c>
      <c r="BL476" t="s">
        <v>568</v>
      </c>
      <c r="BM476" t="s">
        <v>9390</v>
      </c>
      <c r="BN476">
        <v>36508980</v>
      </c>
      <c r="BO476" t="s">
        <v>74</v>
      </c>
      <c r="BP476" t="s">
        <v>74</v>
      </c>
      <c r="BQ476" t="s">
        <v>74</v>
      </c>
      <c r="BR476" t="s">
        <v>106</v>
      </c>
      <c r="BS476" t="s">
        <v>9391</v>
      </c>
      <c r="BT476" t="str">
        <f>HYPERLINK("https%3A%2F%2Fwww.webofscience.com%2Fwos%2Fwoscc%2Ffull-record%2FWOS:000901459900003","View Full Record in Web of Science")</f>
        <v>View Full Record in Web of Science</v>
      </c>
    </row>
    <row r="477" spans="1:72" x14ac:dyDescent="0.2">
      <c r="A477" t="s">
        <v>72</v>
      </c>
      <c r="B477" t="s">
        <v>9392</v>
      </c>
      <c r="C477" t="s">
        <v>74</v>
      </c>
      <c r="D477" t="s">
        <v>74</v>
      </c>
      <c r="E477" t="s">
        <v>74</v>
      </c>
      <c r="F477" t="s">
        <v>9393</v>
      </c>
      <c r="G477" t="s">
        <v>74</v>
      </c>
      <c r="H477" t="s">
        <v>74</v>
      </c>
      <c r="I477" t="s">
        <v>9394</v>
      </c>
      <c r="J477" t="s">
        <v>762</v>
      </c>
      <c r="K477" t="s">
        <v>74</v>
      </c>
      <c r="L477" t="s">
        <v>74</v>
      </c>
      <c r="M477" t="s">
        <v>78</v>
      </c>
      <c r="N477" t="s">
        <v>79</v>
      </c>
      <c r="O477" t="s">
        <v>74</v>
      </c>
      <c r="P477" t="s">
        <v>74</v>
      </c>
      <c r="Q477" t="s">
        <v>74</v>
      </c>
      <c r="R477" t="s">
        <v>74</v>
      </c>
      <c r="S477" t="s">
        <v>74</v>
      </c>
      <c r="T477" t="s">
        <v>9395</v>
      </c>
      <c r="U477" t="s">
        <v>9396</v>
      </c>
      <c r="V477" t="s">
        <v>9397</v>
      </c>
      <c r="W477" t="s">
        <v>9398</v>
      </c>
      <c r="X477" t="s">
        <v>9399</v>
      </c>
      <c r="Y477" t="s">
        <v>9400</v>
      </c>
      <c r="Z477" t="s">
        <v>9401</v>
      </c>
      <c r="AA477" t="s">
        <v>9402</v>
      </c>
      <c r="AB477" t="s">
        <v>9403</v>
      </c>
      <c r="AC477" t="s">
        <v>9404</v>
      </c>
      <c r="AD477" t="s">
        <v>9405</v>
      </c>
      <c r="AE477" t="s">
        <v>9406</v>
      </c>
      <c r="AF477" t="s">
        <v>74</v>
      </c>
      <c r="AG477">
        <v>30</v>
      </c>
      <c r="AH477">
        <v>92</v>
      </c>
      <c r="AI477">
        <v>102</v>
      </c>
      <c r="AJ477">
        <v>6</v>
      </c>
      <c r="AK477">
        <v>125</v>
      </c>
      <c r="AL477" t="s">
        <v>1631</v>
      </c>
      <c r="AM477" t="s">
        <v>776</v>
      </c>
      <c r="AN477" t="s">
        <v>777</v>
      </c>
      <c r="AO477" t="s">
        <v>778</v>
      </c>
      <c r="AP477" t="s">
        <v>74</v>
      </c>
      <c r="AQ477" t="s">
        <v>74</v>
      </c>
      <c r="AR477" t="s">
        <v>779</v>
      </c>
      <c r="AS477" t="s">
        <v>780</v>
      </c>
      <c r="AT477" t="s">
        <v>1963</v>
      </c>
      <c r="AU477">
        <v>2016</v>
      </c>
      <c r="AV477">
        <v>11</v>
      </c>
      <c r="AW477">
        <v>9</v>
      </c>
      <c r="AX477" t="s">
        <v>74</v>
      </c>
      <c r="AY477" t="s">
        <v>74</v>
      </c>
      <c r="AZ477" t="s">
        <v>74</v>
      </c>
      <c r="BA477" t="s">
        <v>74</v>
      </c>
      <c r="BB477" t="s">
        <v>74</v>
      </c>
      <c r="BC477" t="s">
        <v>74</v>
      </c>
      <c r="BD477">
        <v>95004</v>
      </c>
      <c r="BE477" t="s">
        <v>9407</v>
      </c>
      <c r="BF477" t="str">
        <f>HYPERLINK("http://dx.doi.org/10.1088/1748-9326/11/9/095004","http://dx.doi.org/10.1088/1748-9326/11/9/095004")</f>
        <v>http://dx.doi.org/10.1088/1748-9326/11/9/095004</v>
      </c>
      <c r="BG477" t="s">
        <v>74</v>
      </c>
      <c r="BH477" t="s">
        <v>74</v>
      </c>
      <c r="BI477">
        <v>9</v>
      </c>
      <c r="BJ477" t="s">
        <v>782</v>
      </c>
      <c r="BK477" t="s">
        <v>102</v>
      </c>
      <c r="BL477" t="s">
        <v>783</v>
      </c>
      <c r="BM477" t="s">
        <v>9408</v>
      </c>
      <c r="BN477" t="s">
        <v>74</v>
      </c>
      <c r="BO477" t="s">
        <v>161</v>
      </c>
      <c r="BP477" t="s">
        <v>74</v>
      </c>
      <c r="BQ477" t="s">
        <v>74</v>
      </c>
      <c r="BR477" t="s">
        <v>106</v>
      </c>
      <c r="BS477" t="s">
        <v>9409</v>
      </c>
      <c r="BT477" t="str">
        <f>HYPERLINK("https%3A%2F%2Fwww.webofscience.com%2Fwos%2Fwoscc%2Ffull-record%2FWOS:000384060600002","View Full Record in Web of Science")</f>
        <v>View Full Record in Web of Science</v>
      </c>
    </row>
    <row r="478" spans="1:72" x14ac:dyDescent="0.2">
      <c r="A478" t="s">
        <v>72</v>
      </c>
      <c r="B478" t="s">
        <v>9410</v>
      </c>
      <c r="C478" t="s">
        <v>74</v>
      </c>
      <c r="D478" t="s">
        <v>74</v>
      </c>
      <c r="E478" t="s">
        <v>74</v>
      </c>
      <c r="F478" t="s">
        <v>9411</v>
      </c>
      <c r="G478" t="s">
        <v>74</v>
      </c>
      <c r="H478" t="s">
        <v>74</v>
      </c>
      <c r="I478" t="s">
        <v>9412</v>
      </c>
      <c r="J478" t="s">
        <v>828</v>
      </c>
      <c r="K478" t="s">
        <v>74</v>
      </c>
      <c r="L478" t="s">
        <v>74</v>
      </c>
      <c r="M478" t="s">
        <v>78</v>
      </c>
      <c r="N478" t="s">
        <v>79</v>
      </c>
      <c r="O478" t="s">
        <v>74</v>
      </c>
      <c r="P478" t="s">
        <v>74</v>
      </c>
      <c r="Q478" t="s">
        <v>74</v>
      </c>
      <c r="R478" t="s">
        <v>74</v>
      </c>
      <c r="S478" t="s">
        <v>74</v>
      </c>
      <c r="T478" t="s">
        <v>74</v>
      </c>
      <c r="U478" t="s">
        <v>74</v>
      </c>
      <c r="V478" t="s">
        <v>9413</v>
      </c>
      <c r="W478" t="s">
        <v>9414</v>
      </c>
      <c r="X478" t="s">
        <v>74</v>
      </c>
      <c r="Y478" t="s">
        <v>9415</v>
      </c>
      <c r="Z478" t="s">
        <v>74</v>
      </c>
      <c r="AA478" t="s">
        <v>74</v>
      </c>
      <c r="AB478" t="s">
        <v>74</v>
      </c>
      <c r="AC478" t="s">
        <v>9416</v>
      </c>
      <c r="AD478" t="s">
        <v>9416</v>
      </c>
      <c r="AE478" t="s">
        <v>9417</v>
      </c>
      <c r="AF478" t="s">
        <v>74</v>
      </c>
      <c r="AG478">
        <v>3</v>
      </c>
      <c r="AH478">
        <v>0</v>
      </c>
      <c r="AI478">
        <v>0</v>
      </c>
      <c r="AJ478">
        <v>1</v>
      </c>
      <c r="AK478">
        <v>5</v>
      </c>
      <c r="AL478" t="s">
        <v>835</v>
      </c>
      <c r="AM478" t="s">
        <v>836</v>
      </c>
      <c r="AN478" t="s">
        <v>3254</v>
      </c>
      <c r="AO478" t="s">
        <v>838</v>
      </c>
      <c r="AP478" t="s">
        <v>74</v>
      </c>
      <c r="AQ478" t="s">
        <v>74</v>
      </c>
      <c r="AR478" t="s">
        <v>839</v>
      </c>
      <c r="AS478" t="s">
        <v>840</v>
      </c>
      <c r="AT478" t="s">
        <v>5300</v>
      </c>
      <c r="AU478">
        <v>2018</v>
      </c>
      <c r="AV478">
        <v>49</v>
      </c>
      <c r="AW478">
        <v>4</v>
      </c>
      <c r="AX478" t="s">
        <v>74</v>
      </c>
      <c r="AY478" t="s">
        <v>74</v>
      </c>
      <c r="AZ478" t="s">
        <v>74</v>
      </c>
      <c r="BA478" t="s">
        <v>74</v>
      </c>
      <c r="BB478">
        <v>13</v>
      </c>
      <c r="BC478">
        <v>19</v>
      </c>
      <c r="BD478" t="s">
        <v>74</v>
      </c>
      <c r="BE478" t="s">
        <v>74</v>
      </c>
      <c r="BF478" t="s">
        <v>74</v>
      </c>
      <c r="BG478" t="s">
        <v>74</v>
      </c>
      <c r="BH478" t="s">
        <v>74</v>
      </c>
      <c r="BI478">
        <v>7</v>
      </c>
      <c r="BJ478" t="s">
        <v>842</v>
      </c>
      <c r="BK478" t="s">
        <v>102</v>
      </c>
      <c r="BL478" t="s">
        <v>103</v>
      </c>
      <c r="BM478" t="s">
        <v>5301</v>
      </c>
      <c r="BN478" t="s">
        <v>74</v>
      </c>
      <c r="BO478" t="s">
        <v>74</v>
      </c>
      <c r="BP478" t="s">
        <v>74</v>
      </c>
      <c r="BQ478" t="s">
        <v>74</v>
      </c>
      <c r="BR478" t="s">
        <v>106</v>
      </c>
      <c r="BS478" t="s">
        <v>9418</v>
      </c>
      <c r="BT478" t="str">
        <f>HYPERLINK("https%3A%2F%2Fwww.webofscience.com%2Fwos%2Fwoscc%2Ffull-record%2FWOS:000454671200003","View Full Record in Web of Science")</f>
        <v>View Full Record in Web of Science</v>
      </c>
    </row>
    <row r="479" spans="1:72" x14ac:dyDescent="0.2">
      <c r="A479" t="s">
        <v>72</v>
      </c>
      <c r="B479" t="s">
        <v>9419</v>
      </c>
      <c r="C479" t="s">
        <v>74</v>
      </c>
      <c r="D479" t="s">
        <v>74</v>
      </c>
      <c r="E479" t="s">
        <v>74</v>
      </c>
      <c r="F479" t="s">
        <v>9420</v>
      </c>
      <c r="G479" t="s">
        <v>74</v>
      </c>
      <c r="H479" t="s">
        <v>74</v>
      </c>
      <c r="I479" t="s">
        <v>9421</v>
      </c>
      <c r="J479" t="s">
        <v>2350</v>
      </c>
      <c r="K479" t="s">
        <v>74</v>
      </c>
      <c r="L479" t="s">
        <v>74</v>
      </c>
      <c r="M479" t="s">
        <v>78</v>
      </c>
      <c r="N479" t="s">
        <v>79</v>
      </c>
      <c r="O479" t="s">
        <v>74</v>
      </c>
      <c r="P479" t="s">
        <v>74</v>
      </c>
      <c r="Q479" t="s">
        <v>74</v>
      </c>
      <c r="R479" t="s">
        <v>74</v>
      </c>
      <c r="S479" t="s">
        <v>74</v>
      </c>
      <c r="T479" t="s">
        <v>9422</v>
      </c>
      <c r="U479" t="s">
        <v>74</v>
      </c>
      <c r="V479" t="s">
        <v>9423</v>
      </c>
      <c r="W479" t="s">
        <v>9424</v>
      </c>
      <c r="X479" t="s">
        <v>9425</v>
      </c>
      <c r="Y479" t="s">
        <v>9426</v>
      </c>
      <c r="Z479" t="s">
        <v>9427</v>
      </c>
      <c r="AA479" t="s">
        <v>74</v>
      </c>
      <c r="AB479" t="s">
        <v>9428</v>
      </c>
      <c r="AC479" t="s">
        <v>9429</v>
      </c>
      <c r="AD479" t="s">
        <v>9430</v>
      </c>
      <c r="AE479" t="s">
        <v>9431</v>
      </c>
      <c r="AF479" t="s">
        <v>74</v>
      </c>
      <c r="AG479">
        <v>26</v>
      </c>
      <c r="AH479">
        <v>0</v>
      </c>
      <c r="AI479">
        <v>1</v>
      </c>
      <c r="AJ479">
        <v>0</v>
      </c>
      <c r="AK479">
        <v>10</v>
      </c>
      <c r="AL479" t="s">
        <v>222</v>
      </c>
      <c r="AM479" t="s">
        <v>223</v>
      </c>
      <c r="AN479" t="s">
        <v>224</v>
      </c>
      <c r="AO479" t="s">
        <v>74</v>
      </c>
      <c r="AP479" t="s">
        <v>2360</v>
      </c>
      <c r="AQ479" t="s">
        <v>74</v>
      </c>
      <c r="AR479" t="s">
        <v>2361</v>
      </c>
      <c r="AS479" t="s">
        <v>2362</v>
      </c>
      <c r="AT479" t="s">
        <v>7392</v>
      </c>
      <c r="AU479">
        <v>2019</v>
      </c>
      <c r="AV479">
        <v>9</v>
      </c>
      <c r="AW479">
        <v>13</v>
      </c>
      <c r="AX479" t="s">
        <v>74</v>
      </c>
      <c r="AY479" t="s">
        <v>74</v>
      </c>
      <c r="AZ479" t="s">
        <v>74</v>
      </c>
      <c r="BA479" t="s">
        <v>74</v>
      </c>
      <c r="BB479" t="s">
        <v>74</v>
      </c>
      <c r="BC479" t="s">
        <v>74</v>
      </c>
      <c r="BD479">
        <v>2648</v>
      </c>
      <c r="BE479" t="s">
        <v>9432</v>
      </c>
      <c r="BF479" t="str">
        <f>HYPERLINK("http://dx.doi.org/10.3390/app9132648","http://dx.doi.org/10.3390/app9132648")</f>
        <v>http://dx.doi.org/10.3390/app9132648</v>
      </c>
      <c r="BG479" t="s">
        <v>74</v>
      </c>
      <c r="BH479" t="s">
        <v>74</v>
      </c>
      <c r="BI479">
        <v>12</v>
      </c>
      <c r="BJ479" t="s">
        <v>2365</v>
      </c>
      <c r="BK479" t="s">
        <v>102</v>
      </c>
      <c r="BL479" t="s">
        <v>2366</v>
      </c>
      <c r="BM479" t="s">
        <v>9433</v>
      </c>
      <c r="BN479" t="s">
        <v>74</v>
      </c>
      <c r="BO479" t="s">
        <v>161</v>
      </c>
      <c r="BP479" t="s">
        <v>74</v>
      </c>
      <c r="BQ479" t="s">
        <v>74</v>
      </c>
      <c r="BR479" t="s">
        <v>106</v>
      </c>
      <c r="BS479" t="s">
        <v>9434</v>
      </c>
      <c r="BT479" t="str">
        <f>HYPERLINK("https%3A%2F%2Fwww.webofscience.com%2Fwos%2Fwoscc%2Ffull-record%2FWOS:000477031900067","View Full Record in Web of Science")</f>
        <v>View Full Record in Web of Science</v>
      </c>
    </row>
    <row r="480" spans="1:72" x14ac:dyDescent="0.2">
      <c r="A480" t="s">
        <v>72</v>
      </c>
      <c r="B480" t="s">
        <v>9435</v>
      </c>
      <c r="C480" t="s">
        <v>74</v>
      </c>
      <c r="D480" t="s">
        <v>74</v>
      </c>
      <c r="E480" t="s">
        <v>74</v>
      </c>
      <c r="F480" t="s">
        <v>9436</v>
      </c>
      <c r="G480" t="s">
        <v>74</v>
      </c>
      <c r="H480" t="s">
        <v>74</v>
      </c>
      <c r="I480" t="s">
        <v>9437</v>
      </c>
      <c r="J480" t="s">
        <v>9438</v>
      </c>
      <c r="K480" t="s">
        <v>74</v>
      </c>
      <c r="L480" t="s">
        <v>74</v>
      </c>
      <c r="M480" t="s">
        <v>78</v>
      </c>
      <c r="N480" t="s">
        <v>79</v>
      </c>
      <c r="O480" t="s">
        <v>74</v>
      </c>
      <c r="P480" t="s">
        <v>74</v>
      </c>
      <c r="Q480" t="s">
        <v>74</v>
      </c>
      <c r="R480" t="s">
        <v>74</v>
      </c>
      <c r="S480" t="s">
        <v>74</v>
      </c>
      <c r="T480" t="s">
        <v>9439</v>
      </c>
      <c r="U480" t="s">
        <v>9440</v>
      </c>
      <c r="V480" t="s">
        <v>9441</v>
      </c>
      <c r="W480" t="s">
        <v>9442</v>
      </c>
      <c r="X480" t="s">
        <v>9443</v>
      </c>
      <c r="Y480" t="s">
        <v>9444</v>
      </c>
      <c r="Z480" t="s">
        <v>9445</v>
      </c>
      <c r="AA480" t="s">
        <v>9446</v>
      </c>
      <c r="AB480" t="s">
        <v>9447</v>
      </c>
      <c r="AC480" t="s">
        <v>9448</v>
      </c>
      <c r="AD480" t="s">
        <v>9449</v>
      </c>
      <c r="AE480" t="s">
        <v>9450</v>
      </c>
      <c r="AF480" t="s">
        <v>74</v>
      </c>
      <c r="AG480">
        <v>137</v>
      </c>
      <c r="AH480">
        <v>2</v>
      </c>
      <c r="AI480">
        <v>2</v>
      </c>
      <c r="AJ480">
        <v>2</v>
      </c>
      <c r="AK480">
        <v>9</v>
      </c>
      <c r="AL480" t="s">
        <v>6112</v>
      </c>
      <c r="AM480" t="s">
        <v>6113</v>
      </c>
      <c r="AN480" t="s">
        <v>6114</v>
      </c>
      <c r="AO480" t="s">
        <v>9451</v>
      </c>
      <c r="AP480" t="s">
        <v>9452</v>
      </c>
      <c r="AQ480" t="s">
        <v>74</v>
      </c>
      <c r="AR480" t="s">
        <v>9438</v>
      </c>
      <c r="AS480" t="s">
        <v>9453</v>
      </c>
      <c r="AT480" t="s">
        <v>459</v>
      </c>
      <c r="AU480">
        <v>2025</v>
      </c>
      <c r="AV480">
        <v>17</v>
      </c>
      <c r="AW480">
        <v>3</v>
      </c>
      <c r="AX480" t="s">
        <v>74</v>
      </c>
      <c r="AY480" t="s">
        <v>74</v>
      </c>
      <c r="AZ480" t="s">
        <v>74</v>
      </c>
      <c r="BA480" t="s">
        <v>74</v>
      </c>
      <c r="BB480" t="s">
        <v>74</v>
      </c>
      <c r="BC480" t="s">
        <v>74</v>
      </c>
      <c r="BD480" t="s">
        <v>74</v>
      </c>
      <c r="BE480" t="s">
        <v>9454</v>
      </c>
      <c r="BF480" t="str">
        <f>HYPERLINK("http://dx.doi.org/10.1002/cctc.202400698","http://dx.doi.org/10.1002/cctc.202400698")</f>
        <v>http://dx.doi.org/10.1002/cctc.202400698</v>
      </c>
      <c r="BG480" t="s">
        <v>74</v>
      </c>
      <c r="BH480" t="s">
        <v>1594</v>
      </c>
      <c r="BI480">
        <v>11</v>
      </c>
      <c r="BJ480" t="s">
        <v>6425</v>
      </c>
      <c r="BK480" t="s">
        <v>102</v>
      </c>
      <c r="BL480" t="s">
        <v>2499</v>
      </c>
      <c r="BM480" t="s">
        <v>9455</v>
      </c>
      <c r="BN480" t="s">
        <v>74</v>
      </c>
      <c r="BO480" t="s">
        <v>916</v>
      </c>
      <c r="BP480" t="s">
        <v>74</v>
      </c>
      <c r="BQ480" t="s">
        <v>74</v>
      </c>
      <c r="BR480" t="s">
        <v>106</v>
      </c>
      <c r="BS480" t="s">
        <v>9456</v>
      </c>
      <c r="BT480" t="str">
        <f>HYPERLINK("https%3A%2F%2Fwww.webofscience.com%2Fwos%2Fwoscc%2Ffull-record%2FWOS:001354468000001","View Full Record in Web of Science")</f>
        <v>View Full Record in Web of Science</v>
      </c>
    </row>
    <row r="481" spans="1:72" x14ac:dyDescent="0.2">
      <c r="A481" t="s">
        <v>72</v>
      </c>
      <c r="B481" t="s">
        <v>9457</v>
      </c>
      <c r="C481" t="s">
        <v>74</v>
      </c>
      <c r="D481" t="s">
        <v>74</v>
      </c>
      <c r="E481" t="s">
        <v>74</v>
      </c>
      <c r="F481" t="s">
        <v>9458</v>
      </c>
      <c r="G481" t="s">
        <v>74</v>
      </c>
      <c r="H481" t="s">
        <v>74</v>
      </c>
      <c r="I481" t="s">
        <v>9459</v>
      </c>
      <c r="J481" t="s">
        <v>546</v>
      </c>
      <c r="K481" t="s">
        <v>74</v>
      </c>
      <c r="L481" t="s">
        <v>74</v>
      </c>
      <c r="M481" t="s">
        <v>78</v>
      </c>
      <c r="N481" t="s">
        <v>79</v>
      </c>
      <c r="O481" t="s">
        <v>74</v>
      </c>
      <c r="P481" t="s">
        <v>74</v>
      </c>
      <c r="Q481" t="s">
        <v>74</v>
      </c>
      <c r="R481" t="s">
        <v>74</v>
      </c>
      <c r="S481" t="s">
        <v>74</v>
      </c>
      <c r="T481" t="s">
        <v>9460</v>
      </c>
      <c r="U481" t="s">
        <v>9461</v>
      </c>
      <c r="V481" t="s">
        <v>9462</v>
      </c>
      <c r="W481" t="s">
        <v>9463</v>
      </c>
      <c r="X481" t="s">
        <v>9464</v>
      </c>
      <c r="Y481" t="s">
        <v>9465</v>
      </c>
      <c r="Z481" t="s">
        <v>9466</v>
      </c>
      <c r="AA481" t="s">
        <v>9467</v>
      </c>
      <c r="AB481" t="s">
        <v>9468</v>
      </c>
      <c r="AC481" t="s">
        <v>9469</v>
      </c>
      <c r="AD481" t="s">
        <v>9470</v>
      </c>
      <c r="AE481" t="s">
        <v>9471</v>
      </c>
      <c r="AF481" t="s">
        <v>74</v>
      </c>
      <c r="AG481">
        <v>66</v>
      </c>
      <c r="AH481">
        <v>19</v>
      </c>
      <c r="AI481">
        <v>21</v>
      </c>
      <c r="AJ481">
        <v>24</v>
      </c>
      <c r="AK481">
        <v>157</v>
      </c>
      <c r="AL481" t="s">
        <v>559</v>
      </c>
      <c r="AM481" t="s">
        <v>93</v>
      </c>
      <c r="AN481" t="s">
        <v>560</v>
      </c>
      <c r="AO481" t="s">
        <v>561</v>
      </c>
      <c r="AP481" t="s">
        <v>562</v>
      </c>
      <c r="AQ481" t="s">
        <v>74</v>
      </c>
      <c r="AR481" t="s">
        <v>563</v>
      </c>
      <c r="AS481" t="s">
        <v>564</v>
      </c>
      <c r="AT481" t="s">
        <v>2977</v>
      </c>
      <c r="AU481">
        <v>2022</v>
      </c>
      <c r="AV481">
        <v>317</v>
      </c>
      <c r="AW481" t="s">
        <v>74</v>
      </c>
      <c r="AX481" t="s">
        <v>74</v>
      </c>
      <c r="AY481" t="s">
        <v>74</v>
      </c>
      <c r="AZ481" t="s">
        <v>74</v>
      </c>
      <c r="BA481" t="s">
        <v>74</v>
      </c>
      <c r="BB481" t="s">
        <v>74</v>
      </c>
      <c r="BC481" t="s">
        <v>74</v>
      </c>
      <c r="BD481">
        <v>115374</v>
      </c>
      <c r="BE481" t="s">
        <v>9472</v>
      </c>
      <c r="BF481" t="str">
        <f>HYPERLINK("http://dx.doi.org/10.1016/j.jenvman.2022.115374","http://dx.doi.org/10.1016/j.jenvman.2022.115374")</f>
        <v>http://dx.doi.org/10.1016/j.jenvman.2022.115374</v>
      </c>
      <c r="BG481" t="s">
        <v>74</v>
      </c>
      <c r="BH481" t="s">
        <v>2829</v>
      </c>
      <c r="BI481">
        <v>8</v>
      </c>
      <c r="BJ481" t="s">
        <v>567</v>
      </c>
      <c r="BK481" t="s">
        <v>102</v>
      </c>
      <c r="BL481" t="s">
        <v>568</v>
      </c>
      <c r="BM481" t="s">
        <v>9473</v>
      </c>
      <c r="BN481">
        <v>35751234</v>
      </c>
      <c r="BO481" t="s">
        <v>74</v>
      </c>
      <c r="BP481" t="s">
        <v>74</v>
      </c>
      <c r="BQ481" t="s">
        <v>74</v>
      </c>
      <c r="BR481" t="s">
        <v>106</v>
      </c>
      <c r="BS481" t="s">
        <v>9474</v>
      </c>
      <c r="BT481" t="str">
        <f>HYPERLINK("https%3A%2F%2Fwww.webofscience.com%2Fwos%2Fwoscc%2Ffull-record%2FWOS:000857398000004","View Full Record in Web of Science")</f>
        <v>View Full Record in Web of Science</v>
      </c>
    </row>
    <row r="482" spans="1:72" x14ac:dyDescent="0.2">
      <c r="A482" t="s">
        <v>72</v>
      </c>
      <c r="B482" t="s">
        <v>9475</v>
      </c>
      <c r="C482" t="s">
        <v>74</v>
      </c>
      <c r="D482" t="s">
        <v>74</v>
      </c>
      <c r="E482" t="s">
        <v>74</v>
      </c>
      <c r="F482" t="s">
        <v>9476</v>
      </c>
      <c r="G482" t="s">
        <v>74</v>
      </c>
      <c r="H482" t="s">
        <v>74</v>
      </c>
      <c r="I482" t="s">
        <v>9477</v>
      </c>
      <c r="J482" t="s">
        <v>1526</v>
      </c>
      <c r="K482" t="s">
        <v>74</v>
      </c>
      <c r="L482" t="s">
        <v>74</v>
      </c>
      <c r="M482" t="s">
        <v>78</v>
      </c>
      <c r="N482" t="s">
        <v>79</v>
      </c>
      <c r="O482" t="s">
        <v>74</v>
      </c>
      <c r="P482" t="s">
        <v>74</v>
      </c>
      <c r="Q482" t="s">
        <v>74</v>
      </c>
      <c r="R482" t="s">
        <v>74</v>
      </c>
      <c r="S482" t="s">
        <v>74</v>
      </c>
      <c r="T482" t="s">
        <v>9478</v>
      </c>
      <c r="U482" t="s">
        <v>9479</v>
      </c>
      <c r="V482" t="s">
        <v>9480</v>
      </c>
      <c r="W482" t="s">
        <v>9481</v>
      </c>
      <c r="X482" t="s">
        <v>9482</v>
      </c>
      <c r="Y482" t="s">
        <v>9483</v>
      </c>
      <c r="Z482" t="s">
        <v>9484</v>
      </c>
      <c r="AA482" t="s">
        <v>74</v>
      </c>
      <c r="AB482" t="s">
        <v>74</v>
      </c>
      <c r="AC482" t="s">
        <v>74</v>
      </c>
      <c r="AD482" t="s">
        <v>74</v>
      </c>
      <c r="AE482" t="s">
        <v>74</v>
      </c>
      <c r="AF482" t="s">
        <v>74</v>
      </c>
      <c r="AG482">
        <v>57</v>
      </c>
      <c r="AH482">
        <v>12</v>
      </c>
      <c r="AI482">
        <v>12</v>
      </c>
      <c r="AJ482">
        <v>0</v>
      </c>
      <c r="AK482">
        <v>41</v>
      </c>
      <c r="AL482" t="s">
        <v>176</v>
      </c>
      <c r="AM482" t="s">
        <v>177</v>
      </c>
      <c r="AN482" t="s">
        <v>178</v>
      </c>
      <c r="AO482" t="s">
        <v>1538</v>
      </c>
      <c r="AP482" t="s">
        <v>1539</v>
      </c>
      <c r="AQ482" t="s">
        <v>74</v>
      </c>
      <c r="AR482" t="s">
        <v>1540</v>
      </c>
      <c r="AS482" t="s">
        <v>1541</v>
      </c>
      <c r="AT482" t="s">
        <v>3405</v>
      </c>
      <c r="AU482">
        <v>2017</v>
      </c>
      <c r="AV482">
        <v>165</v>
      </c>
      <c r="AW482" t="s">
        <v>74</v>
      </c>
      <c r="AX482" t="s">
        <v>74</v>
      </c>
      <c r="AY482" t="s">
        <v>74</v>
      </c>
      <c r="AZ482" t="s">
        <v>74</v>
      </c>
      <c r="BA482" t="s">
        <v>74</v>
      </c>
      <c r="BB482">
        <v>564</v>
      </c>
      <c r="BC482">
        <v>578</v>
      </c>
      <c r="BD482" t="s">
        <v>74</v>
      </c>
      <c r="BE482" t="s">
        <v>9485</v>
      </c>
      <c r="BF482" t="str">
        <f>HYPERLINK("http://dx.doi.org/10.1016/j.jclepro.2017.07.169","http://dx.doi.org/10.1016/j.jclepro.2017.07.169")</f>
        <v>http://dx.doi.org/10.1016/j.jclepro.2017.07.169</v>
      </c>
      <c r="BG482" t="s">
        <v>74</v>
      </c>
      <c r="BH482" t="s">
        <v>74</v>
      </c>
      <c r="BI482">
        <v>15</v>
      </c>
      <c r="BJ482" t="s">
        <v>1543</v>
      </c>
      <c r="BK482" t="s">
        <v>102</v>
      </c>
      <c r="BL482" t="s">
        <v>1544</v>
      </c>
      <c r="BM482" t="s">
        <v>9486</v>
      </c>
      <c r="BN482" t="s">
        <v>74</v>
      </c>
      <c r="BO482" t="s">
        <v>74</v>
      </c>
      <c r="BP482" t="s">
        <v>74</v>
      </c>
      <c r="BQ482" t="s">
        <v>74</v>
      </c>
      <c r="BR482" t="s">
        <v>106</v>
      </c>
      <c r="BS482" t="s">
        <v>9487</v>
      </c>
      <c r="BT482" t="str">
        <f>HYPERLINK("https%3A%2F%2Fwww.webofscience.com%2Fwos%2Fwoscc%2Ffull-record%2FWOS:000411544400051","View Full Record in Web of Science")</f>
        <v>View Full Record in Web of Science</v>
      </c>
    </row>
    <row r="483" spans="1:72" x14ac:dyDescent="0.2">
      <c r="A483" t="s">
        <v>72</v>
      </c>
      <c r="B483" t="s">
        <v>9488</v>
      </c>
      <c r="C483" t="s">
        <v>74</v>
      </c>
      <c r="D483" t="s">
        <v>74</v>
      </c>
      <c r="E483" t="s">
        <v>74</v>
      </c>
      <c r="F483" t="s">
        <v>9489</v>
      </c>
      <c r="G483" t="s">
        <v>74</v>
      </c>
      <c r="H483" t="s">
        <v>74</v>
      </c>
      <c r="I483" t="s">
        <v>9490</v>
      </c>
      <c r="J483" t="s">
        <v>9491</v>
      </c>
      <c r="K483" t="s">
        <v>74</v>
      </c>
      <c r="L483" t="s">
        <v>74</v>
      </c>
      <c r="M483" t="s">
        <v>78</v>
      </c>
      <c r="N483" t="s">
        <v>79</v>
      </c>
      <c r="O483" t="s">
        <v>74</v>
      </c>
      <c r="P483" t="s">
        <v>74</v>
      </c>
      <c r="Q483" t="s">
        <v>74</v>
      </c>
      <c r="R483" t="s">
        <v>74</v>
      </c>
      <c r="S483" t="s">
        <v>74</v>
      </c>
      <c r="T483" t="s">
        <v>9492</v>
      </c>
      <c r="U483" t="s">
        <v>9493</v>
      </c>
      <c r="V483" t="s">
        <v>9494</v>
      </c>
      <c r="W483" t="s">
        <v>9495</v>
      </c>
      <c r="X483" t="s">
        <v>9496</v>
      </c>
      <c r="Y483" t="s">
        <v>9497</v>
      </c>
      <c r="Z483" t="s">
        <v>9498</v>
      </c>
      <c r="AA483" t="s">
        <v>9499</v>
      </c>
      <c r="AB483" t="s">
        <v>9500</v>
      </c>
      <c r="AC483" t="s">
        <v>9501</v>
      </c>
      <c r="AD483" t="s">
        <v>9502</v>
      </c>
      <c r="AE483" t="s">
        <v>9503</v>
      </c>
      <c r="AF483" t="s">
        <v>74</v>
      </c>
      <c r="AG483">
        <v>81</v>
      </c>
      <c r="AH483">
        <v>13</v>
      </c>
      <c r="AI483">
        <v>14</v>
      </c>
      <c r="AJ483">
        <v>7</v>
      </c>
      <c r="AK483">
        <v>63</v>
      </c>
      <c r="AL483" t="s">
        <v>3169</v>
      </c>
      <c r="AM483" t="s">
        <v>531</v>
      </c>
      <c r="AN483" t="s">
        <v>3170</v>
      </c>
      <c r="AO483" t="s">
        <v>9504</v>
      </c>
      <c r="AP483" t="s">
        <v>9505</v>
      </c>
      <c r="AQ483" t="s">
        <v>74</v>
      </c>
      <c r="AR483" t="s">
        <v>9506</v>
      </c>
      <c r="AS483" t="s">
        <v>9507</v>
      </c>
      <c r="AT483" t="s">
        <v>227</v>
      </c>
      <c r="AU483">
        <v>2021</v>
      </c>
      <c r="AV483">
        <v>126</v>
      </c>
      <c r="AW483">
        <v>1</v>
      </c>
      <c r="AX483" t="s">
        <v>74</v>
      </c>
      <c r="AY483" t="s">
        <v>74</v>
      </c>
      <c r="AZ483" t="s">
        <v>74</v>
      </c>
      <c r="BA483" t="s">
        <v>74</v>
      </c>
      <c r="BB483" t="s">
        <v>74</v>
      </c>
      <c r="BC483" t="s">
        <v>74</v>
      </c>
      <c r="BD483" t="s">
        <v>9508</v>
      </c>
      <c r="BE483" t="s">
        <v>9509</v>
      </c>
      <c r="BF483" t="str">
        <f>HYPERLINK("http://dx.doi.org/10.1029/2020JG005863","http://dx.doi.org/10.1029/2020JG005863")</f>
        <v>http://dx.doi.org/10.1029/2020JG005863</v>
      </c>
      <c r="BG483" t="s">
        <v>74</v>
      </c>
      <c r="BH483" t="s">
        <v>74</v>
      </c>
      <c r="BI483">
        <v>18</v>
      </c>
      <c r="BJ483" t="s">
        <v>1205</v>
      </c>
      <c r="BK483" t="s">
        <v>102</v>
      </c>
      <c r="BL483" t="s">
        <v>1206</v>
      </c>
      <c r="BM483" t="s">
        <v>9510</v>
      </c>
      <c r="BN483" t="s">
        <v>74</v>
      </c>
      <c r="BO483" t="s">
        <v>74</v>
      </c>
      <c r="BP483" t="s">
        <v>74</v>
      </c>
      <c r="BQ483" t="s">
        <v>74</v>
      </c>
      <c r="BR483" t="s">
        <v>106</v>
      </c>
      <c r="BS483" t="s">
        <v>9511</v>
      </c>
      <c r="BT483" t="str">
        <f>HYPERLINK("https%3A%2F%2Fwww.webofscience.com%2Fwos%2Fwoscc%2Ffull-record%2FWOS:000613329800005","View Full Record in Web of Science")</f>
        <v>View Full Record in Web of Science</v>
      </c>
    </row>
    <row r="484" spans="1:72" x14ac:dyDescent="0.2">
      <c r="A484" t="s">
        <v>72</v>
      </c>
      <c r="B484" t="s">
        <v>9512</v>
      </c>
      <c r="C484" t="s">
        <v>74</v>
      </c>
      <c r="D484" t="s">
        <v>74</v>
      </c>
      <c r="E484" t="s">
        <v>74</v>
      </c>
      <c r="F484" t="s">
        <v>9513</v>
      </c>
      <c r="G484" t="s">
        <v>74</v>
      </c>
      <c r="H484" t="s">
        <v>74</v>
      </c>
      <c r="I484" t="s">
        <v>9514</v>
      </c>
      <c r="J484" t="s">
        <v>7882</v>
      </c>
      <c r="K484" t="s">
        <v>74</v>
      </c>
      <c r="L484" t="s">
        <v>74</v>
      </c>
      <c r="M484" t="s">
        <v>78</v>
      </c>
      <c r="N484" t="s">
        <v>79</v>
      </c>
      <c r="O484" t="s">
        <v>74</v>
      </c>
      <c r="P484" t="s">
        <v>74</v>
      </c>
      <c r="Q484" t="s">
        <v>74</v>
      </c>
      <c r="R484" t="s">
        <v>74</v>
      </c>
      <c r="S484" t="s">
        <v>74</v>
      </c>
      <c r="T484" t="s">
        <v>9515</v>
      </c>
      <c r="U484" t="s">
        <v>9516</v>
      </c>
      <c r="V484" t="s">
        <v>9517</v>
      </c>
      <c r="W484" t="s">
        <v>9518</v>
      </c>
      <c r="X484" t="s">
        <v>9519</v>
      </c>
      <c r="Y484" t="s">
        <v>9520</v>
      </c>
      <c r="Z484" t="s">
        <v>9521</v>
      </c>
      <c r="AA484" t="s">
        <v>9522</v>
      </c>
      <c r="AB484" t="s">
        <v>74</v>
      </c>
      <c r="AC484" t="s">
        <v>9523</v>
      </c>
      <c r="AD484" t="s">
        <v>9523</v>
      </c>
      <c r="AE484" t="s">
        <v>9524</v>
      </c>
      <c r="AF484" t="s">
        <v>74</v>
      </c>
      <c r="AG484">
        <v>82</v>
      </c>
      <c r="AH484">
        <v>0</v>
      </c>
      <c r="AI484">
        <v>0</v>
      </c>
      <c r="AJ484">
        <v>1</v>
      </c>
      <c r="AK484">
        <v>1</v>
      </c>
      <c r="AL484" t="s">
        <v>504</v>
      </c>
      <c r="AM484" t="s">
        <v>505</v>
      </c>
      <c r="AN484" t="s">
        <v>506</v>
      </c>
      <c r="AO484" t="s">
        <v>7895</v>
      </c>
      <c r="AP484" t="s">
        <v>7896</v>
      </c>
      <c r="AQ484" t="s">
        <v>74</v>
      </c>
      <c r="AR484" t="s">
        <v>7897</v>
      </c>
      <c r="AS484" t="s">
        <v>7898</v>
      </c>
      <c r="AT484" t="s">
        <v>9525</v>
      </c>
      <c r="AU484">
        <v>2025</v>
      </c>
      <c r="AV484">
        <v>30</v>
      </c>
      <c r="AW484">
        <v>8</v>
      </c>
      <c r="AX484" t="s">
        <v>74</v>
      </c>
      <c r="AY484" t="s">
        <v>74</v>
      </c>
      <c r="AZ484" t="s">
        <v>74</v>
      </c>
      <c r="BA484" t="s">
        <v>74</v>
      </c>
      <c r="BB484" t="s">
        <v>74</v>
      </c>
      <c r="BC484" t="s">
        <v>74</v>
      </c>
      <c r="BD484">
        <v>77</v>
      </c>
      <c r="BE484" t="s">
        <v>9526</v>
      </c>
      <c r="BF484" t="str">
        <f>HYPERLINK("http://dx.doi.org/10.1007/s11027-025-10252-7","http://dx.doi.org/10.1007/s11027-025-10252-7")</f>
        <v>http://dx.doi.org/10.1007/s11027-025-10252-7</v>
      </c>
      <c r="BG484" t="s">
        <v>74</v>
      </c>
      <c r="BH484" t="s">
        <v>74</v>
      </c>
      <c r="BI484">
        <v>27</v>
      </c>
      <c r="BJ484" t="s">
        <v>567</v>
      </c>
      <c r="BK484" t="s">
        <v>102</v>
      </c>
      <c r="BL484" t="s">
        <v>568</v>
      </c>
      <c r="BM484" t="s">
        <v>9527</v>
      </c>
      <c r="BN484" t="s">
        <v>74</v>
      </c>
      <c r="BO484" t="s">
        <v>916</v>
      </c>
      <c r="BP484" t="s">
        <v>74</v>
      </c>
      <c r="BQ484" t="s">
        <v>74</v>
      </c>
      <c r="BR484" t="s">
        <v>106</v>
      </c>
      <c r="BS484" t="s">
        <v>9528</v>
      </c>
      <c r="BT484" t="str">
        <f>HYPERLINK("https%3A%2F%2Fwww.webofscience.com%2Fwos%2Fwoscc%2Ffull-record%2FWOS:001616794100001","View Full Record in Web of Science")</f>
        <v>View Full Record in Web of Science</v>
      </c>
    </row>
    <row r="485" spans="1:72" x14ac:dyDescent="0.2">
      <c r="A485" t="s">
        <v>72</v>
      </c>
      <c r="B485" t="s">
        <v>9529</v>
      </c>
      <c r="C485" t="s">
        <v>74</v>
      </c>
      <c r="D485" t="s">
        <v>74</v>
      </c>
      <c r="E485" t="s">
        <v>74</v>
      </c>
      <c r="F485" t="s">
        <v>9530</v>
      </c>
      <c r="G485" t="s">
        <v>74</v>
      </c>
      <c r="H485" t="s">
        <v>74</v>
      </c>
      <c r="I485" t="s">
        <v>9531</v>
      </c>
      <c r="J485" t="s">
        <v>2104</v>
      </c>
      <c r="K485" t="s">
        <v>74</v>
      </c>
      <c r="L485" t="s">
        <v>74</v>
      </c>
      <c r="M485" t="s">
        <v>78</v>
      </c>
      <c r="N485" t="s">
        <v>79</v>
      </c>
      <c r="O485" t="s">
        <v>74</v>
      </c>
      <c r="P485" t="s">
        <v>74</v>
      </c>
      <c r="Q485" t="s">
        <v>74</v>
      </c>
      <c r="R485" t="s">
        <v>74</v>
      </c>
      <c r="S485" t="s">
        <v>74</v>
      </c>
      <c r="T485" t="s">
        <v>9532</v>
      </c>
      <c r="U485" t="s">
        <v>9533</v>
      </c>
      <c r="V485" t="s">
        <v>9534</v>
      </c>
      <c r="W485" t="s">
        <v>9535</v>
      </c>
      <c r="X485" t="s">
        <v>9536</v>
      </c>
      <c r="Y485" t="s">
        <v>9537</v>
      </c>
      <c r="Z485" t="s">
        <v>3689</v>
      </c>
      <c r="AA485" t="s">
        <v>3690</v>
      </c>
      <c r="AB485" t="s">
        <v>3691</v>
      </c>
      <c r="AC485" t="s">
        <v>9538</v>
      </c>
      <c r="AD485" t="s">
        <v>9539</v>
      </c>
      <c r="AE485" t="s">
        <v>9540</v>
      </c>
      <c r="AF485" t="s">
        <v>74</v>
      </c>
      <c r="AG485">
        <v>73</v>
      </c>
      <c r="AH485">
        <v>32</v>
      </c>
      <c r="AI485">
        <v>34</v>
      </c>
      <c r="AJ485">
        <v>7</v>
      </c>
      <c r="AK485">
        <v>110</v>
      </c>
      <c r="AL485" t="s">
        <v>1242</v>
      </c>
      <c r="AM485" t="s">
        <v>1243</v>
      </c>
      <c r="AN485" t="s">
        <v>1244</v>
      </c>
      <c r="AO485" t="s">
        <v>2116</v>
      </c>
      <c r="AP485" t="s">
        <v>2117</v>
      </c>
      <c r="AQ485" t="s">
        <v>74</v>
      </c>
      <c r="AR485" t="s">
        <v>2118</v>
      </c>
      <c r="AS485" t="s">
        <v>2119</v>
      </c>
      <c r="AT485" t="s">
        <v>99</v>
      </c>
      <c r="AU485">
        <v>2016</v>
      </c>
      <c r="AV485">
        <v>21</v>
      </c>
      <c r="AW485">
        <v>3</v>
      </c>
      <c r="AX485" t="s">
        <v>74</v>
      </c>
      <c r="AY485" t="s">
        <v>74</v>
      </c>
      <c r="AZ485" t="s">
        <v>74</v>
      </c>
      <c r="BA485" t="s">
        <v>74</v>
      </c>
      <c r="BB485">
        <v>281</v>
      </c>
      <c r="BC485">
        <v>292</v>
      </c>
      <c r="BD485" t="s">
        <v>74</v>
      </c>
      <c r="BE485" t="s">
        <v>9541</v>
      </c>
      <c r="BF485" t="str">
        <f>HYPERLINK("http://dx.doi.org/10.1007/s11367-016-1034-8","http://dx.doi.org/10.1007/s11367-016-1034-8")</f>
        <v>http://dx.doi.org/10.1007/s11367-016-1034-8</v>
      </c>
      <c r="BG485" t="s">
        <v>74</v>
      </c>
      <c r="BH485" t="s">
        <v>74</v>
      </c>
      <c r="BI485">
        <v>12</v>
      </c>
      <c r="BJ485" t="s">
        <v>340</v>
      </c>
      <c r="BK485" t="s">
        <v>102</v>
      </c>
      <c r="BL485" t="s">
        <v>341</v>
      </c>
      <c r="BM485" t="s">
        <v>9542</v>
      </c>
      <c r="BN485" t="s">
        <v>74</v>
      </c>
      <c r="BO485" t="s">
        <v>74</v>
      </c>
      <c r="BP485" t="s">
        <v>74</v>
      </c>
      <c r="BQ485" t="s">
        <v>74</v>
      </c>
      <c r="BR485" t="s">
        <v>106</v>
      </c>
      <c r="BS485" t="s">
        <v>9543</v>
      </c>
      <c r="BT485" t="str">
        <f>HYPERLINK("https%3A%2F%2Fwww.webofscience.com%2Fwos%2Fwoscc%2Ffull-record%2FWOS:000370070200001","View Full Record in Web of Science")</f>
        <v>View Full Record in Web of Science</v>
      </c>
    </row>
    <row r="486" spans="1:72" x14ac:dyDescent="0.2">
      <c r="A486" t="s">
        <v>72</v>
      </c>
      <c r="B486" t="s">
        <v>9544</v>
      </c>
      <c r="C486" t="s">
        <v>74</v>
      </c>
      <c r="D486" t="s">
        <v>74</v>
      </c>
      <c r="E486" t="s">
        <v>74</v>
      </c>
      <c r="F486" t="s">
        <v>9545</v>
      </c>
      <c r="G486" t="s">
        <v>74</v>
      </c>
      <c r="H486" t="s">
        <v>74</v>
      </c>
      <c r="I486" t="s">
        <v>9546</v>
      </c>
      <c r="J486" t="s">
        <v>4281</v>
      </c>
      <c r="K486" t="s">
        <v>74</v>
      </c>
      <c r="L486" t="s">
        <v>74</v>
      </c>
      <c r="M486" t="s">
        <v>78</v>
      </c>
      <c r="N486" t="s">
        <v>79</v>
      </c>
      <c r="O486" t="s">
        <v>74</v>
      </c>
      <c r="P486" t="s">
        <v>74</v>
      </c>
      <c r="Q486" t="s">
        <v>74</v>
      </c>
      <c r="R486" t="s">
        <v>74</v>
      </c>
      <c r="S486" t="s">
        <v>74</v>
      </c>
      <c r="T486" t="s">
        <v>74</v>
      </c>
      <c r="U486" t="s">
        <v>9547</v>
      </c>
      <c r="V486" t="s">
        <v>9548</v>
      </c>
      <c r="W486" t="s">
        <v>9549</v>
      </c>
      <c r="X486" t="s">
        <v>9550</v>
      </c>
      <c r="Y486" t="s">
        <v>9551</v>
      </c>
      <c r="Z486" t="s">
        <v>9552</v>
      </c>
      <c r="AA486" t="s">
        <v>9553</v>
      </c>
      <c r="AB486" t="s">
        <v>9554</v>
      </c>
      <c r="AC486" t="s">
        <v>9555</v>
      </c>
      <c r="AD486" t="s">
        <v>9556</v>
      </c>
      <c r="AE486" t="s">
        <v>9557</v>
      </c>
      <c r="AF486" t="s">
        <v>74</v>
      </c>
      <c r="AG486">
        <v>83</v>
      </c>
      <c r="AH486">
        <v>188</v>
      </c>
      <c r="AI486">
        <v>207</v>
      </c>
      <c r="AJ486">
        <v>29</v>
      </c>
      <c r="AK486">
        <v>219</v>
      </c>
      <c r="AL486" t="s">
        <v>274</v>
      </c>
      <c r="AM486" t="s">
        <v>275</v>
      </c>
      <c r="AN486" t="s">
        <v>276</v>
      </c>
      <c r="AO486" t="s">
        <v>74</v>
      </c>
      <c r="AP486" t="s">
        <v>4293</v>
      </c>
      <c r="AQ486" t="s">
        <v>74</v>
      </c>
      <c r="AR486" t="s">
        <v>4294</v>
      </c>
      <c r="AS486" t="s">
        <v>4295</v>
      </c>
      <c r="AT486" t="s">
        <v>9558</v>
      </c>
      <c r="AU486">
        <v>2022</v>
      </c>
      <c r="AV486">
        <v>13</v>
      </c>
      <c r="AW486">
        <v>1</v>
      </c>
      <c r="AX486" t="s">
        <v>74</v>
      </c>
      <c r="AY486" t="s">
        <v>74</v>
      </c>
      <c r="AZ486" t="s">
        <v>74</v>
      </c>
      <c r="BA486" t="s">
        <v>74</v>
      </c>
      <c r="BB486" t="s">
        <v>74</v>
      </c>
      <c r="BC486" t="s">
        <v>74</v>
      </c>
      <c r="BD486">
        <v>4889</v>
      </c>
      <c r="BE486" t="s">
        <v>9559</v>
      </c>
      <c r="BF486" t="str">
        <f>HYPERLINK("http://dx.doi.org/10.1038/s41467-022-32244-w","http://dx.doi.org/10.1038/s41467-022-32244-w")</f>
        <v>http://dx.doi.org/10.1038/s41467-022-32244-w</v>
      </c>
      <c r="BG486" t="s">
        <v>74</v>
      </c>
      <c r="BH486" t="s">
        <v>74</v>
      </c>
      <c r="BI486">
        <v>12</v>
      </c>
      <c r="BJ486" t="s">
        <v>158</v>
      </c>
      <c r="BK486" t="s">
        <v>102</v>
      </c>
      <c r="BL486" t="s">
        <v>159</v>
      </c>
      <c r="BM486" t="s">
        <v>9560</v>
      </c>
      <c r="BN486">
        <v>36042197</v>
      </c>
      <c r="BO486" t="s">
        <v>161</v>
      </c>
      <c r="BP486" t="s">
        <v>4815</v>
      </c>
      <c r="BQ486" t="s">
        <v>4816</v>
      </c>
      <c r="BR486" t="s">
        <v>106</v>
      </c>
      <c r="BS486" t="s">
        <v>9561</v>
      </c>
      <c r="BT486" t="str">
        <f>HYPERLINK("https%3A%2F%2Fwww.webofscience.com%2Fwos%2Fwoscc%2Ffull-record%2FWOS:000847797500005","View Full Record in Web of Science")</f>
        <v>View Full Record in Web of Science</v>
      </c>
    </row>
    <row r="487" spans="1:72" x14ac:dyDescent="0.2">
      <c r="A487" t="s">
        <v>72</v>
      </c>
      <c r="B487" t="s">
        <v>9562</v>
      </c>
      <c r="C487" t="s">
        <v>74</v>
      </c>
      <c r="D487" t="s">
        <v>74</v>
      </c>
      <c r="E487" t="s">
        <v>74</v>
      </c>
      <c r="F487" t="s">
        <v>9563</v>
      </c>
      <c r="G487" t="s">
        <v>74</v>
      </c>
      <c r="H487" t="s">
        <v>74</v>
      </c>
      <c r="I487" t="s">
        <v>9564</v>
      </c>
      <c r="J487" t="s">
        <v>468</v>
      </c>
      <c r="K487" t="s">
        <v>74</v>
      </c>
      <c r="L487" t="s">
        <v>74</v>
      </c>
      <c r="M487" t="s">
        <v>78</v>
      </c>
      <c r="N487" t="s">
        <v>79</v>
      </c>
      <c r="O487" t="s">
        <v>74</v>
      </c>
      <c r="P487" t="s">
        <v>74</v>
      </c>
      <c r="Q487" t="s">
        <v>74</v>
      </c>
      <c r="R487" t="s">
        <v>74</v>
      </c>
      <c r="S487" t="s">
        <v>74</v>
      </c>
      <c r="T487" t="s">
        <v>9565</v>
      </c>
      <c r="U487" t="s">
        <v>9566</v>
      </c>
      <c r="V487" t="s">
        <v>9567</v>
      </c>
      <c r="W487" t="s">
        <v>9568</v>
      </c>
      <c r="X487" t="s">
        <v>9569</v>
      </c>
      <c r="Y487" t="s">
        <v>9570</v>
      </c>
      <c r="Z487" t="s">
        <v>9571</v>
      </c>
      <c r="AA487" t="s">
        <v>74</v>
      </c>
      <c r="AB487" t="s">
        <v>9572</v>
      </c>
      <c r="AC487" t="s">
        <v>9573</v>
      </c>
      <c r="AD487" t="s">
        <v>9574</v>
      </c>
      <c r="AE487" t="s">
        <v>9575</v>
      </c>
      <c r="AF487" t="s">
        <v>74</v>
      </c>
      <c r="AG487">
        <v>78</v>
      </c>
      <c r="AH487">
        <v>1</v>
      </c>
      <c r="AI487">
        <v>1</v>
      </c>
      <c r="AJ487">
        <v>4</v>
      </c>
      <c r="AK487">
        <v>10</v>
      </c>
      <c r="AL487" t="s">
        <v>222</v>
      </c>
      <c r="AM487" t="s">
        <v>223</v>
      </c>
      <c r="AN487" t="s">
        <v>224</v>
      </c>
      <c r="AO487" t="s">
        <v>74</v>
      </c>
      <c r="AP487" t="s">
        <v>479</v>
      </c>
      <c r="AQ487" t="s">
        <v>74</v>
      </c>
      <c r="AR487" t="s">
        <v>480</v>
      </c>
      <c r="AS487" t="s">
        <v>481</v>
      </c>
      <c r="AT487" t="s">
        <v>227</v>
      </c>
      <c r="AU487">
        <v>2025</v>
      </c>
      <c r="AV487">
        <v>17</v>
      </c>
      <c r="AW487">
        <v>1</v>
      </c>
      <c r="AX487" t="s">
        <v>74</v>
      </c>
      <c r="AY487" t="s">
        <v>74</v>
      </c>
      <c r="AZ487" t="s">
        <v>74</v>
      </c>
      <c r="BA487" t="s">
        <v>74</v>
      </c>
      <c r="BB487" t="s">
        <v>74</v>
      </c>
      <c r="BC487" t="s">
        <v>74</v>
      </c>
      <c r="BD487">
        <v>289</v>
      </c>
      <c r="BE487" t="s">
        <v>9576</v>
      </c>
      <c r="BF487" t="str">
        <f>HYPERLINK("http://dx.doi.org/10.3390/su17010289","http://dx.doi.org/10.3390/su17010289")</f>
        <v>http://dx.doi.org/10.3390/su17010289</v>
      </c>
      <c r="BG487" t="s">
        <v>74</v>
      </c>
      <c r="BH487" t="s">
        <v>74</v>
      </c>
      <c r="BI487">
        <v>22</v>
      </c>
      <c r="BJ487" t="s">
        <v>484</v>
      </c>
      <c r="BK487" t="s">
        <v>186</v>
      </c>
      <c r="BL487" t="s">
        <v>485</v>
      </c>
      <c r="BM487" t="s">
        <v>9577</v>
      </c>
      <c r="BN487" t="s">
        <v>74</v>
      </c>
      <c r="BO487" t="s">
        <v>231</v>
      </c>
      <c r="BP487" t="s">
        <v>74</v>
      </c>
      <c r="BQ487" t="s">
        <v>74</v>
      </c>
      <c r="BR487" t="s">
        <v>106</v>
      </c>
      <c r="BS487" t="s">
        <v>9578</v>
      </c>
      <c r="BT487" t="str">
        <f>HYPERLINK("https%3A%2F%2Fwww.webofscience.com%2Fwos%2Fwoscc%2Ffull-record%2FWOS:001393853900001","View Full Record in Web of Science")</f>
        <v>View Full Record in Web of Science</v>
      </c>
    </row>
    <row r="488" spans="1:72" x14ac:dyDescent="0.2">
      <c r="A488" t="s">
        <v>72</v>
      </c>
      <c r="B488" t="s">
        <v>9579</v>
      </c>
      <c r="C488" t="s">
        <v>74</v>
      </c>
      <c r="D488" t="s">
        <v>74</v>
      </c>
      <c r="E488" t="s">
        <v>74</v>
      </c>
      <c r="F488" t="s">
        <v>9580</v>
      </c>
      <c r="G488" t="s">
        <v>74</v>
      </c>
      <c r="H488" t="s">
        <v>74</v>
      </c>
      <c r="I488" t="s">
        <v>9581</v>
      </c>
      <c r="J488" t="s">
        <v>9582</v>
      </c>
      <c r="K488" t="s">
        <v>74</v>
      </c>
      <c r="L488" t="s">
        <v>74</v>
      </c>
      <c r="M488" t="s">
        <v>78</v>
      </c>
      <c r="N488" t="s">
        <v>79</v>
      </c>
      <c r="O488" t="s">
        <v>74</v>
      </c>
      <c r="P488" t="s">
        <v>74</v>
      </c>
      <c r="Q488" t="s">
        <v>74</v>
      </c>
      <c r="R488" t="s">
        <v>74</v>
      </c>
      <c r="S488" t="s">
        <v>74</v>
      </c>
      <c r="T488" t="s">
        <v>9583</v>
      </c>
      <c r="U488" t="s">
        <v>9584</v>
      </c>
      <c r="V488" t="s">
        <v>9585</v>
      </c>
      <c r="W488" t="s">
        <v>9586</v>
      </c>
      <c r="X488" t="s">
        <v>9587</v>
      </c>
      <c r="Y488" t="s">
        <v>9588</v>
      </c>
      <c r="Z488" t="s">
        <v>9589</v>
      </c>
      <c r="AA488" t="s">
        <v>9590</v>
      </c>
      <c r="AB488" t="s">
        <v>9591</v>
      </c>
      <c r="AC488" t="s">
        <v>9592</v>
      </c>
      <c r="AD488" t="s">
        <v>9593</v>
      </c>
      <c r="AE488" t="s">
        <v>9594</v>
      </c>
      <c r="AF488" t="s">
        <v>74</v>
      </c>
      <c r="AG488">
        <v>134</v>
      </c>
      <c r="AH488">
        <v>2</v>
      </c>
      <c r="AI488">
        <v>3</v>
      </c>
      <c r="AJ488">
        <v>1</v>
      </c>
      <c r="AK488">
        <v>6</v>
      </c>
      <c r="AL488" t="s">
        <v>176</v>
      </c>
      <c r="AM488" t="s">
        <v>1610</v>
      </c>
      <c r="AN488" t="s">
        <v>1611</v>
      </c>
      <c r="AO488" t="s">
        <v>9595</v>
      </c>
      <c r="AP488" t="s">
        <v>9596</v>
      </c>
      <c r="AQ488" t="s">
        <v>74</v>
      </c>
      <c r="AR488" t="s">
        <v>9597</v>
      </c>
      <c r="AS488" t="s">
        <v>9598</v>
      </c>
      <c r="AT488" t="s">
        <v>4711</v>
      </c>
      <c r="AU488">
        <v>2024</v>
      </c>
      <c r="AV488">
        <v>359</v>
      </c>
      <c r="AW488" t="s">
        <v>74</v>
      </c>
      <c r="AX488" t="s">
        <v>74</v>
      </c>
      <c r="AY488" t="s">
        <v>74</v>
      </c>
      <c r="AZ488" t="s">
        <v>74</v>
      </c>
      <c r="BA488" t="s">
        <v>74</v>
      </c>
      <c r="BB488" t="s">
        <v>74</v>
      </c>
      <c r="BC488" t="s">
        <v>74</v>
      </c>
      <c r="BD488">
        <v>124707</v>
      </c>
      <c r="BE488" t="s">
        <v>9599</v>
      </c>
      <c r="BF488" t="str">
        <f>HYPERLINK("http://dx.doi.org/10.1016/j.envpol.2024.124707","http://dx.doi.org/10.1016/j.envpol.2024.124707")</f>
        <v>http://dx.doi.org/10.1016/j.envpol.2024.124707</v>
      </c>
      <c r="BG488" t="s">
        <v>74</v>
      </c>
      <c r="BH488" t="s">
        <v>1111</v>
      </c>
      <c r="BI488">
        <v>15</v>
      </c>
      <c r="BJ488" t="s">
        <v>567</v>
      </c>
      <c r="BK488" t="s">
        <v>102</v>
      </c>
      <c r="BL488" t="s">
        <v>568</v>
      </c>
      <c r="BM488" t="s">
        <v>9600</v>
      </c>
      <c r="BN488">
        <v>39128605</v>
      </c>
      <c r="BO488" t="s">
        <v>74</v>
      </c>
      <c r="BP488" t="s">
        <v>74</v>
      </c>
      <c r="BQ488" t="s">
        <v>74</v>
      </c>
      <c r="BR488" t="s">
        <v>106</v>
      </c>
      <c r="BS488" t="s">
        <v>9601</v>
      </c>
      <c r="BT488" t="str">
        <f>HYPERLINK("https%3A%2F%2Fwww.webofscience.com%2Fwos%2Fwoscc%2Ffull-record%2FWOS:001301070500001","View Full Record in Web of Science")</f>
        <v>View Full Record in Web of Science</v>
      </c>
    </row>
    <row r="489" spans="1:72" x14ac:dyDescent="0.2">
      <c r="A489" t="s">
        <v>72</v>
      </c>
      <c r="B489" t="s">
        <v>9602</v>
      </c>
      <c r="C489" t="s">
        <v>74</v>
      </c>
      <c r="D489" t="s">
        <v>74</v>
      </c>
      <c r="E489" t="s">
        <v>74</v>
      </c>
      <c r="F489" t="s">
        <v>9603</v>
      </c>
      <c r="G489" t="s">
        <v>74</v>
      </c>
      <c r="H489" t="s">
        <v>74</v>
      </c>
      <c r="I489" t="s">
        <v>9604</v>
      </c>
      <c r="J489" t="s">
        <v>9605</v>
      </c>
      <c r="K489" t="s">
        <v>74</v>
      </c>
      <c r="L489" t="s">
        <v>74</v>
      </c>
      <c r="M489" t="s">
        <v>78</v>
      </c>
      <c r="N489" t="s">
        <v>79</v>
      </c>
      <c r="O489" t="s">
        <v>74</v>
      </c>
      <c r="P489" t="s">
        <v>74</v>
      </c>
      <c r="Q489" t="s">
        <v>74</v>
      </c>
      <c r="R489" t="s">
        <v>74</v>
      </c>
      <c r="S489" t="s">
        <v>74</v>
      </c>
      <c r="T489" t="s">
        <v>9606</v>
      </c>
      <c r="U489" t="s">
        <v>9607</v>
      </c>
      <c r="V489" t="s">
        <v>9608</v>
      </c>
      <c r="W489" t="s">
        <v>9609</v>
      </c>
      <c r="X489" t="s">
        <v>9610</v>
      </c>
      <c r="Y489" t="s">
        <v>9611</v>
      </c>
      <c r="Z489" t="s">
        <v>9612</v>
      </c>
      <c r="AA489" t="s">
        <v>9613</v>
      </c>
      <c r="AB489" t="s">
        <v>9614</v>
      </c>
      <c r="AC489" t="s">
        <v>9615</v>
      </c>
      <c r="AD489" t="s">
        <v>9615</v>
      </c>
      <c r="AE489" t="s">
        <v>9616</v>
      </c>
      <c r="AF489" t="s">
        <v>74</v>
      </c>
      <c r="AG489">
        <v>29</v>
      </c>
      <c r="AH489">
        <v>0</v>
      </c>
      <c r="AI489">
        <v>0</v>
      </c>
      <c r="AJ489">
        <v>0</v>
      </c>
      <c r="AK489">
        <v>0</v>
      </c>
      <c r="AL489" t="s">
        <v>222</v>
      </c>
      <c r="AM489" t="s">
        <v>223</v>
      </c>
      <c r="AN489" t="s">
        <v>478</v>
      </c>
      <c r="AO489" t="s">
        <v>74</v>
      </c>
      <c r="AP489" t="s">
        <v>9617</v>
      </c>
      <c r="AQ489" t="s">
        <v>74</v>
      </c>
      <c r="AR489" t="s">
        <v>9605</v>
      </c>
      <c r="AS489" t="s">
        <v>9618</v>
      </c>
      <c r="AT489" t="s">
        <v>2610</v>
      </c>
      <c r="AU489">
        <v>2025</v>
      </c>
      <c r="AV489">
        <v>18</v>
      </c>
      <c r="AW489">
        <v>15</v>
      </c>
      <c r="AX489" t="s">
        <v>74</v>
      </c>
      <c r="AY489" t="s">
        <v>74</v>
      </c>
      <c r="AZ489" t="s">
        <v>74</v>
      </c>
      <c r="BA489" t="s">
        <v>74</v>
      </c>
      <c r="BB489" t="s">
        <v>74</v>
      </c>
      <c r="BC489" t="s">
        <v>74</v>
      </c>
      <c r="BD489">
        <v>3534</v>
      </c>
      <c r="BE489" t="s">
        <v>9619</v>
      </c>
      <c r="BF489" t="str">
        <f>HYPERLINK("http://dx.doi.org/10.3390/ma18153534","http://dx.doi.org/10.3390/ma18153534")</f>
        <v>http://dx.doi.org/10.3390/ma18153534</v>
      </c>
      <c r="BG489" t="s">
        <v>74</v>
      </c>
      <c r="BH489" t="s">
        <v>74</v>
      </c>
      <c r="BI489">
        <v>14</v>
      </c>
      <c r="BJ489" t="s">
        <v>9620</v>
      </c>
      <c r="BK489" t="s">
        <v>102</v>
      </c>
      <c r="BL489" t="s">
        <v>9621</v>
      </c>
      <c r="BM489" t="s">
        <v>9622</v>
      </c>
      <c r="BN489">
        <v>40805412</v>
      </c>
      <c r="BO489" t="s">
        <v>161</v>
      </c>
      <c r="BP489" t="s">
        <v>74</v>
      </c>
      <c r="BQ489" t="s">
        <v>74</v>
      </c>
      <c r="BR489" t="s">
        <v>106</v>
      </c>
      <c r="BS489" t="s">
        <v>9623</v>
      </c>
      <c r="BT489" t="str">
        <f>HYPERLINK("https%3A%2F%2Fwww.webofscience.com%2Fwos%2Fwoscc%2Ffull-record%2FWOS:001551041700001","View Full Record in Web of Science")</f>
        <v>View Full Record in Web of Science</v>
      </c>
    </row>
    <row r="490" spans="1:72" x14ac:dyDescent="0.2">
      <c r="A490" t="s">
        <v>72</v>
      </c>
      <c r="B490" t="s">
        <v>9624</v>
      </c>
      <c r="C490" t="s">
        <v>74</v>
      </c>
      <c r="D490" t="s">
        <v>74</v>
      </c>
      <c r="E490" t="s">
        <v>74</v>
      </c>
      <c r="F490" t="s">
        <v>9625</v>
      </c>
      <c r="G490" t="s">
        <v>74</v>
      </c>
      <c r="H490" t="s">
        <v>74</v>
      </c>
      <c r="I490" t="s">
        <v>9626</v>
      </c>
      <c r="J490" t="s">
        <v>446</v>
      </c>
      <c r="K490" t="s">
        <v>74</v>
      </c>
      <c r="L490" t="s">
        <v>74</v>
      </c>
      <c r="M490" t="s">
        <v>78</v>
      </c>
      <c r="N490" t="s">
        <v>79</v>
      </c>
      <c r="O490" t="s">
        <v>74</v>
      </c>
      <c r="P490" t="s">
        <v>74</v>
      </c>
      <c r="Q490" t="s">
        <v>74</v>
      </c>
      <c r="R490" t="s">
        <v>74</v>
      </c>
      <c r="S490" t="s">
        <v>74</v>
      </c>
      <c r="T490" t="s">
        <v>9627</v>
      </c>
      <c r="U490" t="s">
        <v>9628</v>
      </c>
      <c r="V490" t="s">
        <v>9629</v>
      </c>
      <c r="W490" t="s">
        <v>9630</v>
      </c>
      <c r="X490" t="s">
        <v>9631</v>
      </c>
      <c r="Y490" t="s">
        <v>9632</v>
      </c>
      <c r="Z490" t="s">
        <v>9633</v>
      </c>
      <c r="AA490" t="s">
        <v>74</v>
      </c>
      <c r="AB490" t="s">
        <v>74</v>
      </c>
      <c r="AC490" t="s">
        <v>9634</v>
      </c>
      <c r="AD490" t="s">
        <v>9635</v>
      </c>
      <c r="AE490" t="s">
        <v>9636</v>
      </c>
      <c r="AF490" t="s">
        <v>74</v>
      </c>
      <c r="AG490">
        <v>39</v>
      </c>
      <c r="AH490">
        <v>8</v>
      </c>
      <c r="AI490">
        <v>9</v>
      </c>
      <c r="AJ490">
        <v>16</v>
      </c>
      <c r="AK490">
        <v>134</v>
      </c>
      <c r="AL490" t="s">
        <v>222</v>
      </c>
      <c r="AM490" t="s">
        <v>223</v>
      </c>
      <c r="AN490" t="s">
        <v>478</v>
      </c>
      <c r="AO490" t="s">
        <v>74</v>
      </c>
      <c r="AP490" t="s">
        <v>457</v>
      </c>
      <c r="AQ490" t="s">
        <v>74</v>
      </c>
      <c r="AR490" t="s">
        <v>446</v>
      </c>
      <c r="AS490" t="s">
        <v>458</v>
      </c>
      <c r="AT490" t="s">
        <v>183</v>
      </c>
      <c r="AU490">
        <v>2022</v>
      </c>
      <c r="AV490">
        <v>12</v>
      </c>
      <c r="AW490">
        <v>7</v>
      </c>
      <c r="AX490" t="s">
        <v>74</v>
      </c>
      <c r="AY490" t="s">
        <v>74</v>
      </c>
      <c r="AZ490" t="s">
        <v>74</v>
      </c>
      <c r="BA490" t="s">
        <v>74</v>
      </c>
      <c r="BB490" t="s">
        <v>74</v>
      </c>
      <c r="BC490" t="s">
        <v>74</v>
      </c>
      <c r="BD490">
        <v>1548</v>
      </c>
      <c r="BE490" t="s">
        <v>9637</v>
      </c>
      <c r="BF490" t="str">
        <f>HYPERLINK("http://dx.doi.org/10.3390/agronomy12071548","http://dx.doi.org/10.3390/agronomy12071548")</f>
        <v>http://dx.doi.org/10.3390/agronomy12071548</v>
      </c>
      <c r="BG490" t="s">
        <v>74</v>
      </c>
      <c r="BH490" t="s">
        <v>74</v>
      </c>
      <c r="BI490">
        <v>12</v>
      </c>
      <c r="BJ490" t="s">
        <v>461</v>
      </c>
      <c r="BK490" t="s">
        <v>102</v>
      </c>
      <c r="BL490" t="s">
        <v>462</v>
      </c>
      <c r="BM490" t="s">
        <v>9638</v>
      </c>
      <c r="BN490" t="s">
        <v>74</v>
      </c>
      <c r="BO490" t="s">
        <v>161</v>
      </c>
      <c r="BP490" t="s">
        <v>74</v>
      </c>
      <c r="BQ490" t="s">
        <v>74</v>
      </c>
      <c r="BR490" t="s">
        <v>106</v>
      </c>
      <c r="BS490" t="s">
        <v>9639</v>
      </c>
      <c r="BT490" t="str">
        <f>HYPERLINK("https%3A%2F%2Fwww.webofscience.com%2Fwos%2Fwoscc%2Ffull-record%2FWOS:000832344200001","View Full Record in Web of Science")</f>
        <v>View Full Record in Web of Science</v>
      </c>
    </row>
    <row r="491" spans="1:72" x14ac:dyDescent="0.2">
      <c r="A491" t="s">
        <v>72</v>
      </c>
      <c r="B491" t="s">
        <v>9640</v>
      </c>
      <c r="C491" t="s">
        <v>74</v>
      </c>
      <c r="D491" t="s">
        <v>74</v>
      </c>
      <c r="E491" t="s">
        <v>74</v>
      </c>
      <c r="F491" t="s">
        <v>9641</v>
      </c>
      <c r="G491" t="s">
        <v>74</v>
      </c>
      <c r="H491" t="s">
        <v>74</v>
      </c>
      <c r="I491" t="s">
        <v>9642</v>
      </c>
      <c r="J491" t="s">
        <v>1526</v>
      </c>
      <c r="K491" t="s">
        <v>74</v>
      </c>
      <c r="L491" t="s">
        <v>74</v>
      </c>
      <c r="M491" t="s">
        <v>78</v>
      </c>
      <c r="N491" t="s">
        <v>79</v>
      </c>
      <c r="O491" t="s">
        <v>74</v>
      </c>
      <c r="P491" t="s">
        <v>74</v>
      </c>
      <c r="Q491" t="s">
        <v>74</v>
      </c>
      <c r="R491" t="s">
        <v>74</v>
      </c>
      <c r="S491" t="s">
        <v>74</v>
      </c>
      <c r="T491" t="s">
        <v>9643</v>
      </c>
      <c r="U491" t="s">
        <v>9644</v>
      </c>
      <c r="V491" t="s">
        <v>9645</v>
      </c>
      <c r="W491" t="s">
        <v>9646</v>
      </c>
      <c r="X491" t="s">
        <v>9647</v>
      </c>
      <c r="Y491" t="s">
        <v>9648</v>
      </c>
      <c r="Z491" t="s">
        <v>9649</v>
      </c>
      <c r="AA491" t="s">
        <v>9650</v>
      </c>
      <c r="AB491" t="s">
        <v>9651</v>
      </c>
      <c r="AC491" t="s">
        <v>9652</v>
      </c>
      <c r="AD491" t="s">
        <v>9653</v>
      </c>
      <c r="AE491" t="s">
        <v>9654</v>
      </c>
      <c r="AF491" t="s">
        <v>74</v>
      </c>
      <c r="AG491">
        <v>86</v>
      </c>
      <c r="AH491">
        <v>50</v>
      </c>
      <c r="AI491">
        <v>52</v>
      </c>
      <c r="AJ491">
        <v>13</v>
      </c>
      <c r="AK491">
        <v>185</v>
      </c>
      <c r="AL491" t="s">
        <v>176</v>
      </c>
      <c r="AM491" t="s">
        <v>1610</v>
      </c>
      <c r="AN491" t="s">
        <v>1611</v>
      </c>
      <c r="AO491" t="s">
        <v>1538</v>
      </c>
      <c r="AP491" t="s">
        <v>1539</v>
      </c>
      <c r="AQ491" t="s">
        <v>74</v>
      </c>
      <c r="AR491" t="s">
        <v>1540</v>
      </c>
      <c r="AS491" t="s">
        <v>1541</v>
      </c>
      <c r="AT491" t="s">
        <v>1632</v>
      </c>
      <c r="AU491">
        <v>2022</v>
      </c>
      <c r="AV491">
        <v>330</v>
      </c>
      <c r="AW491" t="s">
        <v>74</v>
      </c>
      <c r="AX491" t="s">
        <v>74</v>
      </c>
      <c r="AY491" t="s">
        <v>74</v>
      </c>
      <c r="AZ491" t="s">
        <v>74</v>
      </c>
      <c r="BA491" t="s">
        <v>74</v>
      </c>
      <c r="BB491" t="s">
        <v>74</v>
      </c>
      <c r="BC491" t="s">
        <v>74</v>
      </c>
      <c r="BD491">
        <v>129766</v>
      </c>
      <c r="BE491" t="s">
        <v>9655</v>
      </c>
      <c r="BF491" t="str">
        <f>HYPERLINK("http://dx.doi.org/10.1016/j.jclepro.2021.129766","http://dx.doi.org/10.1016/j.jclepro.2021.129766")</f>
        <v>http://dx.doi.org/10.1016/j.jclepro.2021.129766</v>
      </c>
      <c r="BG491" t="s">
        <v>74</v>
      </c>
      <c r="BH491" t="s">
        <v>888</v>
      </c>
      <c r="BI491">
        <v>15</v>
      </c>
      <c r="BJ491" t="s">
        <v>1543</v>
      </c>
      <c r="BK491" t="s">
        <v>186</v>
      </c>
      <c r="BL491" t="s">
        <v>1544</v>
      </c>
      <c r="BM491" t="s">
        <v>9656</v>
      </c>
      <c r="BN491" t="s">
        <v>74</v>
      </c>
      <c r="BO491" t="s">
        <v>74</v>
      </c>
      <c r="BP491" t="s">
        <v>74</v>
      </c>
      <c r="BQ491" t="s">
        <v>74</v>
      </c>
      <c r="BR491" t="s">
        <v>106</v>
      </c>
      <c r="BS491" t="s">
        <v>9657</v>
      </c>
      <c r="BT491" t="str">
        <f>HYPERLINK("https%3A%2F%2Fwww.webofscience.com%2Fwos%2Fwoscc%2Ffull-record%2FWOS:000729825000004","View Full Record in Web of Science")</f>
        <v>View Full Record in Web of Science</v>
      </c>
    </row>
    <row r="492" spans="1:72" x14ac:dyDescent="0.2">
      <c r="A492" t="s">
        <v>72</v>
      </c>
      <c r="B492" t="s">
        <v>9658</v>
      </c>
      <c r="C492" t="s">
        <v>74</v>
      </c>
      <c r="D492" t="s">
        <v>74</v>
      </c>
      <c r="E492" t="s">
        <v>74</v>
      </c>
      <c r="F492" t="s">
        <v>9659</v>
      </c>
      <c r="G492" t="s">
        <v>74</v>
      </c>
      <c r="H492" t="s">
        <v>74</v>
      </c>
      <c r="I492" t="s">
        <v>9660</v>
      </c>
      <c r="J492" t="s">
        <v>236</v>
      </c>
      <c r="K492" t="s">
        <v>74</v>
      </c>
      <c r="L492" t="s">
        <v>74</v>
      </c>
      <c r="M492" t="s">
        <v>78</v>
      </c>
      <c r="N492" t="s">
        <v>79</v>
      </c>
      <c r="O492" t="s">
        <v>74</v>
      </c>
      <c r="P492" t="s">
        <v>74</v>
      </c>
      <c r="Q492" t="s">
        <v>74</v>
      </c>
      <c r="R492" t="s">
        <v>74</v>
      </c>
      <c r="S492" t="s">
        <v>74</v>
      </c>
      <c r="T492" t="s">
        <v>74</v>
      </c>
      <c r="U492" t="s">
        <v>1877</v>
      </c>
      <c r="V492" t="s">
        <v>9661</v>
      </c>
      <c r="W492" t="s">
        <v>9662</v>
      </c>
      <c r="X492" t="s">
        <v>9663</v>
      </c>
      <c r="Y492" t="s">
        <v>9664</v>
      </c>
      <c r="Z492" t="s">
        <v>9665</v>
      </c>
      <c r="AA492" t="s">
        <v>9666</v>
      </c>
      <c r="AB492" t="s">
        <v>9667</v>
      </c>
      <c r="AC492" t="s">
        <v>74</v>
      </c>
      <c r="AD492" t="s">
        <v>74</v>
      </c>
      <c r="AE492" t="s">
        <v>74</v>
      </c>
      <c r="AF492" t="s">
        <v>74</v>
      </c>
      <c r="AG492">
        <v>22</v>
      </c>
      <c r="AH492">
        <v>1</v>
      </c>
      <c r="AI492">
        <v>3</v>
      </c>
      <c r="AJ492">
        <v>3</v>
      </c>
      <c r="AK492">
        <v>11</v>
      </c>
      <c r="AL492" t="s">
        <v>247</v>
      </c>
      <c r="AM492" t="s">
        <v>248</v>
      </c>
      <c r="AN492" t="s">
        <v>249</v>
      </c>
      <c r="AO492" t="s">
        <v>250</v>
      </c>
      <c r="AP492" t="s">
        <v>251</v>
      </c>
      <c r="AQ492" t="s">
        <v>74</v>
      </c>
      <c r="AR492" t="s">
        <v>252</v>
      </c>
      <c r="AS492" t="s">
        <v>253</v>
      </c>
      <c r="AT492" t="s">
        <v>912</v>
      </c>
      <c r="AU492">
        <v>2024</v>
      </c>
      <c r="AV492">
        <v>88</v>
      </c>
      <c r="AW492">
        <v>3</v>
      </c>
      <c r="AX492" t="s">
        <v>74</v>
      </c>
      <c r="AY492" t="s">
        <v>74</v>
      </c>
      <c r="AZ492" t="s">
        <v>74</v>
      </c>
      <c r="BA492" t="s">
        <v>74</v>
      </c>
      <c r="BB492">
        <v>745</v>
      </c>
      <c r="BC492">
        <v>752</v>
      </c>
      <c r="BD492" t="s">
        <v>74</v>
      </c>
      <c r="BE492" t="s">
        <v>9668</v>
      </c>
      <c r="BF492" t="str">
        <f>HYPERLINK("http://dx.doi.org/10.1002/saj2.20643","http://dx.doi.org/10.1002/saj2.20643")</f>
        <v>http://dx.doi.org/10.1002/saj2.20643</v>
      </c>
      <c r="BG492" t="s">
        <v>74</v>
      </c>
      <c r="BH492" t="s">
        <v>5349</v>
      </c>
      <c r="BI492">
        <v>8</v>
      </c>
      <c r="BJ492" t="s">
        <v>256</v>
      </c>
      <c r="BK492" t="s">
        <v>102</v>
      </c>
      <c r="BL492" t="s">
        <v>103</v>
      </c>
      <c r="BM492" t="s">
        <v>9669</v>
      </c>
      <c r="BN492" t="s">
        <v>74</v>
      </c>
      <c r="BO492" t="s">
        <v>74</v>
      </c>
      <c r="BP492" t="s">
        <v>74</v>
      </c>
      <c r="BQ492" t="s">
        <v>74</v>
      </c>
      <c r="BR492" t="s">
        <v>106</v>
      </c>
      <c r="BS492" t="s">
        <v>9670</v>
      </c>
      <c r="BT492" t="str">
        <f>HYPERLINK("https%3A%2F%2Fwww.webofscience.com%2Fwos%2Fwoscc%2Ffull-record%2FWOS:001177986100001","View Full Record in Web of Science")</f>
        <v>View Full Record in Web of Science</v>
      </c>
    </row>
    <row r="493" spans="1:72" x14ac:dyDescent="0.2">
      <c r="A493" t="s">
        <v>72</v>
      </c>
      <c r="B493" t="s">
        <v>9671</v>
      </c>
      <c r="C493" t="s">
        <v>74</v>
      </c>
      <c r="D493" t="s">
        <v>74</v>
      </c>
      <c r="E493" t="s">
        <v>74</v>
      </c>
      <c r="F493" t="s">
        <v>9672</v>
      </c>
      <c r="G493" t="s">
        <v>74</v>
      </c>
      <c r="H493" t="s">
        <v>74</v>
      </c>
      <c r="I493" t="s">
        <v>9673</v>
      </c>
      <c r="J493" t="s">
        <v>9674</v>
      </c>
      <c r="K493" t="s">
        <v>74</v>
      </c>
      <c r="L493" t="s">
        <v>74</v>
      </c>
      <c r="M493" t="s">
        <v>78</v>
      </c>
      <c r="N493" t="s">
        <v>79</v>
      </c>
      <c r="O493" t="s">
        <v>74</v>
      </c>
      <c r="P493" t="s">
        <v>74</v>
      </c>
      <c r="Q493" t="s">
        <v>74</v>
      </c>
      <c r="R493" t="s">
        <v>74</v>
      </c>
      <c r="S493" t="s">
        <v>74</v>
      </c>
      <c r="T493" t="s">
        <v>9675</v>
      </c>
      <c r="U493" t="s">
        <v>9676</v>
      </c>
      <c r="V493" t="s">
        <v>9677</v>
      </c>
      <c r="W493" t="s">
        <v>9678</v>
      </c>
      <c r="X493" t="s">
        <v>9679</v>
      </c>
      <c r="Y493" t="s">
        <v>9680</v>
      </c>
      <c r="Z493" t="s">
        <v>9681</v>
      </c>
      <c r="AA493" t="s">
        <v>9682</v>
      </c>
      <c r="AB493" t="s">
        <v>9683</v>
      </c>
      <c r="AC493" t="s">
        <v>9684</v>
      </c>
      <c r="AD493" t="s">
        <v>9685</v>
      </c>
      <c r="AE493" t="s">
        <v>9686</v>
      </c>
      <c r="AF493" t="s">
        <v>74</v>
      </c>
      <c r="AG493">
        <v>48</v>
      </c>
      <c r="AH493">
        <v>7</v>
      </c>
      <c r="AI493">
        <v>8</v>
      </c>
      <c r="AJ493">
        <v>2</v>
      </c>
      <c r="AK493">
        <v>103</v>
      </c>
      <c r="AL493" t="s">
        <v>222</v>
      </c>
      <c r="AM493" t="s">
        <v>223</v>
      </c>
      <c r="AN493" t="s">
        <v>224</v>
      </c>
      <c r="AO493" t="s">
        <v>74</v>
      </c>
      <c r="AP493" t="s">
        <v>9687</v>
      </c>
      <c r="AQ493" t="s">
        <v>74</v>
      </c>
      <c r="AR493" t="s">
        <v>9688</v>
      </c>
      <c r="AS493" t="s">
        <v>9689</v>
      </c>
      <c r="AT493" t="s">
        <v>636</v>
      </c>
      <c r="AU493">
        <v>2020</v>
      </c>
      <c r="AV493">
        <v>12</v>
      </c>
      <c r="AW493">
        <v>7</v>
      </c>
      <c r="AX493" t="s">
        <v>74</v>
      </c>
      <c r="AY493" t="s">
        <v>74</v>
      </c>
      <c r="AZ493" t="s">
        <v>74</v>
      </c>
      <c r="BA493" t="s">
        <v>74</v>
      </c>
      <c r="BB493" t="s">
        <v>74</v>
      </c>
      <c r="BC493" t="s">
        <v>74</v>
      </c>
      <c r="BD493">
        <v>1126</v>
      </c>
      <c r="BE493" t="s">
        <v>9690</v>
      </c>
      <c r="BF493" t="str">
        <f>HYPERLINK("http://dx.doi.org/10.3390/rs12071126","http://dx.doi.org/10.3390/rs12071126")</f>
        <v>http://dx.doi.org/10.3390/rs12071126</v>
      </c>
      <c r="BG493" t="s">
        <v>74</v>
      </c>
      <c r="BH493" t="s">
        <v>74</v>
      </c>
      <c r="BI493">
        <v>15</v>
      </c>
      <c r="BJ493" t="s">
        <v>9691</v>
      </c>
      <c r="BK493" t="s">
        <v>102</v>
      </c>
      <c r="BL493" t="s">
        <v>9692</v>
      </c>
      <c r="BM493" t="s">
        <v>9693</v>
      </c>
      <c r="BN493" t="s">
        <v>74</v>
      </c>
      <c r="BO493" t="s">
        <v>161</v>
      </c>
      <c r="BP493" t="s">
        <v>74</v>
      </c>
      <c r="BQ493" t="s">
        <v>74</v>
      </c>
      <c r="BR493" t="s">
        <v>106</v>
      </c>
      <c r="BS493" t="s">
        <v>9694</v>
      </c>
      <c r="BT493" t="str">
        <f>HYPERLINK("https%3A%2F%2Fwww.webofscience.com%2Fwos%2Fwoscc%2Ffull-record%2FWOS:000537709600076","View Full Record in Web of Science")</f>
        <v>View Full Record in Web of Science</v>
      </c>
    </row>
    <row r="494" spans="1:72" x14ac:dyDescent="0.2">
      <c r="A494" t="s">
        <v>72</v>
      </c>
      <c r="B494" t="s">
        <v>9695</v>
      </c>
      <c r="C494" t="s">
        <v>74</v>
      </c>
      <c r="D494" t="s">
        <v>74</v>
      </c>
      <c r="E494" t="s">
        <v>74</v>
      </c>
      <c r="F494" t="s">
        <v>9696</v>
      </c>
      <c r="G494" t="s">
        <v>74</v>
      </c>
      <c r="H494" t="s">
        <v>74</v>
      </c>
      <c r="I494" t="s">
        <v>9697</v>
      </c>
      <c r="J494" t="s">
        <v>347</v>
      </c>
      <c r="K494" t="s">
        <v>74</v>
      </c>
      <c r="L494" t="s">
        <v>74</v>
      </c>
      <c r="M494" t="s">
        <v>78</v>
      </c>
      <c r="N494" t="s">
        <v>79</v>
      </c>
      <c r="O494" t="s">
        <v>74</v>
      </c>
      <c r="P494" t="s">
        <v>74</v>
      </c>
      <c r="Q494" t="s">
        <v>74</v>
      </c>
      <c r="R494" t="s">
        <v>74</v>
      </c>
      <c r="S494" t="s">
        <v>74</v>
      </c>
      <c r="T494" t="s">
        <v>74</v>
      </c>
      <c r="U494" t="s">
        <v>9698</v>
      </c>
      <c r="V494" t="s">
        <v>9699</v>
      </c>
      <c r="W494" t="s">
        <v>9700</v>
      </c>
      <c r="X494" t="s">
        <v>9701</v>
      </c>
      <c r="Y494" t="s">
        <v>9702</v>
      </c>
      <c r="Z494" t="s">
        <v>9703</v>
      </c>
      <c r="AA494" t="s">
        <v>9704</v>
      </c>
      <c r="AB494" t="s">
        <v>9705</v>
      </c>
      <c r="AC494" t="s">
        <v>9706</v>
      </c>
      <c r="AD494" t="s">
        <v>9707</v>
      </c>
      <c r="AE494" t="s">
        <v>9708</v>
      </c>
      <c r="AF494" t="s">
        <v>74</v>
      </c>
      <c r="AG494">
        <v>44</v>
      </c>
      <c r="AH494">
        <v>88</v>
      </c>
      <c r="AI494">
        <v>99</v>
      </c>
      <c r="AJ494">
        <v>3</v>
      </c>
      <c r="AK494">
        <v>164</v>
      </c>
      <c r="AL494" t="s">
        <v>274</v>
      </c>
      <c r="AM494" t="s">
        <v>275</v>
      </c>
      <c r="AN494" t="s">
        <v>276</v>
      </c>
      <c r="AO494" t="s">
        <v>357</v>
      </c>
      <c r="AP494" t="s">
        <v>74</v>
      </c>
      <c r="AQ494" t="s">
        <v>74</v>
      </c>
      <c r="AR494" t="s">
        <v>358</v>
      </c>
      <c r="AS494" t="s">
        <v>359</v>
      </c>
      <c r="AT494" t="s">
        <v>2363</v>
      </c>
      <c r="AU494">
        <v>2019</v>
      </c>
      <c r="AV494">
        <v>9</v>
      </c>
      <c r="AW494" t="s">
        <v>74</v>
      </c>
      <c r="AX494" t="s">
        <v>74</v>
      </c>
      <c r="AY494" t="s">
        <v>74</v>
      </c>
      <c r="AZ494" t="s">
        <v>74</v>
      </c>
      <c r="BA494" t="s">
        <v>74</v>
      </c>
      <c r="BB494" t="s">
        <v>74</v>
      </c>
      <c r="BC494" t="s">
        <v>74</v>
      </c>
      <c r="BD494">
        <v>5514</v>
      </c>
      <c r="BE494" t="s">
        <v>9709</v>
      </c>
      <c r="BF494" t="str">
        <f>HYPERLINK("http://dx.doi.org/10.1038/s41598-019-41953-0","http://dx.doi.org/10.1038/s41598-019-41953-0")</f>
        <v>http://dx.doi.org/10.1038/s41598-019-41953-0</v>
      </c>
      <c r="BG494" t="s">
        <v>74</v>
      </c>
      <c r="BH494" t="s">
        <v>74</v>
      </c>
      <c r="BI494">
        <v>8</v>
      </c>
      <c r="BJ494" t="s">
        <v>158</v>
      </c>
      <c r="BK494" t="s">
        <v>102</v>
      </c>
      <c r="BL494" t="s">
        <v>159</v>
      </c>
      <c r="BM494" t="s">
        <v>9710</v>
      </c>
      <c r="BN494">
        <v>30940871</v>
      </c>
      <c r="BO494" t="s">
        <v>161</v>
      </c>
      <c r="BP494" t="s">
        <v>74</v>
      </c>
      <c r="BQ494" t="s">
        <v>74</v>
      </c>
      <c r="BR494" t="s">
        <v>106</v>
      </c>
      <c r="BS494" t="s">
        <v>9711</v>
      </c>
      <c r="BT494" t="str">
        <f>HYPERLINK("https%3A%2F%2Fwww.webofscience.com%2Fwos%2Fwoscc%2Ffull-record%2FWOS:000462990000056","View Full Record in Web of Science")</f>
        <v>View Full Record in Web of Science</v>
      </c>
    </row>
    <row r="495" spans="1:72" x14ac:dyDescent="0.2">
      <c r="A495" t="s">
        <v>72</v>
      </c>
      <c r="B495" t="s">
        <v>9712</v>
      </c>
      <c r="C495" t="s">
        <v>74</v>
      </c>
      <c r="D495" t="s">
        <v>74</v>
      </c>
      <c r="E495" t="s">
        <v>74</v>
      </c>
      <c r="F495" t="s">
        <v>9713</v>
      </c>
      <c r="G495" t="s">
        <v>74</v>
      </c>
      <c r="H495" t="s">
        <v>74</v>
      </c>
      <c r="I495" t="s">
        <v>9714</v>
      </c>
      <c r="J495" t="s">
        <v>9715</v>
      </c>
      <c r="K495" t="s">
        <v>74</v>
      </c>
      <c r="L495" t="s">
        <v>74</v>
      </c>
      <c r="M495" t="s">
        <v>78</v>
      </c>
      <c r="N495" t="s">
        <v>79</v>
      </c>
      <c r="O495" t="s">
        <v>74</v>
      </c>
      <c r="P495" t="s">
        <v>74</v>
      </c>
      <c r="Q495" t="s">
        <v>74</v>
      </c>
      <c r="R495" t="s">
        <v>74</v>
      </c>
      <c r="S495" t="s">
        <v>74</v>
      </c>
      <c r="T495" t="s">
        <v>74</v>
      </c>
      <c r="U495" t="s">
        <v>9716</v>
      </c>
      <c r="V495" t="s">
        <v>9717</v>
      </c>
      <c r="W495" t="s">
        <v>9718</v>
      </c>
      <c r="X495" t="s">
        <v>9719</v>
      </c>
      <c r="Y495" t="s">
        <v>9720</v>
      </c>
      <c r="Z495" t="s">
        <v>9721</v>
      </c>
      <c r="AA495" t="s">
        <v>9722</v>
      </c>
      <c r="AB495" t="s">
        <v>9723</v>
      </c>
      <c r="AC495" t="s">
        <v>9724</v>
      </c>
      <c r="AD495" t="s">
        <v>9725</v>
      </c>
      <c r="AE495" t="s">
        <v>9726</v>
      </c>
      <c r="AF495" t="s">
        <v>74</v>
      </c>
      <c r="AG495">
        <v>105</v>
      </c>
      <c r="AH495">
        <v>239</v>
      </c>
      <c r="AI495">
        <v>273</v>
      </c>
      <c r="AJ495">
        <v>160</v>
      </c>
      <c r="AK495">
        <v>964</v>
      </c>
      <c r="AL495" t="s">
        <v>274</v>
      </c>
      <c r="AM495" t="s">
        <v>275</v>
      </c>
      <c r="AN495" t="s">
        <v>276</v>
      </c>
      <c r="AO495" t="s">
        <v>9727</v>
      </c>
      <c r="AP495" t="s">
        <v>9728</v>
      </c>
      <c r="AQ495" t="s">
        <v>74</v>
      </c>
      <c r="AR495" t="s">
        <v>9715</v>
      </c>
      <c r="AS495" t="s">
        <v>9729</v>
      </c>
      <c r="AT495" t="s">
        <v>9730</v>
      </c>
      <c r="AU495">
        <v>2023</v>
      </c>
      <c r="AV495">
        <v>624</v>
      </c>
      <c r="AW495">
        <v>7990</v>
      </c>
      <c r="AX495" t="s">
        <v>74</v>
      </c>
      <c r="AY495" t="s">
        <v>74</v>
      </c>
      <c r="AZ495" t="s">
        <v>74</v>
      </c>
      <c r="BA495" t="s">
        <v>74</v>
      </c>
      <c r="BB495">
        <v>92</v>
      </c>
      <c r="BC495" t="s">
        <v>282</v>
      </c>
      <c r="BD495" t="s">
        <v>74</v>
      </c>
      <c r="BE495" t="s">
        <v>9731</v>
      </c>
      <c r="BF495" t="str">
        <f>HYPERLINK("http://dx.doi.org/10.1038/s41586-023-06723-z","http://dx.doi.org/10.1038/s41586-023-06723-z")</f>
        <v>http://dx.doi.org/10.1038/s41586-023-06723-z</v>
      </c>
      <c r="BG495" t="s">
        <v>74</v>
      </c>
      <c r="BH495" t="s">
        <v>4584</v>
      </c>
      <c r="BI495">
        <v>16</v>
      </c>
      <c r="BJ495" t="s">
        <v>158</v>
      </c>
      <c r="BK495" t="s">
        <v>102</v>
      </c>
      <c r="BL495" t="s">
        <v>159</v>
      </c>
      <c r="BM495" t="s">
        <v>9732</v>
      </c>
      <c r="BN495">
        <v>37957399</v>
      </c>
      <c r="BO495" t="s">
        <v>9733</v>
      </c>
      <c r="BP495" t="s">
        <v>4815</v>
      </c>
      <c r="BQ495" t="s">
        <v>4815</v>
      </c>
      <c r="BR495" t="s">
        <v>106</v>
      </c>
      <c r="BS495" t="s">
        <v>9734</v>
      </c>
      <c r="BT495" t="str">
        <f>HYPERLINK("https%3A%2F%2Fwww.webofscience.com%2Fwos%2Fwoscc%2Ffull-record%2FWOS:001102765700001","View Full Record in Web of Science")</f>
        <v>View Full Record in Web of Science</v>
      </c>
    </row>
    <row r="496" spans="1:72" x14ac:dyDescent="0.2">
      <c r="A496" t="s">
        <v>72</v>
      </c>
      <c r="B496" t="s">
        <v>9735</v>
      </c>
      <c r="C496" t="s">
        <v>74</v>
      </c>
      <c r="D496" t="s">
        <v>74</v>
      </c>
      <c r="E496" t="s">
        <v>74</v>
      </c>
      <c r="F496" t="s">
        <v>9736</v>
      </c>
      <c r="G496" t="s">
        <v>74</v>
      </c>
      <c r="H496" t="s">
        <v>74</v>
      </c>
      <c r="I496" t="s">
        <v>9737</v>
      </c>
      <c r="J496" t="s">
        <v>468</v>
      </c>
      <c r="K496" t="s">
        <v>74</v>
      </c>
      <c r="L496" t="s">
        <v>74</v>
      </c>
      <c r="M496" t="s">
        <v>78</v>
      </c>
      <c r="N496" t="s">
        <v>79</v>
      </c>
      <c r="O496" t="s">
        <v>74</v>
      </c>
      <c r="P496" t="s">
        <v>74</v>
      </c>
      <c r="Q496" t="s">
        <v>74</v>
      </c>
      <c r="R496" t="s">
        <v>74</v>
      </c>
      <c r="S496" t="s">
        <v>74</v>
      </c>
      <c r="T496" t="s">
        <v>9738</v>
      </c>
      <c r="U496" t="s">
        <v>9739</v>
      </c>
      <c r="V496" t="s">
        <v>9740</v>
      </c>
      <c r="W496" t="s">
        <v>9741</v>
      </c>
      <c r="X496" t="s">
        <v>9742</v>
      </c>
      <c r="Y496" t="s">
        <v>9743</v>
      </c>
      <c r="Z496" t="s">
        <v>9744</v>
      </c>
      <c r="AA496" t="s">
        <v>74</v>
      </c>
      <c r="AB496" t="s">
        <v>74</v>
      </c>
      <c r="AC496" t="s">
        <v>74</v>
      </c>
      <c r="AD496" t="s">
        <v>74</v>
      </c>
      <c r="AE496" t="s">
        <v>74</v>
      </c>
      <c r="AF496" t="s">
        <v>74</v>
      </c>
      <c r="AG496">
        <v>72</v>
      </c>
      <c r="AH496">
        <v>5</v>
      </c>
      <c r="AI496">
        <v>6</v>
      </c>
      <c r="AJ496">
        <v>13</v>
      </c>
      <c r="AK496">
        <v>90</v>
      </c>
      <c r="AL496" t="s">
        <v>222</v>
      </c>
      <c r="AM496" t="s">
        <v>223</v>
      </c>
      <c r="AN496" t="s">
        <v>224</v>
      </c>
      <c r="AO496" t="s">
        <v>74</v>
      </c>
      <c r="AP496" t="s">
        <v>479</v>
      </c>
      <c r="AQ496" t="s">
        <v>74</v>
      </c>
      <c r="AR496" t="s">
        <v>480</v>
      </c>
      <c r="AS496" t="s">
        <v>481</v>
      </c>
      <c r="AT496" t="s">
        <v>636</v>
      </c>
      <c r="AU496">
        <v>2023</v>
      </c>
      <c r="AV496">
        <v>15</v>
      </c>
      <c r="AW496">
        <v>8</v>
      </c>
      <c r="AX496" t="s">
        <v>74</v>
      </c>
      <c r="AY496" t="s">
        <v>74</v>
      </c>
      <c r="AZ496" t="s">
        <v>74</v>
      </c>
      <c r="BA496" t="s">
        <v>74</v>
      </c>
      <c r="BB496" t="s">
        <v>74</v>
      </c>
      <c r="BC496" t="s">
        <v>74</v>
      </c>
      <c r="BD496">
        <v>6658</v>
      </c>
      <c r="BE496" t="s">
        <v>9745</v>
      </c>
      <c r="BF496" t="str">
        <f>HYPERLINK("http://dx.doi.org/10.3390/su15086658","http://dx.doi.org/10.3390/su15086658")</f>
        <v>http://dx.doi.org/10.3390/su15086658</v>
      </c>
      <c r="BG496" t="s">
        <v>74</v>
      </c>
      <c r="BH496" t="s">
        <v>74</v>
      </c>
      <c r="BI496">
        <v>14</v>
      </c>
      <c r="BJ496" t="s">
        <v>484</v>
      </c>
      <c r="BK496" t="s">
        <v>186</v>
      </c>
      <c r="BL496" t="s">
        <v>485</v>
      </c>
      <c r="BM496" t="s">
        <v>9746</v>
      </c>
      <c r="BN496" t="s">
        <v>74</v>
      </c>
      <c r="BO496" t="s">
        <v>161</v>
      </c>
      <c r="BP496" t="s">
        <v>74</v>
      </c>
      <c r="BQ496" t="s">
        <v>74</v>
      </c>
      <c r="BR496" t="s">
        <v>106</v>
      </c>
      <c r="BS496" t="s">
        <v>9747</v>
      </c>
      <c r="BT496" t="str">
        <f>HYPERLINK("https%3A%2F%2Fwww.webofscience.com%2Fwos%2Fwoscc%2Ffull-record%2FWOS:000983096400001","View Full Record in Web of Science")</f>
        <v>View Full Record in Web of Science</v>
      </c>
    </row>
    <row r="497" spans="1:72" x14ac:dyDescent="0.2">
      <c r="A497" t="s">
        <v>72</v>
      </c>
      <c r="B497" t="s">
        <v>9748</v>
      </c>
      <c r="C497" t="s">
        <v>74</v>
      </c>
      <c r="D497" t="s">
        <v>74</v>
      </c>
      <c r="E497" t="s">
        <v>74</v>
      </c>
      <c r="F497" t="s">
        <v>9749</v>
      </c>
      <c r="G497" t="s">
        <v>74</v>
      </c>
      <c r="H497" t="s">
        <v>74</v>
      </c>
      <c r="I497" t="s">
        <v>9750</v>
      </c>
      <c r="J497" t="s">
        <v>491</v>
      </c>
      <c r="K497" t="s">
        <v>74</v>
      </c>
      <c r="L497" t="s">
        <v>74</v>
      </c>
      <c r="M497" t="s">
        <v>78</v>
      </c>
      <c r="N497" t="s">
        <v>79</v>
      </c>
      <c r="O497" t="s">
        <v>74</v>
      </c>
      <c r="P497" t="s">
        <v>74</v>
      </c>
      <c r="Q497" t="s">
        <v>74</v>
      </c>
      <c r="R497" t="s">
        <v>74</v>
      </c>
      <c r="S497" t="s">
        <v>74</v>
      </c>
      <c r="T497" t="s">
        <v>9751</v>
      </c>
      <c r="U497" t="s">
        <v>9752</v>
      </c>
      <c r="V497" t="s">
        <v>9753</v>
      </c>
      <c r="W497" t="s">
        <v>9754</v>
      </c>
      <c r="X497" t="s">
        <v>9755</v>
      </c>
      <c r="Y497" t="s">
        <v>9756</v>
      </c>
      <c r="Z497" t="s">
        <v>9757</v>
      </c>
      <c r="AA497" t="s">
        <v>9758</v>
      </c>
      <c r="AB497" t="s">
        <v>74</v>
      </c>
      <c r="AC497" t="s">
        <v>9759</v>
      </c>
      <c r="AD497" t="s">
        <v>9759</v>
      </c>
      <c r="AE497" t="s">
        <v>9759</v>
      </c>
      <c r="AF497" t="s">
        <v>74</v>
      </c>
      <c r="AG497">
        <v>46</v>
      </c>
      <c r="AH497">
        <v>9</v>
      </c>
      <c r="AI497">
        <v>9</v>
      </c>
      <c r="AJ497">
        <v>7</v>
      </c>
      <c r="AK497">
        <v>63</v>
      </c>
      <c r="AL497" t="s">
        <v>504</v>
      </c>
      <c r="AM497" t="s">
        <v>505</v>
      </c>
      <c r="AN497" t="s">
        <v>506</v>
      </c>
      <c r="AO497" t="s">
        <v>507</v>
      </c>
      <c r="AP497" t="s">
        <v>508</v>
      </c>
      <c r="AQ497" t="s">
        <v>74</v>
      </c>
      <c r="AR497" t="s">
        <v>509</v>
      </c>
      <c r="AS497" t="s">
        <v>510</v>
      </c>
      <c r="AT497" t="s">
        <v>459</v>
      </c>
      <c r="AU497">
        <v>2025</v>
      </c>
      <c r="AV497">
        <v>27</v>
      </c>
      <c r="AW497">
        <v>2</v>
      </c>
      <c r="AX497" t="s">
        <v>74</v>
      </c>
      <c r="AY497" t="s">
        <v>74</v>
      </c>
      <c r="AZ497" t="s">
        <v>74</v>
      </c>
      <c r="BA497" t="s">
        <v>74</v>
      </c>
      <c r="BB497">
        <v>3145</v>
      </c>
      <c r="BC497">
        <v>3175</v>
      </c>
      <c r="BD497" t="s">
        <v>74</v>
      </c>
      <c r="BE497" t="s">
        <v>9760</v>
      </c>
      <c r="BF497" t="str">
        <f>HYPERLINK("http://dx.doi.org/10.1007/s10668-023-04007-0","http://dx.doi.org/10.1007/s10668-023-04007-0")</f>
        <v>http://dx.doi.org/10.1007/s10668-023-04007-0</v>
      </c>
      <c r="BG497" t="s">
        <v>74</v>
      </c>
      <c r="BH497" t="s">
        <v>4584</v>
      </c>
      <c r="BI497">
        <v>31</v>
      </c>
      <c r="BJ497" t="s">
        <v>514</v>
      </c>
      <c r="BK497" t="s">
        <v>102</v>
      </c>
      <c r="BL497" t="s">
        <v>485</v>
      </c>
      <c r="BM497" t="s">
        <v>9761</v>
      </c>
      <c r="BN497" t="s">
        <v>74</v>
      </c>
      <c r="BO497" t="s">
        <v>916</v>
      </c>
      <c r="BP497" t="s">
        <v>74</v>
      </c>
      <c r="BQ497" t="s">
        <v>74</v>
      </c>
      <c r="BR497" t="s">
        <v>106</v>
      </c>
      <c r="BS497" t="s">
        <v>9762</v>
      </c>
      <c r="BT497" t="str">
        <f>HYPERLINK("https%3A%2F%2Fwww.webofscience.com%2Fwos%2Fwoscc%2Ffull-record%2FWOS:001101019300004","View Full Record in Web of Science")</f>
        <v>View Full Record in Web of Science</v>
      </c>
    </row>
    <row r="498" spans="1:72" x14ac:dyDescent="0.2">
      <c r="A498" t="s">
        <v>72</v>
      </c>
      <c r="B498" t="s">
        <v>9763</v>
      </c>
      <c r="C498" t="s">
        <v>74</v>
      </c>
      <c r="D498" t="s">
        <v>74</v>
      </c>
      <c r="E498" t="s">
        <v>74</v>
      </c>
      <c r="F498" t="s">
        <v>9764</v>
      </c>
      <c r="G498" t="s">
        <v>74</v>
      </c>
      <c r="H498" t="s">
        <v>74</v>
      </c>
      <c r="I498" t="s">
        <v>9765</v>
      </c>
      <c r="J498" t="s">
        <v>446</v>
      </c>
      <c r="K498" t="s">
        <v>74</v>
      </c>
      <c r="L498" t="s">
        <v>74</v>
      </c>
      <c r="M498" t="s">
        <v>78</v>
      </c>
      <c r="N498" t="s">
        <v>79</v>
      </c>
      <c r="O498" t="s">
        <v>74</v>
      </c>
      <c r="P498" t="s">
        <v>74</v>
      </c>
      <c r="Q498" t="s">
        <v>74</v>
      </c>
      <c r="R498" t="s">
        <v>74</v>
      </c>
      <c r="S498" t="s">
        <v>74</v>
      </c>
      <c r="T498" t="s">
        <v>9766</v>
      </c>
      <c r="U498" t="s">
        <v>9767</v>
      </c>
      <c r="V498" t="s">
        <v>9768</v>
      </c>
      <c r="W498" t="s">
        <v>9769</v>
      </c>
      <c r="X498" t="s">
        <v>9770</v>
      </c>
      <c r="Y498" t="s">
        <v>9771</v>
      </c>
      <c r="Z498" t="s">
        <v>9772</v>
      </c>
      <c r="AA498" t="s">
        <v>9773</v>
      </c>
      <c r="AB498" t="s">
        <v>9774</v>
      </c>
      <c r="AC498" t="s">
        <v>9775</v>
      </c>
      <c r="AD498" t="s">
        <v>9776</v>
      </c>
      <c r="AE498" t="s">
        <v>9777</v>
      </c>
      <c r="AF498" t="s">
        <v>74</v>
      </c>
      <c r="AG498">
        <v>70</v>
      </c>
      <c r="AH498">
        <v>0</v>
      </c>
      <c r="AI498">
        <v>0</v>
      </c>
      <c r="AJ498">
        <v>16</v>
      </c>
      <c r="AK498">
        <v>16</v>
      </c>
      <c r="AL498" t="s">
        <v>222</v>
      </c>
      <c r="AM498" t="s">
        <v>223</v>
      </c>
      <c r="AN498" t="s">
        <v>478</v>
      </c>
      <c r="AO498" t="s">
        <v>74</v>
      </c>
      <c r="AP498" t="s">
        <v>457</v>
      </c>
      <c r="AQ498" t="s">
        <v>74</v>
      </c>
      <c r="AR498" t="s">
        <v>446</v>
      </c>
      <c r="AS498" t="s">
        <v>458</v>
      </c>
      <c r="AT498" t="s">
        <v>9778</v>
      </c>
      <c r="AU498">
        <v>2025</v>
      </c>
      <c r="AV498">
        <v>15</v>
      </c>
      <c r="AW498">
        <v>7</v>
      </c>
      <c r="AX498" t="s">
        <v>74</v>
      </c>
      <c r="AY498" t="s">
        <v>74</v>
      </c>
      <c r="AZ498" t="s">
        <v>74</v>
      </c>
      <c r="BA498" t="s">
        <v>74</v>
      </c>
      <c r="BB498" t="s">
        <v>74</v>
      </c>
      <c r="BC498" t="s">
        <v>74</v>
      </c>
      <c r="BD498">
        <v>1703</v>
      </c>
      <c r="BE498" t="s">
        <v>9779</v>
      </c>
      <c r="BF498" t="str">
        <f>HYPERLINK("http://dx.doi.org/10.3390/agronomy15071703","http://dx.doi.org/10.3390/agronomy15071703")</f>
        <v>http://dx.doi.org/10.3390/agronomy15071703</v>
      </c>
      <c r="BG498" t="s">
        <v>74</v>
      </c>
      <c r="BH498" t="s">
        <v>74</v>
      </c>
      <c r="BI498">
        <v>20</v>
      </c>
      <c r="BJ498" t="s">
        <v>461</v>
      </c>
      <c r="BK498" t="s">
        <v>102</v>
      </c>
      <c r="BL498" t="s">
        <v>462</v>
      </c>
      <c r="BM498" t="s">
        <v>9780</v>
      </c>
      <c r="BN498" t="s">
        <v>74</v>
      </c>
      <c r="BO498" t="s">
        <v>231</v>
      </c>
      <c r="BP498" t="s">
        <v>74</v>
      </c>
      <c r="BQ498" t="s">
        <v>74</v>
      </c>
      <c r="BR498" t="s">
        <v>106</v>
      </c>
      <c r="BS498" t="s">
        <v>9781</v>
      </c>
      <c r="BT498" t="str">
        <f>HYPERLINK("https%3A%2F%2Fwww.webofscience.com%2Fwos%2Fwoscc%2Ffull-record%2FWOS:001539766700001","View Full Record in Web of Science")</f>
        <v>View Full Record in Web of Science</v>
      </c>
    </row>
    <row r="499" spans="1:72" x14ac:dyDescent="0.2">
      <c r="A499" t="s">
        <v>72</v>
      </c>
      <c r="B499" t="s">
        <v>9782</v>
      </c>
      <c r="C499" t="s">
        <v>74</v>
      </c>
      <c r="D499" t="s">
        <v>74</v>
      </c>
      <c r="E499" t="s">
        <v>74</v>
      </c>
      <c r="F499" t="s">
        <v>9783</v>
      </c>
      <c r="G499" t="s">
        <v>74</v>
      </c>
      <c r="H499" t="s">
        <v>74</v>
      </c>
      <c r="I499" t="s">
        <v>9784</v>
      </c>
      <c r="J499" t="s">
        <v>995</v>
      </c>
      <c r="K499" t="s">
        <v>74</v>
      </c>
      <c r="L499" t="s">
        <v>74</v>
      </c>
      <c r="M499" t="s">
        <v>78</v>
      </c>
      <c r="N499" t="s">
        <v>79</v>
      </c>
      <c r="O499" t="s">
        <v>74</v>
      </c>
      <c r="P499" t="s">
        <v>74</v>
      </c>
      <c r="Q499" t="s">
        <v>74</v>
      </c>
      <c r="R499" t="s">
        <v>74</v>
      </c>
      <c r="S499" t="s">
        <v>74</v>
      </c>
      <c r="T499" t="s">
        <v>9785</v>
      </c>
      <c r="U499" t="s">
        <v>9786</v>
      </c>
      <c r="V499" t="s">
        <v>9787</v>
      </c>
      <c r="W499" t="s">
        <v>9788</v>
      </c>
      <c r="X499" t="s">
        <v>9789</v>
      </c>
      <c r="Y499" t="s">
        <v>9790</v>
      </c>
      <c r="Z499" t="s">
        <v>9791</v>
      </c>
      <c r="AA499" t="s">
        <v>9792</v>
      </c>
      <c r="AB499" t="s">
        <v>74</v>
      </c>
      <c r="AC499" t="s">
        <v>9793</v>
      </c>
      <c r="AD499" t="s">
        <v>9794</v>
      </c>
      <c r="AE499" t="s">
        <v>9795</v>
      </c>
      <c r="AF499" t="s">
        <v>74</v>
      </c>
      <c r="AG499">
        <v>72</v>
      </c>
      <c r="AH499">
        <v>13</v>
      </c>
      <c r="AI499">
        <v>16</v>
      </c>
      <c r="AJ499">
        <v>2</v>
      </c>
      <c r="AK499">
        <v>121</v>
      </c>
      <c r="AL499" t="s">
        <v>123</v>
      </c>
      <c r="AM499" t="s">
        <v>124</v>
      </c>
      <c r="AN499" t="s">
        <v>125</v>
      </c>
      <c r="AO499" t="s">
        <v>1008</v>
      </c>
      <c r="AP499" t="s">
        <v>1009</v>
      </c>
      <c r="AQ499" t="s">
        <v>74</v>
      </c>
      <c r="AR499" t="s">
        <v>1010</v>
      </c>
      <c r="AS499" t="s">
        <v>1011</v>
      </c>
      <c r="AT499" t="s">
        <v>9796</v>
      </c>
      <c r="AU499">
        <v>2021</v>
      </c>
      <c r="AV499">
        <v>757</v>
      </c>
      <c r="AW499" t="s">
        <v>74</v>
      </c>
      <c r="AX499" t="s">
        <v>74</v>
      </c>
      <c r="AY499" t="s">
        <v>74</v>
      </c>
      <c r="AZ499" t="s">
        <v>74</v>
      </c>
      <c r="BA499" t="s">
        <v>74</v>
      </c>
      <c r="BB499" t="s">
        <v>74</v>
      </c>
      <c r="BC499" t="s">
        <v>74</v>
      </c>
      <c r="BD499">
        <v>143912</v>
      </c>
      <c r="BE499" t="s">
        <v>9797</v>
      </c>
      <c r="BF499" t="str">
        <f>HYPERLINK("http://dx.doi.org/10.1016/j.scitotenv.2020.143912","http://dx.doi.org/10.1016/j.scitotenv.2020.143912")</f>
        <v>http://dx.doi.org/10.1016/j.scitotenv.2020.143912</v>
      </c>
      <c r="BG499" t="s">
        <v>74</v>
      </c>
      <c r="BH499" t="s">
        <v>74</v>
      </c>
      <c r="BI499">
        <v>18</v>
      </c>
      <c r="BJ499" t="s">
        <v>567</v>
      </c>
      <c r="BK499" t="s">
        <v>186</v>
      </c>
      <c r="BL499" t="s">
        <v>568</v>
      </c>
      <c r="BM499" t="s">
        <v>9798</v>
      </c>
      <c r="BN499">
        <v>33321336</v>
      </c>
      <c r="BO499" t="s">
        <v>74</v>
      </c>
      <c r="BP499" t="s">
        <v>74</v>
      </c>
      <c r="BQ499" t="s">
        <v>74</v>
      </c>
      <c r="BR499" t="s">
        <v>106</v>
      </c>
      <c r="BS499" t="s">
        <v>9799</v>
      </c>
      <c r="BT499" t="str">
        <f>HYPERLINK("https%3A%2F%2Fwww.webofscience.com%2Fwos%2Fwoscc%2Ffull-record%2FWOS:000604432900112","View Full Record in Web of Science")</f>
        <v>View Full Record in Web of Science</v>
      </c>
    </row>
    <row r="500" spans="1:72" x14ac:dyDescent="0.2">
      <c r="A500" t="s">
        <v>72</v>
      </c>
      <c r="B500" t="s">
        <v>9800</v>
      </c>
      <c r="C500" t="s">
        <v>74</v>
      </c>
      <c r="D500" t="s">
        <v>74</v>
      </c>
      <c r="E500" t="s">
        <v>74</v>
      </c>
      <c r="F500" t="s">
        <v>9801</v>
      </c>
      <c r="G500" t="s">
        <v>74</v>
      </c>
      <c r="H500" t="s">
        <v>74</v>
      </c>
      <c r="I500" t="s">
        <v>9802</v>
      </c>
      <c r="J500" t="s">
        <v>446</v>
      </c>
      <c r="K500" t="s">
        <v>74</v>
      </c>
      <c r="L500" t="s">
        <v>74</v>
      </c>
      <c r="M500" t="s">
        <v>78</v>
      </c>
      <c r="N500" t="s">
        <v>79</v>
      </c>
      <c r="O500" t="s">
        <v>74</v>
      </c>
      <c r="P500" t="s">
        <v>74</v>
      </c>
      <c r="Q500" t="s">
        <v>74</v>
      </c>
      <c r="R500" t="s">
        <v>74</v>
      </c>
      <c r="S500" t="s">
        <v>74</v>
      </c>
      <c r="T500" t="s">
        <v>9803</v>
      </c>
      <c r="U500" t="s">
        <v>9804</v>
      </c>
      <c r="V500" t="s">
        <v>9805</v>
      </c>
      <c r="W500" t="s">
        <v>9806</v>
      </c>
      <c r="X500" t="s">
        <v>9807</v>
      </c>
      <c r="Y500" t="s">
        <v>9808</v>
      </c>
      <c r="Z500" t="s">
        <v>9809</v>
      </c>
      <c r="AA500" t="s">
        <v>9810</v>
      </c>
      <c r="AB500" t="s">
        <v>9811</v>
      </c>
      <c r="AC500" t="s">
        <v>74</v>
      </c>
      <c r="AD500" t="s">
        <v>74</v>
      </c>
      <c r="AE500" t="s">
        <v>74</v>
      </c>
      <c r="AF500" t="s">
        <v>74</v>
      </c>
      <c r="AG500">
        <v>38</v>
      </c>
      <c r="AH500">
        <v>0</v>
      </c>
      <c r="AI500">
        <v>0</v>
      </c>
      <c r="AJ500">
        <v>5</v>
      </c>
      <c r="AK500">
        <v>10</v>
      </c>
      <c r="AL500" t="s">
        <v>222</v>
      </c>
      <c r="AM500" t="s">
        <v>223</v>
      </c>
      <c r="AN500" t="s">
        <v>224</v>
      </c>
      <c r="AO500" t="s">
        <v>74</v>
      </c>
      <c r="AP500" t="s">
        <v>457</v>
      </c>
      <c r="AQ500" t="s">
        <v>74</v>
      </c>
      <c r="AR500" t="s">
        <v>446</v>
      </c>
      <c r="AS500" t="s">
        <v>458</v>
      </c>
      <c r="AT500" t="s">
        <v>2017</v>
      </c>
      <c r="AU500">
        <v>2024</v>
      </c>
      <c r="AV500">
        <v>14</v>
      </c>
      <c r="AW500">
        <v>10</v>
      </c>
      <c r="AX500" t="s">
        <v>74</v>
      </c>
      <c r="AY500" t="s">
        <v>74</v>
      </c>
      <c r="AZ500" t="s">
        <v>74</v>
      </c>
      <c r="BA500" t="s">
        <v>74</v>
      </c>
      <c r="BB500" t="s">
        <v>74</v>
      </c>
      <c r="BC500" t="s">
        <v>74</v>
      </c>
      <c r="BD500">
        <v>2241</v>
      </c>
      <c r="BE500" t="s">
        <v>9812</v>
      </c>
      <c r="BF500" t="str">
        <f>HYPERLINK("http://dx.doi.org/10.3390/agronomy14102241","http://dx.doi.org/10.3390/agronomy14102241")</f>
        <v>http://dx.doi.org/10.3390/agronomy14102241</v>
      </c>
      <c r="BG500" t="s">
        <v>74</v>
      </c>
      <c r="BH500" t="s">
        <v>74</v>
      </c>
      <c r="BI500">
        <v>15</v>
      </c>
      <c r="BJ500" t="s">
        <v>461</v>
      </c>
      <c r="BK500" t="s">
        <v>102</v>
      </c>
      <c r="BL500" t="s">
        <v>462</v>
      </c>
      <c r="BM500" t="s">
        <v>9813</v>
      </c>
      <c r="BN500" t="s">
        <v>74</v>
      </c>
      <c r="BO500" t="s">
        <v>231</v>
      </c>
      <c r="BP500" t="s">
        <v>74</v>
      </c>
      <c r="BQ500" t="s">
        <v>74</v>
      </c>
      <c r="BR500" t="s">
        <v>106</v>
      </c>
      <c r="BS500" t="s">
        <v>9814</v>
      </c>
      <c r="BT500" t="str">
        <f>HYPERLINK("https%3A%2F%2Fwww.webofscience.com%2Fwos%2Fwoscc%2Ffull-record%2FWOS:001343149600001","View Full Record in Web of Science")</f>
        <v>View Full Record in Web of Science</v>
      </c>
    </row>
    <row r="501" spans="1:72" x14ac:dyDescent="0.2">
      <c r="A501" t="s">
        <v>72</v>
      </c>
      <c r="B501" t="s">
        <v>9815</v>
      </c>
      <c r="C501" t="s">
        <v>74</v>
      </c>
      <c r="D501" t="s">
        <v>74</v>
      </c>
      <c r="E501" t="s">
        <v>74</v>
      </c>
      <c r="F501" t="s">
        <v>9816</v>
      </c>
      <c r="G501" t="s">
        <v>74</v>
      </c>
      <c r="H501" t="s">
        <v>74</v>
      </c>
      <c r="I501" t="s">
        <v>9817</v>
      </c>
      <c r="J501" t="s">
        <v>1526</v>
      </c>
      <c r="K501" t="s">
        <v>74</v>
      </c>
      <c r="L501" t="s">
        <v>74</v>
      </c>
      <c r="M501" t="s">
        <v>78</v>
      </c>
      <c r="N501" t="s">
        <v>79</v>
      </c>
      <c r="O501" t="s">
        <v>74</v>
      </c>
      <c r="P501" t="s">
        <v>74</v>
      </c>
      <c r="Q501" t="s">
        <v>74</v>
      </c>
      <c r="R501" t="s">
        <v>74</v>
      </c>
      <c r="S501" t="s">
        <v>74</v>
      </c>
      <c r="T501" t="s">
        <v>9818</v>
      </c>
      <c r="U501" t="s">
        <v>9819</v>
      </c>
      <c r="V501" t="s">
        <v>9820</v>
      </c>
      <c r="W501" t="s">
        <v>9821</v>
      </c>
      <c r="X501" t="s">
        <v>9822</v>
      </c>
      <c r="Y501" t="s">
        <v>9823</v>
      </c>
      <c r="Z501" t="s">
        <v>9824</v>
      </c>
      <c r="AA501" t="s">
        <v>74</v>
      </c>
      <c r="AB501" t="s">
        <v>9825</v>
      </c>
      <c r="AC501" t="s">
        <v>74</v>
      </c>
      <c r="AD501" t="s">
        <v>74</v>
      </c>
      <c r="AE501" t="s">
        <v>74</v>
      </c>
      <c r="AF501" t="s">
        <v>74</v>
      </c>
      <c r="AG501">
        <v>64</v>
      </c>
      <c r="AH501">
        <v>2</v>
      </c>
      <c r="AI501">
        <v>2</v>
      </c>
      <c r="AJ501">
        <v>19</v>
      </c>
      <c r="AK501">
        <v>78</v>
      </c>
      <c r="AL501" t="s">
        <v>176</v>
      </c>
      <c r="AM501" t="s">
        <v>1610</v>
      </c>
      <c r="AN501" t="s">
        <v>1611</v>
      </c>
      <c r="AO501" t="s">
        <v>1538</v>
      </c>
      <c r="AP501" t="s">
        <v>1539</v>
      </c>
      <c r="AQ501" t="s">
        <v>74</v>
      </c>
      <c r="AR501" t="s">
        <v>1540</v>
      </c>
      <c r="AS501" t="s">
        <v>1541</v>
      </c>
      <c r="AT501" t="s">
        <v>1040</v>
      </c>
      <c r="AU501">
        <v>2024</v>
      </c>
      <c r="AV501">
        <v>467</v>
      </c>
      <c r="AW501" t="s">
        <v>74</v>
      </c>
      <c r="AX501" t="s">
        <v>74</v>
      </c>
      <c r="AY501" t="s">
        <v>74</v>
      </c>
      <c r="AZ501" t="s">
        <v>74</v>
      </c>
      <c r="BA501" t="s">
        <v>74</v>
      </c>
      <c r="BB501" t="s">
        <v>74</v>
      </c>
      <c r="BC501" t="s">
        <v>74</v>
      </c>
      <c r="BD501">
        <v>143011</v>
      </c>
      <c r="BE501" t="s">
        <v>9826</v>
      </c>
      <c r="BF501" t="str">
        <f>HYPERLINK("http://dx.doi.org/10.1016/j.jclepro.2024.143011","http://dx.doi.org/10.1016/j.jclepro.2024.143011")</f>
        <v>http://dx.doi.org/10.1016/j.jclepro.2024.143011</v>
      </c>
      <c r="BG501" t="s">
        <v>74</v>
      </c>
      <c r="BH501" t="s">
        <v>4174</v>
      </c>
      <c r="BI501">
        <v>15</v>
      </c>
      <c r="BJ501" t="s">
        <v>1543</v>
      </c>
      <c r="BK501" t="s">
        <v>102</v>
      </c>
      <c r="BL501" t="s">
        <v>1544</v>
      </c>
      <c r="BM501" t="s">
        <v>9827</v>
      </c>
      <c r="BN501" t="s">
        <v>74</v>
      </c>
      <c r="BO501" t="s">
        <v>74</v>
      </c>
      <c r="BP501" t="s">
        <v>74</v>
      </c>
      <c r="BQ501" t="s">
        <v>74</v>
      </c>
      <c r="BR501" t="s">
        <v>106</v>
      </c>
      <c r="BS501" t="s">
        <v>9828</v>
      </c>
      <c r="BT501" t="str">
        <f>HYPERLINK("https%3A%2F%2Fwww.webofscience.com%2Fwos%2Fwoscc%2Ffull-record%2FWOS:001263962500001","View Full Record in Web of Science")</f>
        <v>View Full Record in Web of Science</v>
      </c>
    </row>
    <row r="502" spans="1:72" x14ac:dyDescent="0.2">
      <c r="A502" t="s">
        <v>72</v>
      </c>
      <c r="B502" t="s">
        <v>9829</v>
      </c>
      <c r="C502" t="s">
        <v>74</v>
      </c>
      <c r="D502" t="s">
        <v>74</v>
      </c>
      <c r="E502" t="s">
        <v>74</v>
      </c>
      <c r="F502" t="s">
        <v>9830</v>
      </c>
      <c r="G502" t="s">
        <v>74</v>
      </c>
      <c r="H502" t="s">
        <v>74</v>
      </c>
      <c r="I502" t="s">
        <v>9831</v>
      </c>
      <c r="J502" t="s">
        <v>3791</v>
      </c>
      <c r="K502" t="s">
        <v>74</v>
      </c>
      <c r="L502" t="s">
        <v>74</v>
      </c>
      <c r="M502" t="s">
        <v>78</v>
      </c>
      <c r="N502" t="s">
        <v>79</v>
      </c>
      <c r="O502" t="s">
        <v>74</v>
      </c>
      <c r="P502" t="s">
        <v>74</v>
      </c>
      <c r="Q502" t="s">
        <v>74</v>
      </c>
      <c r="R502" t="s">
        <v>74</v>
      </c>
      <c r="S502" t="s">
        <v>74</v>
      </c>
      <c r="T502" t="s">
        <v>9832</v>
      </c>
      <c r="U502" t="s">
        <v>9833</v>
      </c>
      <c r="V502" t="s">
        <v>9834</v>
      </c>
      <c r="W502" t="s">
        <v>9835</v>
      </c>
      <c r="X502" t="s">
        <v>9836</v>
      </c>
      <c r="Y502" t="s">
        <v>9837</v>
      </c>
      <c r="Z502" t="s">
        <v>9838</v>
      </c>
      <c r="AA502" t="s">
        <v>74</v>
      </c>
      <c r="AB502" t="s">
        <v>74</v>
      </c>
      <c r="AC502" t="s">
        <v>9839</v>
      </c>
      <c r="AD502" t="s">
        <v>9840</v>
      </c>
      <c r="AE502" t="s">
        <v>9841</v>
      </c>
      <c r="AF502" t="s">
        <v>74</v>
      </c>
      <c r="AG502">
        <v>48</v>
      </c>
      <c r="AH502">
        <v>0</v>
      </c>
      <c r="AI502">
        <v>0</v>
      </c>
      <c r="AJ502">
        <v>11</v>
      </c>
      <c r="AK502">
        <v>11</v>
      </c>
      <c r="AL502" t="s">
        <v>123</v>
      </c>
      <c r="AM502" t="s">
        <v>124</v>
      </c>
      <c r="AN502" t="s">
        <v>125</v>
      </c>
      <c r="AO502" t="s">
        <v>3804</v>
      </c>
      <c r="AP502" t="s">
        <v>74</v>
      </c>
      <c r="AQ502" t="s">
        <v>74</v>
      </c>
      <c r="AR502" t="s">
        <v>3805</v>
      </c>
      <c r="AS502" t="s">
        <v>3806</v>
      </c>
      <c r="AT502" t="s">
        <v>805</v>
      </c>
      <c r="AU502">
        <v>2025</v>
      </c>
      <c r="AV502">
        <v>40</v>
      </c>
      <c r="AW502" t="s">
        <v>74</v>
      </c>
      <c r="AX502" t="s">
        <v>74</v>
      </c>
      <c r="AY502" t="s">
        <v>74</v>
      </c>
      <c r="AZ502" t="s">
        <v>74</v>
      </c>
      <c r="BA502" t="s">
        <v>74</v>
      </c>
      <c r="BB502" t="s">
        <v>74</v>
      </c>
      <c r="BC502" t="s">
        <v>74</v>
      </c>
      <c r="BD502">
        <v>104445</v>
      </c>
      <c r="BE502" t="s">
        <v>9842</v>
      </c>
      <c r="BF502" t="str">
        <f>HYPERLINK("http://dx.doi.org/10.1016/j.eti.2025.104445","http://dx.doi.org/10.1016/j.eti.2025.104445")</f>
        <v>http://dx.doi.org/10.1016/j.eti.2025.104445</v>
      </c>
      <c r="BG502" t="s">
        <v>74</v>
      </c>
      <c r="BH502" t="s">
        <v>513</v>
      </c>
      <c r="BI502">
        <v>12</v>
      </c>
      <c r="BJ502" t="s">
        <v>3808</v>
      </c>
      <c r="BK502" t="s">
        <v>102</v>
      </c>
      <c r="BL502" t="s">
        <v>3809</v>
      </c>
      <c r="BM502" t="s">
        <v>9843</v>
      </c>
      <c r="BN502" t="s">
        <v>74</v>
      </c>
      <c r="BO502" t="s">
        <v>231</v>
      </c>
      <c r="BP502" t="s">
        <v>74</v>
      </c>
      <c r="BQ502" t="s">
        <v>74</v>
      </c>
      <c r="BR502" t="s">
        <v>106</v>
      </c>
      <c r="BS502" t="s">
        <v>9844</v>
      </c>
      <c r="BT502" t="str">
        <f>HYPERLINK("https%3A%2F%2Fwww.webofscience.com%2Fwos%2Fwoscc%2Ffull-record%2FWOS:001561537700001","View Full Record in Web of Science")</f>
        <v>View Full Record in Web of Science</v>
      </c>
    </row>
    <row r="503" spans="1:72" x14ac:dyDescent="0.2">
      <c r="A503" t="s">
        <v>72</v>
      </c>
      <c r="B503" t="s">
        <v>7777</v>
      </c>
      <c r="C503" t="s">
        <v>74</v>
      </c>
      <c r="D503" t="s">
        <v>74</v>
      </c>
      <c r="E503" t="s">
        <v>74</v>
      </c>
      <c r="F503" t="s">
        <v>7778</v>
      </c>
      <c r="G503" t="s">
        <v>74</v>
      </c>
      <c r="H503" t="s">
        <v>74</v>
      </c>
      <c r="I503" t="s">
        <v>9845</v>
      </c>
      <c r="J503" t="s">
        <v>828</v>
      </c>
      <c r="K503" t="s">
        <v>74</v>
      </c>
      <c r="L503" t="s">
        <v>74</v>
      </c>
      <c r="M503" t="s">
        <v>78</v>
      </c>
      <c r="N503" t="s">
        <v>79</v>
      </c>
      <c r="O503" t="s">
        <v>74</v>
      </c>
      <c r="P503" t="s">
        <v>74</v>
      </c>
      <c r="Q503" t="s">
        <v>74</v>
      </c>
      <c r="R503" t="s">
        <v>74</v>
      </c>
      <c r="S503" t="s">
        <v>74</v>
      </c>
      <c r="T503" t="s">
        <v>74</v>
      </c>
      <c r="U503" t="s">
        <v>74</v>
      </c>
      <c r="V503" t="s">
        <v>9846</v>
      </c>
      <c r="W503" t="s">
        <v>9847</v>
      </c>
      <c r="X503" t="s">
        <v>7782</v>
      </c>
      <c r="Y503" t="s">
        <v>9848</v>
      </c>
      <c r="Z503" t="s">
        <v>9849</v>
      </c>
      <c r="AA503" t="s">
        <v>9850</v>
      </c>
      <c r="AB503" t="s">
        <v>74</v>
      </c>
      <c r="AC503" t="s">
        <v>74</v>
      </c>
      <c r="AD503" t="s">
        <v>74</v>
      </c>
      <c r="AE503" t="s">
        <v>74</v>
      </c>
      <c r="AF503" t="s">
        <v>74</v>
      </c>
      <c r="AG503">
        <v>6</v>
      </c>
      <c r="AH503">
        <v>0</v>
      </c>
      <c r="AI503">
        <v>0</v>
      </c>
      <c r="AJ503">
        <v>0</v>
      </c>
      <c r="AK503">
        <v>3</v>
      </c>
      <c r="AL503" t="s">
        <v>835</v>
      </c>
      <c r="AM503" t="s">
        <v>836</v>
      </c>
      <c r="AN503" t="s">
        <v>837</v>
      </c>
      <c r="AO503" t="s">
        <v>838</v>
      </c>
      <c r="AP503" t="s">
        <v>74</v>
      </c>
      <c r="AQ503" t="s">
        <v>74</v>
      </c>
      <c r="AR503" t="s">
        <v>839</v>
      </c>
      <c r="AS503" t="s">
        <v>840</v>
      </c>
      <c r="AT503" t="s">
        <v>841</v>
      </c>
      <c r="AU503">
        <v>2021</v>
      </c>
      <c r="AV503">
        <v>52</v>
      </c>
      <c r="AW503">
        <v>1</v>
      </c>
      <c r="AX503" t="s">
        <v>74</v>
      </c>
      <c r="AY503" t="s">
        <v>74</v>
      </c>
      <c r="AZ503" t="s">
        <v>74</v>
      </c>
      <c r="BA503" t="s">
        <v>74</v>
      </c>
      <c r="BB503">
        <v>44</v>
      </c>
      <c r="BC503">
        <v>47</v>
      </c>
      <c r="BD503" t="s">
        <v>74</v>
      </c>
      <c r="BE503" t="s">
        <v>74</v>
      </c>
      <c r="BF503" t="s">
        <v>74</v>
      </c>
      <c r="BG503" t="s">
        <v>74</v>
      </c>
      <c r="BH503" t="s">
        <v>74</v>
      </c>
      <c r="BI503">
        <v>4</v>
      </c>
      <c r="BJ503" t="s">
        <v>842</v>
      </c>
      <c r="BK503" t="s">
        <v>102</v>
      </c>
      <c r="BL503" t="s">
        <v>103</v>
      </c>
      <c r="BM503" t="s">
        <v>843</v>
      </c>
      <c r="BN503" t="s">
        <v>74</v>
      </c>
      <c r="BO503" t="s">
        <v>74</v>
      </c>
      <c r="BP503" t="s">
        <v>74</v>
      </c>
      <c r="BQ503" t="s">
        <v>74</v>
      </c>
      <c r="BR503" t="s">
        <v>106</v>
      </c>
      <c r="BS503" t="s">
        <v>9851</v>
      </c>
      <c r="BT503" t="str">
        <f>HYPERLINK("https%3A%2F%2Fwww.webofscience.com%2Fwos%2Fwoscc%2Ffull-record%2FWOS:000755822100008","View Full Record in Web of Science")</f>
        <v>View Full Record in Web of Science</v>
      </c>
    </row>
    <row r="504" spans="1:72" x14ac:dyDescent="0.2">
      <c r="A504" t="s">
        <v>72</v>
      </c>
      <c r="B504" t="s">
        <v>9852</v>
      </c>
      <c r="C504" t="s">
        <v>74</v>
      </c>
      <c r="D504" t="s">
        <v>74</v>
      </c>
      <c r="E504" t="s">
        <v>74</v>
      </c>
      <c r="F504" t="s">
        <v>9853</v>
      </c>
      <c r="G504" t="s">
        <v>74</v>
      </c>
      <c r="H504" t="s">
        <v>74</v>
      </c>
      <c r="I504" t="s">
        <v>9854</v>
      </c>
      <c r="J504" t="s">
        <v>468</v>
      </c>
      <c r="K504" t="s">
        <v>74</v>
      </c>
      <c r="L504" t="s">
        <v>74</v>
      </c>
      <c r="M504" t="s">
        <v>78</v>
      </c>
      <c r="N504" t="s">
        <v>79</v>
      </c>
      <c r="O504" t="s">
        <v>74</v>
      </c>
      <c r="P504" t="s">
        <v>74</v>
      </c>
      <c r="Q504" t="s">
        <v>74</v>
      </c>
      <c r="R504" t="s">
        <v>74</v>
      </c>
      <c r="S504" t="s">
        <v>74</v>
      </c>
      <c r="T504" t="s">
        <v>9855</v>
      </c>
      <c r="U504" t="s">
        <v>9856</v>
      </c>
      <c r="V504" t="s">
        <v>9857</v>
      </c>
      <c r="W504" t="s">
        <v>9858</v>
      </c>
      <c r="X504" t="s">
        <v>9859</v>
      </c>
      <c r="Y504" t="s">
        <v>9860</v>
      </c>
      <c r="Z504" t="s">
        <v>9861</v>
      </c>
      <c r="AA504" t="s">
        <v>74</v>
      </c>
      <c r="AB504" t="s">
        <v>9862</v>
      </c>
      <c r="AC504" t="s">
        <v>9863</v>
      </c>
      <c r="AD504" t="s">
        <v>9864</v>
      </c>
      <c r="AE504" t="s">
        <v>9865</v>
      </c>
      <c r="AF504" t="s">
        <v>74</v>
      </c>
      <c r="AG504">
        <v>89</v>
      </c>
      <c r="AH504">
        <v>0</v>
      </c>
      <c r="AI504">
        <v>0</v>
      </c>
      <c r="AJ504">
        <v>2</v>
      </c>
      <c r="AK504">
        <v>2</v>
      </c>
      <c r="AL504" t="s">
        <v>222</v>
      </c>
      <c r="AM504" t="s">
        <v>223</v>
      </c>
      <c r="AN504" t="s">
        <v>478</v>
      </c>
      <c r="AO504" t="s">
        <v>74</v>
      </c>
      <c r="AP504" t="s">
        <v>479</v>
      </c>
      <c r="AQ504" t="s">
        <v>74</v>
      </c>
      <c r="AR504" t="s">
        <v>480</v>
      </c>
      <c r="AS504" t="s">
        <v>481</v>
      </c>
      <c r="AT504" t="s">
        <v>7263</v>
      </c>
      <c r="AU504">
        <v>2025</v>
      </c>
      <c r="AV504">
        <v>17</v>
      </c>
      <c r="AW504">
        <v>18</v>
      </c>
      <c r="AX504" t="s">
        <v>74</v>
      </c>
      <c r="AY504" t="s">
        <v>74</v>
      </c>
      <c r="AZ504" t="s">
        <v>74</v>
      </c>
      <c r="BA504" t="s">
        <v>74</v>
      </c>
      <c r="BB504" t="s">
        <v>74</v>
      </c>
      <c r="BC504" t="s">
        <v>74</v>
      </c>
      <c r="BD504">
        <v>8253</v>
      </c>
      <c r="BE504" t="s">
        <v>9866</v>
      </c>
      <c r="BF504" t="str">
        <f>HYPERLINK("http://dx.doi.org/10.3390/su17188253","http://dx.doi.org/10.3390/su17188253")</f>
        <v>http://dx.doi.org/10.3390/su17188253</v>
      </c>
      <c r="BG504" t="s">
        <v>74</v>
      </c>
      <c r="BH504" t="s">
        <v>74</v>
      </c>
      <c r="BI504">
        <v>31</v>
      </c>
      <c r="BJ504" t="s">
        <v>484</v>
      </c>
      <c r="BK504" t="s">
        <v>186</v>
      </c>
      <c r="BL504" t="s">
        <v>485</v>
      </c>
      <c r="BM504" t="s">
        <v>9867</v>
      </c>
      <c r="BN504" t="s">
        <v>74</v>
      </c>
      <c r="BO504" t="s">
        <v>231</v>
      </c>
      <c r="BP504" t="s">
        <v>74</v>
      </c>
      <c r="BQ504" t="s">
        <v>74</v>
      </c>
      <c r="BR504" t="s">
        <v>106</v>
      </c>
      <c r="BS504" t="s">
        <v>9868</v>
      </c>
      <c r="BT504" t="str">
        <f>HYPERLINK("https%3A%2F%2Fwww.webofscience.com%2Fwos%2Fwoscc%2Ffull-record%2FWOS:001581180600001","View Full Record in Web of Science")</f>
        <v>View Full Record in Web of Science</v>
      </c>
    </row>
    <row r="505" spans="1:72" x14ac:dyDescent="0.2">
      <c r="A505" t="s">
        <v>72</v>
      </c>
      <c r="B505" t="s">
        <v>9869</v>
      </c>
      <c r="C505" t="s">
        <v>74</v>
      </c>
      <c r="D505" t="s">
        <v>74</v>
      </c>
      <c r="E505" t="s">
        <v>74</v>
      </c>
      <c r="F505" t="s">
        <v>9870</v>
      </c>
      <c r="G505" t="s">
        <v>74</v>
      </c>
      <c r="H505" t="s">
        <v>74</v>
      </c>
      <c r="I505" t="s">
        <v>9871</v>
      </c>
      <c r="J505" t="s">
        <v>468</v>
      </c>
      <c r="K505" t="s">
        <v>74</v>
      </c>
      <c r="L505" t="s">
        <v>74</v>
      </c>
      <c r="M505" t="s">
        <v>78</v>
      </c>
      <c r="N505" t="s">
        <v>79</v>
      </c>
      <c r="O505" t="s">
        <v>74</v>
      </c>
      <c r="P505" t="s">
        <v>74</v>
      </c>
      <c r="Q505" t="s">
        <v>74</v>
      </c>
      <c r="R505" t="s">
        <v>74</v>
      </c>
      <c r="S505" t="s">
        <v>74</v>
      </c>
      <c r="T505" t="s">
        <v>9872</v>
      </c>
      <c r="U505" t="s">
        <v>9873</v>
      </c>
      <c r="V505" t="s">
        <v>9874</v>
      </c>
      <c r="W505" t="s">
        <v>9875</v>
      </c>
      <c r="X505" t="s">
        <v>9876</v>
      </c>
      <c r="Y505" t="s">
        <v>9877</v>
      </c>
      <c r="Z505" t="s">
        <v>9878</v>
      </c>
      <c r="AA505" t="s">
        <v>9879</v>
      </c>
      <c r="AB505" t="s">
        <v>74</v>
      </c>
      <c r="AC505" t="s">
        <v>9880</v>
      </c>
      <c r="AD505" t="s">
        <v>9881</v>
      </c>
      <c r="AE505" t="s">
        <v>9882</v>
      </c>
      <c r="AF505" t="s">
        <v>74</v>
      </c>
      <c r="AG505">
        <v>53</v>
      </c>
      <c r="AH505">
        <v>0</v>
      </c>
      <c r="AI505">
        <v>0</v>
      </c>
      <c r="AJ505">
        <v>7</v>
      </c>
      <c r="AK505">
        <v>7</v>
      </c>
      <c r="AL505" t="s">
        <v>222</v>
      </c>
      <c r="AM505" t="s">
        <v>223</v>
      </c>
      <c r="AN505" t="s">
        <v>478</v>
      </c>
      <c r="AO505" t="s">
        <v>74</v>
      </c>
      <c r="AP505" t="s">
        <v>479</v>
      </c>
      <c r="AQ505" t="s">
        <v>74</v>
      </c>
      <c r="AR505" t="s">
        <v>480</v>
      </c>
      <c r="AS505" t="s">
        <v>481</v>
      </c>
      <c r="AT505" t="s">
        <v>9883</v>
      </c>
      <c r="AU505">
        <v>2025</v>
      </c>
      <c r="AV505">
        <v>17</v>
      </c>
      <c r="AW505">
        <v>16</v>
      </c>
      <c r="AX505" t="s">
        <v>74</v>
      </c>
      <c r="AY505" t="s">
        <v>74</v>
      </c>
      <c r="AZ505" t="s">
        <v>74</v>
      </c>
      <c r="BA505" t="s">
        <v>74</v>
      </c>
      <c r="BB505" t="s">
        <v>74</v>
      </c>
      <c r="BC505" t="s">
        <v>74</v>
      </c>
      <c r="BD505">
        <v>7227</v>
      </c>
      <c r="BE505" t="s">
        <v>9884</v>
      </c>
      <c r="BF505" t="str">
        <f>HYPERLINK("http://dx.doi.org/10.3390/su17167227","http://dx.doi.org/10.3390/su17167227")</f>
        <v>http://dx.doi.org/10.3390/su17167227</v>
      </c>
      <c r="BG505" t="s">
        <v>74</v>
      </c>
      <c r="BH505" t="s">
        <v>74</v>
      </c>
      <c r="BI505">
        <v>19</v>
      </c>
      <c r="BJ505" t="s">
        <v>484</v>
      </c>
      <c r="BK505" t="s">
        <v>186</v>
      </c>
      <c r="BL505" t="s">
        <v>485</v>
      </c>
      <c r="BM505" t="s">
        <v>9885</v>
      </c>
      <c r="BN505" t="s">
        <v>74</v>
      </c>
      <c r="BO505" t="s">
        <v>231</v>
      </c>
      <c r="BP505" t="s">
        <v>74</v>
      </c>
      <c r="BQ505" t="s">
        <v>74</v>
      </c>
      <c r="BR505" t="s">
        <v>106</v>
      </c>
      <c r="BS505" t="s">
        <v>9886</v>
      </c>
      <c r="BT505" t="str">
        <f>HYPERLINK("https%3A%2F%2Fwww.webofscience.com%2Fwos%2Fwoscc%2Ffull-record%2FWOS:001560012700001","View Full Record in Web of Science")</f>
        <v>View Full Record in Web of Science</v>
      </c>
    </row>
    <row r="506" spans="1:72" x14ac:dyDescent="0.2">
      <c r="A506" t="s">
        <v>72</v>
      </c>
      <c r="B506" t="s">
        <v>9887</v>
      </c>
      <c r="C506" t="s">
        <v>74</v>
      </c>
      <c r="D506" t="s">
        <v>74</v>
      </c>
      <c r="E506" t="s">
        <v>74</v>
      </c>
      <c r="F506" t="s">
        <v>9888</v>
      </c>
      <c r="G506" t="s">
        <v>74</v>
      </c>
      <c r="H506" t="s">
        <v>74</v>
      </c>
      <c r="I506" t="s">
        <v>9889</v>
      </c>
      <c r="J506" t="s">
        <v>7882</v>
      </c>
      <c r="K506" t="s">
        <v>74</v>
      </c>
      <c r="L506" t="s">
        <v>74</v>
      </c>
      <c r="M506" t="s">
        <v>78</v>
      </c>
      <c r="N506" t="s">
        <v>79</v>
      </c>
      <c r="O506" t="s">
        <v>74</v>
      </c>
      <c r="P506" t="s">
        <v>74</v>
      </c>
      <c r="Q506" t="s">
        <v>74</v>
      </c>
      <c r="R506" t="s">
        <v>74</v>
      </c>
      <c r="S506" t="s">
        <v>74</v>
      </c>
      <c r="T506" t="s">
        <v>9890</v>
      </c>
      <c r="U506" t="s">
        <v>9891</v>
      </c>
      <c r="V506" t="s">
        <v>9892</v>
      </c>
      <c r="W506" t="s">
        <v>9893</v>
      </c>
      <c r="X506" t="s">
        <v>9894</v>
      </c>
      <c r="Y506" t="s">
        <v>9895</v>
      </c>
      <c r="Z506" t="s">
        <v>9896</v>
      </c>
      <c r="AA506" t="s">
        <v>9897</v>
      </c>
      <c r="AB506" t="s">
        <v>74</v>
      </c>
      <c r="AC506" t="s">
        <v>9898</v>
      </c>
      <c r="AD506" t="s">
        <v>9899</v>
      </c>
      <c r="AE506" t="s">
        <v>9900</v>
      </c>
      <c r="AF506" t="s">
        <v>74</v>
      </c>
      <c r="AG506">
        <v>104</v>
      </c>
      <c r="AH506">
        <v>0</v>
      </c>
      <c r="AI506">
        <v>0</v>
      </c>
      <c r="AJ506">
        <v>7</v>
      </c>
      <c r="AK506">
        <v>7</v>
      </c>
      <c r="AL506" t="s">
        <v>504</v>
      </c>
      <c r="AM506" t="s">
        <v>505</v>
      </c>
      <c r="AN506" t="s">
        <v>506</v>
      </c>
      <c r="AO506" t="s">
        <v>7895</v>
      </c>
      <c r="AP506" t="s">
        <v>7896</v>
      </c>
      <c r="AQ506" t="s">
        <v>74</v>
      </c>
      <c r="AR506" t="s">
        <v>7897</v>
      </c>
      <c r="AS506" t="s">
        <v>7898</v>
      </c>
      <c r="AT506" t="s">
        <v>7685</v>
      </c>
      <c r="AU506">
        <v>2025</v>
      </c>
      <c r="AV506">
        <v>30</v>
      </c>
      <c r="AW506">
        <v>7</v>
      </c>
      <c r="AX506" t="s">
        <v>74</v>
      </c>
      <c r="AY506" t="s">
        <v>74</v>
      </c>
      <c r="AZ506" t="s">
        <v>74</v>
      </c>
      <c r="BA506" t="s">
        <v>74</v>
      </c>
      <c r="BB506" t="s">
        <v>74</v>
      </c>
      <c r="BC506" t="s">
        <v>74</v>
      </c>
      <c r="BD506">
        <v>55</v>
      </c>
      <c r="BE506" t="s">
        <v>9901</v>
      </c>
      <c r="BF506" t="str">
        <f>HYPERLINK("http://dx.doi.org/10.1007/s11027-025-10242-9","http://dx.doi.org/10.1007/s11027-025-10242-9")</f>
        <v>http://dx.doi.org/10.1007/s11027-025-10242-9</v>
      </c>
      <c r="BG506" t="s">
        <v>74</v>
      </c>
      <c r="BH506" t="s">
        <v>74</v>
      </c>
      <c r="BI506">
        <v>31</v>
      </c>
      <c r="BJ506" t="s">
        <v>567</v>
      </c>
      <c r="BK506" t="s">
        <v>102</v>
      </c>
      <c r="BL506" t="s">
        <v>568</v>
      </c>
      <c r="BM506" t="s">
        <v>9902</v>
      </c>
      <c r="BN506" t="s">
        <v>74</v>
      </c>
      <c r="BO506" t="s">
        <v>2296</v>
      </c>
      <c r="BP506" t="s">
        <v>74</v>
      </c>
      <c r="BQ506" t="s">
        <v>74</v>
      </c>
      <c r="BR506" t="s">
        <v>106</v>
      </c>
      <c r="BS506" t="s">
        <v>9903</v>
      </c>
      <c r="BT506" t="str">
        <f>HYPERLINK("https%3A%2F%2Fwww.webofscience.com%2Fwos%2Fwoscc%2Ffull-record%2FWOS:001559524200001","View Full Record in Web of Science")</f>
        <v>View Full Record in Web of Science</v>
      </c>
    </row>
    <row r="507" spans="1:72" x14ac:dyDescent="0.2">
      <c r="A507" t="s">
        <v>72</v>
      </c>
      <c r="B507" t="s">
        <v>9904</v>
      </c>
      <c r="C507" t="s">
        <v>74</v>
      </c>
      <c r="D507" t="s">
        <v>74</v>
      </c>
      <c r="E507" t="s">
        <v>74</v>
      </c>
      <c r="F507" t="s">
        <v>9905</v>
      </c>
      <c r="G507" t="s">
        <v>74</v>
      </c>
      <c r="H507" t="s">
        <v>74</v>
      </c>
      <c r="I507" t="s">
        <v>9906</v>
      </c>
      <c r="J507" t="s">
        <v>5578</v>
      </c>
      <c r="K507" t="s">
        <v>74</v>
      </c>
      <c r="L507" t="s">
        <v>74</v>
      </c>
      <c r="M507" t="s">
        <v>78</v>
      </c>
      <c r="N507" t="s">
        <v>79</v>
      </c>
      <c r="O507" t="s">
        <v>74</v>
      </c>
      <c r="P507" t="s">
        <v>74</v>
      </c>
      <c r="Q507" t="s">
        <v>74</v>
      </c>
      <c r="R507" t="s">
        <v>74</v>
      </c>
      <c r="S507" t="s">
        <v>74</v>
      </c>
      <c r="T507" t="s">
        <v>9907</v>
      </c>
      <c r="U507" t="s">
        <v>9908</v>
      </c>
      <c r="V507" t="s">
        <v>9909</v>
      </c>
      <c r="W507" t="s">
        <v>9910</v>
      </c>
      <c r="X507" t="s">
        <v>9911</v>
      </c>
      <c r="Y507" t="s">
        <v>9912</v>
      </c>
      <c r="Z507" t="s">
        <v>9913</v>
      </c>
      <c r="AA507" t="s">
        <v>74</v>
      </c>
      <c r="AB507" t="s">
        <v>9914</v>
      </c>
      <c r="AC507" t="s">
        <v>9915</v>
      </c>
      <c r="AD507" t="s">
        <v>9915</v>
      </c>
      <c r="AE507" t="s">
        <v>9916</v>
      </c>
      <c r="AF507" t="s">
        <v>74</v>
      </c>
      <c r="AG507">
        <v>85</v>
      </c>
      <c r="AH507">
        <v>65</v>
      </c>
      <c r="AI507">
        <v>68</v>
      </c>
      <c r="AJ507">
        <v>3</v>
      </c>
      <c r="AK507">
        <v>44</v>
      </c>
      <c r="AL507" t="s">
        <v>504</v>
      </c>
      <c r="AM507" t="s">
        <v>505</v>
      </c>
      <c r="AN507" t="s">
        <v>506</v>
      </c>
      <c r="AO507" t="s">
        <v>5589</v>
      </c>
      <c r="AP507" t="s">
        <v>5590</v>
      </c>
      <c r="AQ507" t="s">
        <v>74</v>
      </c>
      <c r="AR507" t="s">
        <v>5591</v>
      </c>
      <c r="AS507" t="s">
        <v>5592</v>
      </c>
      <c r="AT507" t="s">
        <v>99</v>
      </c>
      <c r="AU507">
        <v>2021</v>
      </c>
      <c r="AV507">
        <v>460</v>
      </c>
      <c r="AW507" t="s">
        <v>913</v>
      </c>
      <c r="AX507" t="s">
        <v>74</v>
      </c>
      <c r="AY507" t="s">
        <v>74</v>
      </c>
      <c r="AZ507" t="s">
        <v>74</v>
      </c>
      <c r="BA507" t="s">
        <v>74</v>
      </c>
      <c r="BB507">
        <v>417</v>
      </c>
      <c r="BC507">
        <v>433</v>
      </c>
      <c r="BD507" t="s">
        <v>74</v>
      </c>
      <c r="BE507" t="s">
        <v>9917</v>
      </c>
      <c r="BF507" t="str">
        <f>HYPERLINK("http://dx.doi.org/10.1007/s11104-020-04806-8","http://dx.doi.org/10.1007/s11104-020-04806-8")</f>
        <v>http://dx.doi.org/10.1007/s11104-020-04806-8</v>
      </c>
      <c r="BG507" t="s">
        <v>74</v>
      </c>
      <c r="BH507" t="s">
        <v>9918</v>
      </c>
      <c r="BI507">
        <v>17</v>
      </c>
      <c r="BJ507" t="s">
        <v>5595</v>
      </c>
      <c r="BK507" t="s">
        <v>102</v>
      </c>
      <c r="BL507" t="s">
        <v>462</v>
      </c>
      <c r="BM507" t="s">
        <v>9919</v>
      </c>
      <c r="BN507" t="s">
        <v>74</v>
      </c>
      <c r="BO507" t="s">
        <v>916</v>
      </c>
      <c r="BP507" t="s">
        <v>74</v>
      </c>
      <c r="BQ507" t="s">
        <v>74</v>
      </c>
      <c r="BR507" t="s">
        <v>106</v>
      </c>
      <c r="BS507" t="s">
        <v>9920</v>
      </c>
      <c r="BT507" t="str">
        <f>HYPERLINK("https%3A%2F%2Fwww.webofscience.com%2Fwos%2Fwoscc%2Ffull-record%2FWOS:000607516900003","View Full Record in Web of Science")</f>
        <v>View Full Record in Web of Science</v>
      </c>
    </row>
    <row r="508" spans="1:72" x14ac:dyDescent="0.2">
      <c r="A508" t="s">
        <v>72</v>
      </c>
      <c r="B508" t="s">
        <v>9921</v>
      </c>
      <c r="C508" t="s">
        <v>74</v>
      </c>
      <c r="D508" t="s">
        <v>74</v>
      </c>
      <c r="E508" t="s">
        <v>74</v>
      </c>
      <c r="F508" t="s">
        <v>9922</v>
      </c>
      <c r="G508" t="s">
        <v>74</v>
      </c>
      <c r="H508" t="s">
        <v>74</v>
      </c>
      <c r="I508" t="s">
        <v>9923</v>
      </c>
      <c r="J508" t="s">
        <v>9924</v>
      </c>
      <c r="K508" t="s">
        <v>74</v>
      </c>
      <c r="L508" t="s">
        <v>74</v>
      </c>
      <c r="M508" t="s">
        <v>78</v>
      </c>
      <c r="N508" t="s">
        <v>79</v>
      </c>
      <c r="O508" t="s">
        <v>74</v>
      </c>
      <c r="P508" t="s">
        <v>74</v>
      </c>
      <c r="Q508" t="s">
        <v>74</v>
      </c>
      <c r="R508" t="s">
        <v>74</v>
      </c>
      <c r="S508" t="s">
        <v>74</v>
      </c>
      <c r="T508" t="s">
        <v>9925</v>
      </c>
      <c r="U508" t="s">
        <v>9926</v>
      </c>
      <c r="V508" t="s">
        <v>9927</v>
      </c>
      <c r="W508" t="s">
        <v>9928</v>
      </c>
      <c r="X508" t="s">
        <v>9929</v>
      </c>
      <c r="Y508" t="s">
        <v>9930</v>
      </c>
      <c r="Z508" t="s">
        <v>9931</v>
      </c>
      <c r="AA508" t="s">
        <v>9932</v>
      </c>
      <c r="AB508" t="s">
        <v>74</v>
      </c>
      <c r="AC508" t="s">
        <v>9933</v>
      </c>
      <c r="AD508" t="s">
        <v>9934</v>
      </c>
      <c r="AE508" t="s">
        <v>9935</v>
      </c>
      <c r="AF508" t="s">
        <v>74</v>
      </c>
      <c r="AG508">
        <v>60</v>
      </c>
      <c r="AH508">
        <v>0</v>
      </c>
      <c r="AI508">
        <v>0</v>
      </c>
      <c r="AJ508">
        <v>3</v>
      </c>
      <c r="AK508">
        <v>3</v>
      </c>
      <c r="AL508" t="s">
        <v>247</v>
      </c>
      <c r="AM508" t="s">
        <v>248</v>
      </c>
      <c r="AN508" t="s">
        <v>249</v>
      </c>
      <c r="AO508" t="s">
        <v>9936</v>
      </c>
      <c r="AP508" t="s">
        <v>9937</v>
      </c>
      <c r="AQ508" t="s">
        <v>74</v>
      </c>
      <c r="AR508" t="s">
        <v>9938</v>
      </c>
      <c r="AS508" t="s">
        <v>9939</v>
      </c>
      <c r="AT508" t="s">
        <v>9940</v>
      </c>
      <c r="AU508">
        <v>2025</v>
      </c>
      <c r="AV508">
        <v>41</v>
      </c>
      <c r="AW508">
        <v>4</v>
      </c>
      <c r="AX508" t="s">
        <v>74</v>
      </c>
      <c r="AY508" t="s">
        <v>74</v>
      </c>
      <c r="AZ508" t="s">
        <v>74</v>
      </c>
      <c r="BA508" t="s">
        <v>74</v>
      </c>
      <c r="BB508" t="s">
        <v>74</v>
      </c>
      <c r="BC508" t="s">
        <v>74</v>
      </c>
      <c r="BD508" t="s">
        <v>9941</v>
      </c>
      <c r="BE508" t="s">
        <v>9942</v>
      </c>
      <c r="BF508" t="str">
        <f>HYPERLINK("http://dx.doi.org/10.1111/sum.70150","http://dx.doi.org/10.1111/sum.70150")</f>
        <v>http://dx.doi.org/10.1111/sum.70150</v>
      </c>
      <c r="BG508" t="s">
        <v>74</v>
      </c>
      <c r="BH508" t="s">
        <v>74</v>
      </c>
      <c r="BI508">
        <v>14</v>
      </c>
      <c r="BJ508" t="s">
        <v>256</v>
      </c>
      <c r="BK508" t="s">
        <v>102</v>
      </c>
      <c r="BL508" t="s">
        <v>103</v>
      </c>
      <c r="BM508" t="s">
        <v>9943</v>
      </c>
      <c r="BN508" t="s">
        <v>74</v>
      </c>
      <c r="BO508" t="s">
        <v>74</v>
      </c>
      <c r="BP508" t="s">
        <v>74</v>
      </c>
      <c r="BQ508" t="s">
        <v>74</v>
      </c>
      <c r="BR508" t="s">
        <v>106</v>
      </c>
      <c r="BS508" t="s">
        <v>9944</v>
      </c>
      <c r="BT508" t="str">
        <f>HYPERLINK("https%3A%2F%2Fwww.webofscience.com%2Fwos%2Fwoscc%2Ffull-record%2FWOS:001620226300001","View Full Record in Web of Science")</f>
        <v>View Full Record in Web of Science</v>
      </c>
    </row>
    <row r="509" spans="1:72" x14ac:dyDescent="0.2">
      <c r="A509" t="s">
        <v>72</v>
      </c>
      <c r="B509" t="s">
        <v>9945</v>
      </c>
      <c r="C509" t="s">
        <v>74</v>
      </c>
      <c r="D509" t="s">
        <v>74</v>
      </c>
      <c r="E509" t="s">
        <v>74</v>
      </c>
      <c r="F509" t="s">
        <v>9946</v>
      </c>
      <c r="G509" t="s">
        <v>74</v>
      </c>
      <c r="H509" t="s">
        <v>74</v>
      </c>
      <c r="I509" t="s">
        <v>9947</v>
      </c>
      <c r="J509" t="s">
        <v>1477</v>
      </c>
      <c r="K509" t="s">
        <v>74</v>
      </c>
      <c r="L509" t="s">
        <v>74</v>
      </c>
      <c r="M509" t="s">
        <v>78</v>
      </c>
      <c r="N509" t="s">
        <v>79</v>
      </c>
      <c r="O509" t="s">
        <v>74</v>
      </c>
      <c r="P509" t="s">
        <v>74</v>
      </c>
      <c r="Q509" t="s">
        <v>74</v>
      </c>
      <c r="R509" t="s">
        <v>74</v>
      </c>
      <c r="S509" t="s">
        <v>74</v>
      </c>
      <c r="T509" t="s">
        <v>9948</v>
      </c>
      <c r="U509" t="s">
        <v>9949</v>
      </c>
      <c r="V509" t="s">
        <v>9950</v>
      </c>
      <c r="W509" t="s">
        <v>9951</v>
      </c>
      <c r="X509" t="s">
        <v>9952</v>
      </c>
      <c r="Y509" t="s">
        <v>9953</v>
      </c>
      <c r="Z509" t="s">
        <v>9954</v>
      </c>
      <c r="AA509" t="s">
        <v>9955</v>
      </c>
      <c r="AB509" t="s">
        <v>9956</v>
      </c>
      <c r="AC509" t="s">
        <v>9957</v>
      </c>
      <c r="AD509" t="s">
        <v>9957</v>
      </c>
      <c r="AE509" t="s">
        <v>9958</v>
      </c>
      <c r="AF509" t="s">
        <v>74</v>
      </c>
      <c r="AG509">
        <v>101</v>
      </c>
      <c r="AH509">
        <v>32</v>
      </c>
      <c r="AI509">
        <v>39</v>
      </c>
      <c r="AJ509">
        <v>1</v>
      </c>
      <c r="AK509">
        <v>49</v>
      </c>
      <c r="AL509" t="s">
        <v>934</v>
      </c>
      <c r="AM509" t="s">
        <v>177</v>
      </c>
      <c r="AN509" t="s">
        <v>935</v>
      </c>
      <c r="AO509" t="s">
        <v>1490</v>
      </c>
      <c r="AP509" t="s">
        <v>1491</v>
      </c>
      <c r="AQ509" t="s">
        <v>74</v>
      </c>
      <c r="AR509" t="s">
        <v>1492</v>
      </c>
      <c r="AS509" t="s">
        <v>1493</v>
      </c>
      <c r="AT509" t="s">
        <v>2017</v>
      </c>
      <c r="AU509">
        <v>2020</v>
      </c>
      <c r="AV509">
        <v>132</v>
      </c>
      <c r="AW509" t="s">
        <v>74</v>
      </c>
      <c r="AX509" t="s">
        <v>74</v>
      </c>
      <c r="AY509" t="s">
        <v>74</v>
      </c>
      <c r="AZ509" t="s">
        <v>74</v>
      </c>
      <c r="BA509" t="s">
        <v>74</v>
      </c>
      <c r="BB509" t="s">
        <v>74</v>
      </c>
      <c r="BC509" t="s">
        <v>74</v>
      </c>
      <c r="BD509">
        <v>110035</v>
      </c>
      <c r="BE509" t="s">
        <v>9959</v>
      </c>
      <c r="BF509" t="str">
        <f>HYPERLINK("http://dx.doi.org/10.1016/j.rser.2020.110035","http://dx.doi.org/10.1016/j.rser.2020.110035")</f>
        <v>http://dx.doi.org/10.1016/j.rser.2020.110035</v>
      </c>
      <c r="BG509" t="s">
        <v>74</v>
      </c>
      <c r="BH509" t="s">
        <v>74</v>
      </c>
      <c r="BI509">
        <v>18</v>
      </c>
      <c r="BJ509" t="s">
        <v>1496</v>
      </c>
      <c r="BK509" t="s">
        <v>102</v>
      </c>
      <c r="BL509" t="s">
        <v>1497</v>
      </c>
      <c r="BM509" t="s">
        <v>9960</v>
      </c>
      <c r="BN509" t="s">
        <v>74</v>
      </c>
      <c r="BO509" t="s">
        <v>74</v>
      </c>
      <c r="BP509" t="s">
        <v>74</v>
      </c>
      <c r="BQ509" t="s">
        <v>74</v>
      </c>
      <c r="BR509" t="s">
        <v>106</v>
      </c>
      <c r="BS509" t="s">
        <v>9961</v>
      </c>
      <c r="BT509" t="str">
        <f>HYPERLINK("https%3A%2F%2Fwww.webofscience.com%2Fwos%2Fwoscc%2Ffull-record%2FWOS:000565624800004","View Full Record in Web of Science")</f>
        <v>View Full Record in Web of Science</v>
      </c>
    </row>
    <row r="510" spans="1:72" x14ac:dyDescent="0.2">
      <c r="A510" t="s">
        <v>72</v>
      </c>
      <c r="B510" t="s">
        <v>9962</v>
      </c>
      <c r="C510" t="s">
        <v>74</v>
      </c>
      <c r="D510" t="s">
        <v>74</v>
      </c>
      <c r="E510" t="s">
        <v>74</v>
      </c>
      <c r="F510" t="s">
        <v>9963</v>
      </c>
      <c r="G510" t="s">
        <v>74</v>
      </c>
      <c r="H510" t="s">
        <v>74</v>
      </c>
      <c r="I510" t="s">
        <v>9964</v>
      </c>
      <c r="J510" t="s">
        <v>2456</v>
      </c>
      <c r="K510" t="s">
        <v>74</v>
      </c>
      <c r="L510" t="s">
        <v>74</v>
      </c>
      <c r="M510" t="s">
        <v>78</v>
      </c>
      <c r="N510" t="s">
        <v>79</v>
      </c>
      <c r="O510" t="s">
        <v>74</v>
      </c>
      <c r="P510" t="s">
        <v>74</v>
      </c>
      <c r="Q510" t="s">
        <v>74</v>
      </c>
      <c r="R510" t="s">
        <v>74</v>
      </c>
      <c r="S510" t="s">
        <v>74</v>
      </c>
      <c r="T510" t="s">
        <v>9965</v>
      </c>
      <c r="U510" t="s">
        <v>9966</v>
      </c>
      <c r="V510" t="s">
        <v>9967</v>
      </c>
      <c r="W510" t="s">
        <v>9968</v>
      </c>
      <c r="X510" t="s">
        <v>9969</v>
      </c>
      <c r="Y510" t="s">
        <v>9970</v>
      </c>
      <c r="Z510" t="s">
        <v>8313</v>
      </c>
      <c r="AA510" t="s">
        <v>9971</v>
      </c>
      <c r="AB510" t="s">
        <v>74</v>
      </c>
      <c r="AC510" t="s">
        <v>9972</v>
      </c>
      <c r="AD510" t="s">
        <v>9973</v>
      </c>
      <c r="AE510" t="s">
        <v>9974</v>
      </c>
      <c r="AF510" t="s">
        <v>74</v>
      </c>
      <c r="AG510">
        <v>58</v>
      </c>
      <c r="AH510">
        <v>9</v>
      </c>
      <c r="AI510">
        <v>9</v>
      </c>
      <c r="AJ510">
        <v>9</v>
      </c>
      <c r="AK510">
        <v>94</v>
      </c>
      <c r="AL510" t="s">
        <v>655</v>
      </c>
      <c r="AM510" t="s">
        <v>405</v>
      </c>
      <c r="AN510" t="s">
        <v>656</v>
      </c>
      <c r="AO510" t="s">
        <v>74</v>
      </c>
      <c r="AP510" t="s">
        <v>2468</v>
      </c>
      <c r="AQ510" t="s">
        <v>74</v>
      </c>
      <c r="AR510" t="s">
        <v>2469</v>
      </c>
      <c r="AS510" t="s">
        <v>2470</v>
      </c>
      <c r="AT510" t="s">
        <v>9975</v>
      </c>
      <c r="AU510">
        <v>2022</v>
      </c>
      <c r="AV510">
        <v>13</v>
      </c>
      <c r="AW510" t="s">
        <v>74</v>
      </c>
      <c r="AX510" t="s">
        <v>74</v>
      </c>
      <c r="AY510" t="s">
        <v>74</v>
      </c>
      <c r="AZ510" t="s">
        <v>74</v>
      </c>
      <c r="BA510" t="s">
        <v>74</v>
      </c>
      <c r="BB510" t="s">
        <v>74</v>
      </c>
      <c r="BC510" t="s">
        <v>74</v>
      </c>
      <c r="BD510">
        <v>1002009</v>
      </c>
      <c r="BE510" t="s">
        <v>9976</v>
      </c>
      <c r="BF510" t="str">
        <f>HYPERLINK("http://dx.doi.org/10.3389/fmicb.2022.1002009","http://dx.doi.org/10.3389/fmicb.2022.1002009")</f>
        <v>http://dx.doi.org/10.3389/fmicb.2022.1002009</v>
      </c>
      <c r="BG510" t="s">
        <v>74</v>
      </c>
      <c r="BH510" t="s">
        <v>74</v>
      </c>
      <c r="BI510">
        <v>15</v>
      </c>
      <c r="BJ510" t="s">
        <v>2473</v>
      </c>
      <c r="BK510" t="s">
        <v>102</v>
      </c>
      <c r="BL510" t="s">
        <v>2473</v>
      </c>
      <c r="BM510" t="s">
        <v>9977</v>
      </c>
      <c r="BN510">
        <v>36212819</v>
      </c>
      <c r="BO510" t="s">
        <v>161</v>
      </c>
      <c r="BP510" t="s">
        <v>74</v>
      </c>
      <c r="BQ510" t="s">
        <v>74</v>
      </c>
      <c r="BR510" t="s">
        <v>106</v>
      </c>
      <c r="BS510" t="s">
        <v>9978</v>
      </c>
      <c r="BT510" t="str">
        <f>HYPERLINK("https%3A%2F%2Fwww.webofscience.com%2Fwos%2Fwoscc%2Ffull-record%2FWOS:000875334700001","View Full Record in Web of Science")</f>
        <v>View Full Record in Web of Science</v>
      </c>
    </row>
    <row r="511" spans="1:72" x14ac:dyDescent="0.2">
      <c r="A511" t="s">
        <v>72</v>
      </c>
      <c r="B511" t="s">
        <v>9979</v>
      </c>
      <c r="C511" t="s">
        <v>74</v>
      </c>
      <c r="D511" t="s">
        <v>74</v>
      </c>
      <c r="E511" t="s">
        <v>74</v>
      </c>
      <c r="F511" t="s">
        <v>9980</v>
      </c>
      <c r="G511" t="s">
        <v>74</v>
      </c>
      <c r="H511" t="s">
        <v>74</v>
      </c>
      <c r="I511" t="s">
        <v>9981</v>
      </c>
      <c r="J511" t="s">
        <v>1948</v>
      </c>
      <c r="K511" t="s">
        <v>74</v>
      </c>
      <c r="L511" t="s">
        <v>74</v>
      </c>
      <c r="M511" t="s">
        <v>78</v>
      </c>
      <c r="N511" t="s">
        <v>79</v>
      </c>
      <c r="O511" t="s">
        <v>74</v>
      </c>
      <c r="P511" t="s">
        <v>74</v>
      </c>
      <c r="Q511" t="s">
        <v>74</v>
      </c>
      <c r="R511" t="s">
        <v>74</v>
      </c>
      <c r="S511" t="s">
        <v>74</v>
      </c>
      <c r="T511" t="s">
        <v>9982</v>
      </c>
      <c r="U511" t="s">
        <v>9983</v>
      </c>
      <c r="V511" t="s">
        <v>9984</v>
      </c>
      <c r="W511" t="s">
        <v>9985</v>
      </c>
      <c r="X511" t="s">
        <v>9986</v>
      </c>
      <c r="Y511" t="s">
        <v>9987</v>
      </c>
      <c r="Z511" t="s">
        <v>9988</v>
      </c>
      <c r="AA511" t="s">
        <v>9989</v>
      </c>
      <c r="AB511" t="s">
        <v>74</v>
      </c>
      <c r="AC511" t="s">
        <v>9990</v>
      </c>
      <c r="AD511" t="s">
        <v>9991</v>
      </c>
      <c r="AE511" t="s">
        <v>9992</v>
      </c>
      <c r="AF511" t="s">
        <v>74</v>
      </c>
      <c r="AG511">
        <v>69</v>
      </c>
      <c r="AH511">
        <v>3</v>
      </c>
      <c r="AI511">
        <v>3</v>
      </c>
      <c r="AJ511">
        <v>47</v>
      </c>
      <c r="AK511">
        <v>107</v>
      </c>
      <c r="AL511" t="s">
        <v>123</v>
      </c>
      <c r="AM511" t="s">
        <v>124</v>
      </c>
      <c r="AN511" t="s">
        <v>125</v>
      </c>
      <c r="AO511" t="s">
        <v>1959</v>
      </c>
      <c r="AP511" t="s">
        <v>1960</v>
      </c>
      <c r="AQ511" t="s">
        <v>74</v>
      </c>
      <c r="AR511" t="s">
        <v>1961</v>
      </c>
      <c r="AS511" t="s">
        <v>1962</v>
      </c>
      <c r="AT511" t="s">
        <v>99</v>
      </c>
      <c r="AU511">
        <v>2025</v>
      </c>
      <c r="AV511">
        <v>164</v>
      </c>
      <c r="AW511" t="s">
        <v>74</v>
      </c>
      <c r="AX511" t="s">
        <v>74</v>
      </c>
      <c r="AY511" t="s">
        <v>74</v>
      </c>
      <c r="AZ511" t="s">
        <v>74</v>
      </c>
      <c r="BA511" t="s">
        <v>74</v>
      </c>
      <c r="BB511" t="s">
        <v>74</v>
      </c>
      <c r="BC511" t="s">
        <v>74</v>
      </c>
      <c r="BD511">
        <v>127516</v>
      </c>
      <c r="BE511" t="s">
        <v>9993</v>
      </c>
      <c r="BF511" t="str">
        <f>HYPERLINK("http://dx.doi.org/10.1016/j.eja.2025.127516","http://dx.doi.org/10.1016/j.eja.2025.127516")</f>
        <v>http://dx.doi.org/10.1016/j.eja.2025.127516</v>
      </c>
      <c r="BG511" t="s">
        <v>74</v>
      </c>
      <c r="BH511" t="s">
        <v>2404</v>
      </c>
      <c r="BI511">
        <v>12</v>
      </c>
      <c r="BJ511" t="s">
        <v>1357</v>
      </c>
      <c r="BK511" t="s">
        <v>102</v>
      </c>
      <c r="BL511" t="s">
        <v>103</v>
      </c>
      <c r="BM511" t="s">
        <v>9994</v>
      </c>
      <c r="BN511" t="s">
        <v>74</v>
      </c>
      <c r="BO511" t="s">
        <v>74</v>
      </c>
      <c r="BP511" t="s">
        <v>74</v>
      </c>
      <c r="BQ511" t="s">
        <v>74</v>
      </c>
      <c r="BR511" t="s">
        <v>106</v>
      </c>
      <c r="BS511" t="s">
        <v>9995</v>
      </c>
      <c r="BT511" t="str">
        <f>HYPERLINK("https%3A%2F%2Fwww.webofscience.com%2Fwos%2Fwoscc%2Ffull-record%2FWOS:001406612100001","View Full Record in Web of Science")</f>
        <v>View Full Record in Web of Science</v>
      </c>
    </row>
    <row r="512" spans="1:72" x14ac:dyDescent="0.2">
      <c r="A512" t="s">
        <v>72</v>
      </c>
      <c r="B512" t="s">
        <v>9996</v>
      </c>
      <c r="C512" t="s">
        <v>74</v>
      </c>
      <c r="D512" t="s">
        <v>74</v>
      </c>
      <c r="E512" t="s">
        <v>74</v>
      </c>
      <c r="F512" t="s">
        <v>9997</v>
      </c>
      <c r="G512" t="s">
        <v>74</v>
      </c>
      <c r="H512" t="s">
        <v>74</v>
      </c>
      <c r="I512" t="s">
        <v>9998</v>
      </c>
      <c r="J512" t="s">
        <v>762</v>
      </c>
      <c r="K512" t="s">
        <v>74</v>
      </c>
      <c r="L512" t="s">
        <v>74</v>
      </c>
      <c r="M512" t="s">
        <v>78</v>
      </c>
      <c r="N512" t="s">
        <v>79</v>
      </c>
      <c r="O512" t="s">
        <v>74</v>
      </c>
      <c r="P512" t="s">
        <v>74</v>
      </c>
      <c r="Q512" t="s">
        <v>74</v>
      </c>
      <c r="R512" t="s">
        <v>74</v>
      </c>
      <c r="S512" t="s">
        <v>74</v>
      </c>
      <c r="T512" t="s">
        <v>9999</v>
      </c>
      <c r="U512" t="s">
        <v>10000</v>
      </c>
      <c r="V512" t="s">
        <v>10001</v>
      </c>
      <c r="W512" t="s">
        <v>10002</v>
      </c>
      <c r="X512" t="s">
        <v>745</v>
      </c>
      <c r="Y512" t="s">
        <v>10003</v>
      </c>
      <c r="Z512" t="s">
        <v>10004</v>
      </c>
      <c r="AA512" t="s">
        <v>10005</v>
      </c>
      <c r="AB512" t="s">
        <v>10006</v>
      </c>
      <c r="AC512" t="s">
        <v>10007</v>
      </c>
      <c r="AD512" t="s">
        <v>10007</v>
      </c>
      <c r="AE512" t="s">
        <v>10008</v>
      </c>
      <c r="AF512" t="s">
        <v>74</v>
      </c>
      <c r="AG512">
        <v>48</v>
      </c>
      <c r="AH512">
        <v>43</v>
      </c>
      <c r="AI512">
        <v>50</v>
      </c>
      <c r="AJ512">
        <v>2</v>
      </c>
      <c r="AK512">
        <v>27</v>
      </c>
      <c r="AL512" t="s">
        <v>775</v>
      </c>
      <c r="AM512" t="s">
        <v>776</v>
      </c>
      <c r="AN512" t="s">
        <v>777</v>
      </c>
      <c r="AO512" t="s">
        <v>778</v>
      </c>
      <c r="AP512" t="s">
        <v>74</v>
      </c>
      <c r="AQ512" t="s">
        <v>74</v>
      </c>
      <c r="AR512" t="s">
        <v>779</v>
      </c>
      <c r="AS512" t="s">
        <v>780</v>
      </c>
      <c r="AT512" t="s">
        <v>1963</v>
      </c>
      <c r="AU512">
        <v>2020</v>
      </c>
      <c r="AV512">
        <v>15</v>
      </c>
      <c r="AW512">
        <v>9</v>
      </c>
      <c r="AX512" t="s">
        <v>74</v>
      </c>
      <c r="AY512" t="s">
        <v>74</v>
      </c>
      <c r="AZ512" t="s">
        <v>74</v>
      </c>
      <c r="BA512" t="s">
        <v>74</v>
      </c>
      <c r="BB512" t="s">
        <v>74</v>
      </c>
      <c r="BC512" t="s">
        <v>74</v>
      </c>
      <c r="BD512">
        <v>94075</v>
      </c>
      <c r="BE512" t="s">
        <v>10009</v>
      </c>
      <c r="BF512" t="str">
        <f>HYPERLINK("http://dx.doi.org/10.1088/1748-9326/aba137","http://dx.doi.org/10.1088/1748-9326/aba137")</f>
        <v>http://dx.doi.org/10.1088/1748-9326/aba137</v>
      </c>
      <c r="BG512" t="s">
        <v>74</v>
      </c>
      <c r="BH512" t="s">
        <v>74</v>
      </c>
      <c r="BI512">
        <v>11</v>
      </c>
      <c r="BJ512" t="s">
        <v>782</v>
      </c>
      <c r="BK512" t="s">
        <v>102</v>
      </c>
      <c r="BL512" t="s">
        <v>783</v>
      </c>
      <c r="BM512" t="s">
        <v>10010</v>
      </c>
      <c r="BN512" t="s">
        <v>74</v>
      </c>
      <c r="BO512" t="s">
        <v>231</v>
      </c>
      <c r="BP512" t="s">
        <v>74</v>
      </c>
      <c r="BQ512" t="s">
        <v>74</v>
      </c>
      <c r="BR512" t="s">
        <v>106</v>
      </c>
      <c r="BS512" t="s">
        <v>10011</v>
      </c>
      <c r="BT512" t="str">
        <f>HYPERLINK("https%3A%2F%2Fwww.webofscience.com%2Fwos%2Fwoscc%2Ffull-record%2FWOS:000570718500001","View Full Record in Web of Science")</f>
        <v>View Full Record in Web of Science</v>
      </c>
    </row>
    <row r="513" spans="1:72" x14ac:dyDescent="0.2">
      <c r="A513" t="s">
        <v>72</v>
      </c>
      <c r="B513" t="s">
        <v>10012</v>
      </c>
      <c r="C513" t="s">
        <v>74</v>
      </c>
      <c r="D513" t="s">
        <v>74</v>
      </c>
      <c r="E513" t="s">
        <v>74</v>
      </c>
      <c r="F513" t="s">
        <v>10013</v>
      </c>
      <c r="G513" t="s">
        <v>74</v>
      </c>
      <c r="H513" t="s">
        <v>74</v>
      </c>
      <c r="I513" t="s">
        <v>10014</v>
      </c>
      <c r="J513" t="s">
        <v>4154</v>
      </c>
      <c r="K513" t="s">
        <v>74</v>
      </c>
      <c r="L513" t="s">
        <v>74</v>
      </c>
      <c r="M513" t="s">
        <v>78</v>
      </c>
      <c r="N513" t="s">
        <v>79</v>
      </c>
      <c r="O513" t="s">
        <v>74</v>
      </c>
      <c r="P513" t="s">
        <v>74</v>
      </c>
      <c r="Q513" t="s">
        <v>74</v>
      </c>
      <c r="R513" t="s">
        <v>74</v>
      </c>
      <c r="S513" t="s">
        <v>74</v>
      </c>
      <c r="T513" t="s">
        <v>74</v>
      </c>
      <c r="U513" t="s">
        <v>10015</v>
      </c>
      <c r="V513" t="s">
        <v>10016</v>
      </c>
      <c r="W513" t="s">
        <v>10017</v>
      </c>
      <c r="X513" t="s">
        <v>10018</v>
      </c>
      <c r="Y513" t="s">
        <v>10019</v>
      </c>
      <c r="Z513" t="s">
        <v>10020</v>
      </c>
      <c r="AA513" t="s">
        <v>10021</v>
      </c>
      <c r="AB513" t="s">
        <v>10022</v>
      </c>
      <c r="AC513" t="s">
        <v>10023</v>
      </c>
      <c r="AD513" t="s">
        <v>10024</v>
      </c>
      <c r="AE513" t="s">
        <v>10025</v>
      </c>
      <c r="AF513" t="s">
        <v>74</v>
      </c>
      <c r="AG513">
        <v>66</v>
      </c>
      <c r="AH513">
        <v>371</v>
      </c>
      <c r="AI513">
        <v>435</v>
      </c>
      <c r="AJ513">
        <v>56</v>
      </c>
      <c r="AK513">
        <v>910</v>
      </c>
      <c r="AL513" t="s">
        <v>4166</v>
      </c>
      <c r="AM513" t="s">
        <v>531</v>
      </c>
      <c r="AN513" t="s">
        <v>4167</v>
      </c>
      <c r="AO513" t="s">
        <v>4168</v>
      </c>
      <c r="AP513" t="s">
        <v>4169</v>
      </c>
      <c r="AQ513" t="s">
        <v>74</v>
      </c>
      <c r="AR513" t="s">
        <v>4170</v>
      </c>
      <c r="AS513" t="s">
        <v>4171</v>
      </c>
      <c r="AT513" t="s">
        <v>9369</v>
      </c>
      <c r="AU513">
        <v>2017</v>
      </c>
      <c r="AV513">
        <v>51</v>
      </c>
      <c r="AW513">
        <v>13</v>
      </c>
      <c r="AX513" t="s">
        <v>74</v>
      </c>
      <c r="AY513" t="s">
        <v>74</v>
      </c>
      <c r="AZ513" t="s">
        <v>74</v>
      </c>
      <c r="BA513" t="s">
        <v>74</v>
      </c>
      <c r="BB513">
        <v>7450</v>
      </c>
      <c r="BC513">
        <v>7457</v>
      </c>
      <c r="BD513" t="s">
        <v>74</v>
      </c>
      <c r="BE513" t="s">
        <v>10026</v>
      </c>
      <c r="BF513" t="str">
        <f>HYPERLINK("http://dx.doi.org/10.1021/acs.est.6b06470","http://dx.doi.org/10.1021/acs.est.6b06470")</f>
        <v>http://dx.doi.org/10.1021/acs.est.6b06470</v>
      </c>
      <c r="BG513" t="s">
        <v>74</v>
      </c>
      <c r="BH513" t="s">
        <v>74</v>
      </c>
      <c r="BI513">
        <v>8</v>
      </c>
      <c r="BJ513" t="s">
        <v>340</v>
      </c>
      <c r="BK513" t="s">
        <v>102</v>
      </c>
      <c r="BL513" t="s">
        <v>341</v>
      </c>
      <c r="BM513" t="s">
        <v>10027</v>
      </c>
      <c r="BN513">
        <v>28574704</v>
      </c>
      <c r="BO513" t="s">
        <v>74</v>
      </c>
      <c r="BP513" t="s">
        <v>4815</v>
      </c>
      <c r="BQ513" t="s">
        <v>4816</v>
      </c>
      <c r="BR513" t="s">
        <v>106</v>
      </c>
      <c r="BS513" t="s">
        <v>10028</v>
      </c>
      <c r="BT513" t="str">
        <f>HYPERLINK("https%3A%2F%2Fwww.webofscience.com%2Fwos%2Fwoscc%2Ffull-record%2FWOS:000405056200017","View Full Record in Web of Science")</f>
        <v>View Full Record in Web of Science</v>
      </c>
    </row>
    <row r="514" spans="1:72" x14ac:dyDescent="0.2">
      <c r="A514" t="s">
        <v>72</v>
      </c>
      <c r="B514" t="s">
        <v>10029</v>
      </c>
      <c r="C514" t="s">
        <v>74</v>
      </c>
      <c r="D514" t="s">
        <v>74</v>
      </c>
      <c r="E514" t="s">
        <v>74</v>
      </c>
      <c r="F514" t="s">
        <v>10030</v>
      </c>
      <c r="G514" t="s">
        <v>74</v>
      </c>
      <c r="H514" t="s">
        <v>74</v>
      </c>
      <c r="I514" t="s">
        <v>10031</v>
      </c>
      <c r="J514" t="s">
        <v>10032</v>
      </c>
      <c r="K514" t="s">
        <v>74</v>
      </c>
      <c r="L514" t="s">
        <v>74</v>
      </c>
      <c r="M514" t="s">
        <v>78</v>
      </c>
      <c r="N514" t="s">
        <v>79</v>
      </c>
      <c r="O514" t="s">
        <v>74</v>
      </c>
      <c r="P514" t="s">
        <v>74</v>
      </c>
      <c r="Q514" t="s">
        <v>74</v>
      </c>
      <c r="R514" t="s">
        <v>74</v>
      </c>
      <c r="S514" t="s">
        <v>74</v>
      </c>
      <c r="T514" t="s">
        <v>74</v>
      </c>
      <c r="U514" t="s">
        <v>10033</v>
      </c>
      <c r="V514" t="s">
        <v>10034</v>
      </c>
      <c r="W514" t="s">
        <v>10035</v>
      </c>
      <c r="X514" t="s">
        <v>10036</v>
      </c>
      <c r="Y514" t="s">
        <v>10037</v>
      </c>
      <c r="Z514" t="s">
        <v>10038</v>
      </c>
      <c r="AA514" t="s">
        <v>10039</v>
      </c>
      <c r="AB514" t="s">
        <v>10040</v>
      </c>
      <c r="AC514" t="s">
        <v>10041</v>
      </c>
      <c r="AD514" t="s">
        <v>10042</v>
      </c>
      <c r="AE514" t="s">
        <v>10043</v>
      </c>
      <c r="AF514" t="s">
        <v>74</v>
      </c>
      <c r="AG514">
        <v>75</v>
      </c>
      <c r="AH514">
        <v>30</v>
      </c>
      <c r="AI514">
        <v>34</v>
      </c>
      <c r="AJ514">
        <v>4</v>
      </c>
      <c r="AK514">
        <v>45</v>
      </c>
      <c r="AL514" t="s">
        <v>3289</v>
      </c>
      <c r="AM514" t="s">
        <v>3290</v>
      </c>
      <c r="AN514" t="s">
        <v>3291</v>
      </c>
      <c r="AO514" t="s">
        <v>10044</v>
      </c>
      <c r="AP514" t="s">
        <v>10045</v>
      </c>
      <c r="AQ514" t="s">
        <v>74</v>
      </c>
      <c r="AR514" t="s">
        <v>10046</v>
      </c>
      <c r="AS514" t="s">
        <v>10047</v>
      </c>
      <c r="AT514" t="s">
        <v>7184</v>
      </c>
      <c r="AU514">
        <v>2020</v>
      </c>
      <c r="AV514">
        <v>20</v>
      </c>
      <c r="AW514">
        <v>3</v>
      </c>
      <c r="AX514" t="s">
        <v>74</v>
      </c>
      <c r="AY514" t="s">
        <v>74</v>
      </c>
      <c r="AZ514" t="s">
        <v>74</v>
      </c>
      <c r="BA514" t="s">
        <v>74</v>
      </c>
      <c r="BB514">
        <v>1641</v>
      </c>
      <c r="BC514">
        <v>1656</v>
      </c>
      <c r="BD514" t="s">
        <v>74</v>
      </c>
      <c r="BE514" t="s">
        <v>10048</v>
      </c>
      <c r="BF514" t="str">
        <f>HYPERLINK("http://dx.doi.org/10.5194/acp-20-1641-2020","http://dx.doi.org/10.5194/acp-20-1641-2020")</f>
        <v>http://dx.doi.org/10.5194/acp-20-1641-2020</v>
      </c>
      <c r="BG514" t="s">
        <v>74</v>
      </c>
      <c r="BH514" t="s">
        <v>74</v>
      </c>
      <c r="BI514">
        <v>16</v>
      </c>
      <c r="BJ514" t="s">
        <v>782</v>
      </c>
      <c r="BK514" t="s">
        <v>102</v>
      </c>
      <c r="BL514" t="s">
        <v>783</v>
      </c>
      <c r="BM514" t="s">
        <v>10049</v>
      </c>
      <c r="BN514" t="s">
        <v>74</v>
      </c>
      <c r="BO514" t="s">
        <v>161</v>
      </c>
      <c r="BP514" t="s">
        <v>74</v>
      </c>
      <c r="BQ514" t="s">
        <v>74</v>
      </c>
      <c r="BR514" t="s">
        <v>106</v>
      </c>
      <c r="BS514" t="s">
        <v>10050</v>
      </c>
      <c r="BT514" t="str">
        <f>HYPERLINK("https%3A%2F%2Fwww.webofscience.com%2Fwos%2Fwoscc%2Ffull-record%2FWOS:000514114700003","View Full Record in Web of Science")</f>
        <v>View Full Record in Web of Science</v>
      </c>
    </row>
    <row r="515" spans="1:72" x14ac:dyDescent="0.2">
      <c r="A515" t="s">
        <v>72</v>
      </c>
      <c r="B515" t="s">
        <v>10051</v>
      </c>
      <c r="C515" t="s">
        <v>74</v>
      </c>
      <c r="D515" t="s">
        <v>74</v>
      </c>
      <c r="E515" t="s">
        <v>74</v>
      </c>
      <c r="F515" t="s">
        <v>10052</v>
      </c>
      <c r="G515" t="s">
        <v>74</v>
      </c>
      <c r="H515" t="s">
        <v>74</v>
      </c>
      <c r="I515" t="s">
        <v>10053</v>
      </c>
      <c r="J515" t="s">
        <v>468</v>
      </c>
      <c r="K515" t="s">
        <v>74</v>
      </c>
      <c r="L515" t="s">
        <v>74</v>
      </c>
      <c r="M515" t="s">
        <v>78</v>
      </c>
      <c r="N515" t="s">
        <v>79</v>
      </c>
      <c r="O515" t="s">
        <v>74</v>
      </c>
      <c r="P515" t="s">
        <v>74</v>
      </c>
      <c r="Q515" t="s">
        <v>74</v>
      </c>
      <c r="R515" t="s">
        <v>74</v>
      </c>
      <c r="S515" t="s">
        <v>74</v>
      </c>
      <c r="T515" t="s">
        <v>10054</v>
      </c>
      <c r="U515" t="s">
        <v>1620</v>
      </c>
      <c r="V515" t="s">
        <v>10055</v>
      </c>
      <c r="W515" t="s">
        <v>10056</v>
      </c>
      <c r="X515" t="s">
        <v>10057</v>
      </c>
      <c r="Y515" t="s">
        <v>10058</v>
      </c>
      <c r="Z515" t="s">
        <v>10059</v>
      </c>
      <c r="AA515" t="s">
        <v>74</v>
      </c>
      <c r="AB515" t="s">
        <v>10060</v>
      </c>
      <c r="AC515" t="s">
        <v>10061</v>
      </c>
      <c r="AD515" t="s">
        <v>10062</v>
      </c>
      <c r="AE515" t="s">
        <v>10063</v>
      </c>
      <c r="AF515" t="s">
        <v>74</v>
      </c>
      <c r="AG515">
        <v>35</v>
      </c>
      <c r="AH515">
        <v>0</v>
      </c>
      <c r="AI515">
        <v>0</v>
      </c>
      <c r="AJ515">
        <v>5</v>
      </c>
      <c r="AK515">
        <v>5</v>
      </c>
      <c r="AL515" t="s">
        <v>222</v>
      </c>
      <c r="AM515" t="s">
        <v>223</v>
      </c>
      <c r="AN515" t="s">
        <v>478</v>
      </c>
      <c r="AO515" t="s">
        <v>74</v>
      </c>
      <c r="AP515" t="s">
        <v>479</v>
      </c>
      <c r="AQ515" t="s">
        <v>74</v>
      </c>
      <c r="AR515" t="s">
        <v>480</v>
      </c>
      <c r="AS515" t="s">
        <v>481</v>
      </c>
      <c r="AT515" t="s">
        <v>731</v>
      </c>
      <c r="AU515">
        <v>2025</v>
      </c>
      <c r="AV515">
        <v>17</v>
      </c>
      <c r="AW515">
        <v>14</v>
      </c>
      <c r="AX515" t="s">
        <v>74</v>
      </c>
      <c r="AY515" t="s">
        <v>74</v>
      </c>
      <c r="AZ515" t="s">
        <v>74</v>
      </c>
      <c r="BA515" t="s">
        <v>74</v>
      </c>
      <c r="BB515" t="s">
        <v>74</v>
      </c>
      <c r="BC515" t="s">
        <v>74</v>
      </c>
      <c r="BD515">
        <v>6537</v>
      </c>
      <c r="BE515" t="s">
        <v>10064</v>
      </c>
      <c r="BF515" t="str">
        <f>HYPERLINK("http://dx.doi.org/10.3390/su17146537","http://dx.doi.org/10.3390/su17146537")</f>
        <v>http://dx.doi.org/10.3390/su17146537</v>
      </c>
      <c r="BG515" t="s">
        <v>74</v>
      </c>
      <c r="BH515" t="s">
        <v>74</v>
      </c>
      <c r="BI515">
        <v>19</v>
      </c>
      <c r="BJ515" t="s">
        <v>484</v>
      </c>
      <c r="BK515" t="s">
        <v>186</v>
      </c>
      <c r="BL515" t="s">
        <v>485</v>
      </c>
      <c r="BM515" t="s">
        <v>10065</v>
      </c>
      <c r="BN515" t="s">
        <v>74</v>
      </c>
      <c r="BO515" t="s">
        <v>231</v>
      </c>
      <c r="BP515" t="s">
        <v>74</v>
      </c>
      <c r="BQ515" t="s">
        <v>74</v>
      </c>
      <c r="BR515" t="s">
        <v>106</v>
      </c>
      <c r="BS515" t="s">
        <v>10066</v>
      </c>
      <c r="BT515" t="str">
        <f>HYPERLINK("https%3A%2F%2Fwww.webofscience.com%2Fwos%2Fwoscc%2Ffull-record%2FWOS:001535945500001","View Full Record in Web of Science")</f>
        <v>View Full Record in Web of Science</v>
      </c>
    </row>
    <row r="516" spans="1:72" x14ac:dyDescent="0.2">
      <c r="A516" t="s">
        <v>72</v>
      </c>
      <c r="B516" t="s">
        <v>10067</v>
      </c>
      <c r="C516" t="s">
        <v>74</v>
      </c>
      <c r="D516" t="s">
        <v>74</v>
      </c>
      <c r="E516" t="s">
        <v>74</v>
      </c>
      <c r="F516" t="s">
        <v>10068</v>
      </c>
      <c r="G516" t="s">
        <v>74</v>
      </c>
      <c r="H516" t="s">
        <v>74</v>
      </c>
      <c r="I516" t="s">
        <v>10069</v>
      </c>
      <c r="J516" t="s">
        <v>10070</v>
      </c>
      <c r="K516" t="s">
        <v>74</v>
      </c>
      <c r="L516" t="s">
        <v>74</v>
      </c>
      <c r="M516" t="s">
        <v>78</v>
      </c>
      <c r="N516" t="s">
        <v>79</v>
      </c>
      <c r="O516" t="s">
        <v>74</v>
      </c>
      <c r="P516" t="s">
        <v>74</v>
      </c>
      <c r="Q516" t="s">
        <v>74</v>
      </c>
      <c r="R516" t="s">
        <v>74</v>
      </c>
      <c r="S516" t="s">
        <v>74</v>
      </c>
      <c r="T516" t="s">
        <v>10071</v>
      </c>
      <c r="U516" t="s">
        <v>10072</v>
      </c>
      <c r="V516" t="s">
        <v>10073</v>
      </c>
      <c r="W516" t="s">
        <v>10074</v>
      </c>
      <c r="X516" t="s">
        <v>10075</v>
      </c>
      <c r="Y516" t="s">
        <v>10076</v>
      </c>
      <c r="Z516" t="s">
        <v>10077</v>
      </c>
      <c r="AA516" t="s">
        <v>10078</v>
      </c>
      <c r="AB516" t="s">
        <v>74</v>
      </c>
      <c r="AC516" t="s">
        <v>74</v>
      </c>
      <c r="AD516" t="s">
        <v>74</v>
      </c>
      <c r="AE516" t="s">
        <v>74</v>
      </c>
      <c r="AF516" t="s">
        <v>74</v>
      </c>
      <c r="AG516">
        <v>25</v>
      </c>
      <c r="AH516">
        <v>7</v>
      </c>
      <c r="AI516">
        <v>7</v>
      </c>
      <c r="AJ516">
        <v>0</v>
      </c>
      <c r="AK516">
        <v>21</v>
      </c>
      <c r="AL516" t="s">
        <v>10079</v>
      </c>
      <c r="AM516" t="s">
        <v>10080</v>
      </c>
      <c r="AN516" t="s">
        <v>10081</v>
      </c>
      <c r="AO516" t="s">
        <v>10082</v>
      </c>
      <c r="AP516" t="s">
        <v>10083</v>
      </c>
      <c r="AQ516" t="s">
        <v>74</v>
      </c>
      <c r="AR516" t="s">
        <v>10084</v>
      </c>
      <c r="AS516" t="s">
        <v>10085</v>
      </c>
      <c r="AT516" t="s">
        <v>4005</v>
      </c>
      <c r="AU516">
        <v>2023</v>
      </c>
      <c r="AV516">
        <v>30</v>
      </c>
      <c r="AW516">
        <v>4</v>
      </c>
      <c r="AX516" t="s">
        <v>74</v>
      </c>
      <c r="AY516" t="s">
        <v>74</v>
      </c>
      <c r="AZ516" t="s">
        <v>74</v>
      </c>
      <c r="BA516" t="s">
        <v>74</v>
      </c>
      <c r="BB516">
        <v>581</v>
      </c>
      <c r="BC516">
        <v>593</v>
      </c>
      <c r="BD516" t="s">
        <v>74</v>
      </c>
      <c r="BE516" t="s">
        <v>10086</v>
      </c>
      <c r="BF516" t="str">
        <f>HYPERLINK("http://dx.doi.org/10.2478/eces-2023-0042","http://dx.doi.org/10.2478/eces-2023-0042")</f>
        <v>http://dx.doi.org/10.2478/eces-2023-0042</v>
      </c>
      <c r="BG516" t="s">
        <v>74</v>
      </c>
      <c r="BH516" t="s">
        <v>4584</v>
      </c>
      <c r="BI516">
        <v>13</v>
      </c>
      <c r="BJ516" t="s">
        <v>567</v>
      </c>
      <c r="BK516" t="s">
        <v>102</v>
      </c>
      <c r="BL516" t="s">
        <v>568</v>
      </c>
      <c r="BM516" t="s">
        <v>10087</v>
      </c>
      <c r="BN516" t="s">
        <v>74</v>
      </c>
      <c r="BO516" t="s">
        <v>231</v>
      </c>
      <c r="BP516" t="s">
        <v>74</v>
      </c>
      <c r="BQ516" t="s">
        <v>74</v>
      </c>
      <c r="BR516" t="s">
        <v>106</v>
      </c>
      <c r="BS516" t="s">
        <v>10088</v>
      </c>
      <c r="BT516" t="str">
        <f>HYPERLINK("https%3A%2F%2Fwww.webofscience.com%2Fwos%2Fwoscc%2Ffull-record%2FWOS:001103379800001","View Full Record in Web of Science")</f>
        <v>View Full Record in Web of Science</v>
      </c>
    </row>
    <row r="517" spans="1:72" x14ac:dyDescent="0.2">
      <c r="A517" t="s">
        <v>72</v>
      </c>
      <c r="B517" t="s">
        <v>10089</v>
      </c>
      <c r="C517" t="s">
        <v>74</v>
      </c>
      <c r="D517" t="s">
        <v>74</v>
      </c>
      <c r="E517" t="s">
        <v>74</v>
      </c>
      <c r="F517" t="s">
        <v>10090</v>
      </c>
      <c r="G517" t="s">
        <v>74</v>
      </c>
      <c r="H517" t="s">
        <v>74</v>
      </c>
      <c r="I517" t="s">
        <v>10091</v>
      </c>
      <c r="J517" t="s">
        <v>921</v>
      </c>
      <c r="K517" t="s">
        <v>74</v>
      </c>
      <c r="L517" t="s">
        <v>74</v>
      </c>
      <c r="M517" t="s">
        <v>78</v>
      </c>
      <c r="N517" t="s">
        <v>79</v>
      </c>
      <c r="O517" t="s">
        <v>74</v>
      </c>
      <c r="P517" t="s">
        <v>74</v>
      </c>
      <c r="Q517" t="s">
        <v>74</v>
      </c>
      <c r="R517" t="s">
        <v>74</v>
      </c>
      <c r="S517" t="s">
        <v>74</v>
      </c>
      <c r="T517" t="s">
        <v>10092</v>
      </c>
      <c r="U517" t="s">
        <v>10093</v>
      </c>
      <c r="V517" t="s">
        <v>10094</v>
      </c>
      <c r="W517" t="s">
        <v>10095</v>
      </c>
      <c r="X517" t="s">
        <v>10096</v>
      </c>
      <c r="Y517" t="s">
        <v>10097</v>
      </c>
      <c r="Z517" t="s">
        <v>10098</v>
      </c>
      <c r="AA517" t="s">
        <v>10099</v>
      </c>
      <c r="AB517" t="s">
        <v>10100</v>
      </c>
      <c r="AC517" t="s">
        <v>10101</v>
      </c>
      <c r="AD517" t="s">
        <v>10102</v>
      </c>
      <c r="AE517" t="s">
        <v>10103</v>
      </c>
      <c r="AF517" t="s">
        <v>74</v>
      </c>
      <c r="AG517">
        <v>71</v>
      </c>
      <c r="AH517">
        <v>52</v>
      </c>
      <c r="AI517">
        <v>56</v>
      </c>
      <c r="AJ517">
        <v>1</v>
      </c>
      <c r="AK517">
        <v>216</v>
      </c>
      <c r="AL517" t="s">
        <v>934</v>
      </c>
      <c r="AM517" t="s">
        <v>177</v>
      </c>
      <c r="AN517" t="s">
        <v>935</v>
      </c>
      <c r="AO517" t="s">
        <v>936</v>
      </c>
      <c r="AP517" t="s">
        <v>937</v>
      </c>
      <c r="AQ517" t="s">
        <v>74</v>
      </c>
      <c r="AR517" t="s">
        <v>938</v>
      </c>
      <c r="AS517" t="s">
        <v>939</v>
      </c>
      <c r="AT517" t="s">
        <v>183</v>
      </c>
      <c r="AU517">
        <v>2018</v>
      </c>
      <c r="AV517">
        <v>122</v>
      </c>
      <c r="AW517" t="s">
        <v>74</v>
      </c>
      <c r="AX517" t="s">
        <v>74</v>
      </c>
      <c r="AY517" t="s">
        <v>74</v>
      </c>
      <c r="AZ517" t="s">
        <v>74</v>
      </c>
      <c r="BA517" t="s">
        <v>74</v>
      </c>
      <c r="BB517">
        <v>186</v>
      </c>
      <c r="BC517">
        <v>195</v>
      </c>
      <c r="BD517" t="s">
        <v>74</v>
      </c>
      <c r="BE517" t="s">
        <v>10104</v>
      </c>
      <c r="BF517" t="str">
        <f>HYPERLINK("http://dx.doi.org/10.1016/j.soilbio.2018.04.006","http://dx.doi.org/10.1016/j.soilbio.2018.04.006")</f>
        <v>http://dx.doi.org/10.1016/j.soilbio.2018.04.006</v>
      </c>
      <c r="BG517" t="s">
        <v>74</v>
      </c>
      <c r="BH517" t="s">
        <v>74</v>
      </c>
      <c r="BI517">
        <v>10</v>
      </c>
      <c r="BJ517" t="s">
        <v>256</v>
      </c>
      <c r="BK517" t="s">
        <v>102</v>
      </c>
      <c r="BL517" t="s">
        <v>103</v>
      </c>
      <c r="BM517" t="s">
        <v>10105</v>
      </c>
      <c r="BN517" t="s">
        <v>74</v>
      </c>
      <c r="BO517" t="s">
        <v>105</v>
      </c>
      <c r="BP517" t="s">
        <v>74</v>
      </c>
      <c r="BQ517" t="s">
        <v>74</v>
      </c>
      <c r="BR517" t="s">
        <v>106</v>
      </c>
      <c r="BS517" t="s">
        <v>10106</v>
      </c>
      <c r="BT517" t="str">
        <f>HYPERLINK("https%3A%2F%2Fwww.webofscience.com%2Fwos%2Fwoscc%2Ffull-record%2FWOS:000435053800020","View Full Record in Web of Science")</f>
        <v>View Full Record in Web of Science</v>
      </c>
    </row>
    <row r="518" spans="1:72" x14ac:dyDescent="0.2">
      <c r="A518" t="s">
        <v>72</v>
      </c>
      <c r="B518" t="s">
        <v>10107</v>
      </c>
      <c r="C518" t="s">
        <v>74</v>
      </c>
      <c r="D518" t="s">
        <v>74</v>
      </c>
      <c r="E518" t="s">
        <v>74</v>
      </c>
      <c r="F518" t="s">
        <v>10108</v>
      </c>
      <c r="G518" t="s">
        <v>74</v>
      </c>
      <c r="H518" t="s">
        <v>74</v>
      </c>
      <c r="I518" t="s">
        <v>10109</v>
      </c>
      <c r="J518" t="s">
        <v>848</v>
      </c>
      <c r="K518" t="s">
        <v>74</v>
      </c>
      <c r="L518" t="s">
        <v>74</v>
      </c>
      <c r="M518" t="s">
        <v>78</v>
      </c>
      <c r="N518" t="s">
        <v>79</v>
      </c>
      <c r="O518" t="s">
        <v>74</v>
      </c>
      <c r="P518" t="s">
        <v>74</v>
      </c>
      <c r="Q518" t="s">
        <v>74</v>
      </c>
      <c r="R518" t="s">
        <v>74</v>
      </c>
      <c r="S518" t="s">
        <v>74</v>
      </c>
      <c r="T518" t="s">
        <v>10110</v>
      </c>
      <c r="U518" t="s">
        <v>10111</v>
      </c>
      <c r="V518" t="s">
        <v>10112</v>
      </c>
      <c r="W518" t="s">
        <v>10113</v>
      </c>
      <c r="X518" t="s">
        <v>10114</v>
      </c>
      <c r="Y518" t="s">
        <v>10115</v>
      </c>
      <c r="Z518" t="s">
        <v>10116</v>
      </c>
      <c r="AA518" t="s">
        <v>10117</v>
      </c>
      <c r="AB518" t="s">
        <v>74</v>
      </c>
      <c r="AC518" t="s">
        <v>10118</v>
      </c>
      <c r="AD518" t="s">
        <v>10119</v>
      </c>
      <c r="AE518" t="s">
        <v>10120</v>
      </c>
      <c r="AF518" t="s">
        <v>74</v>
      </c>
      <c r="AG518">
        <v>104</v>
      </c>
      <c r="AH518">
        <v>3</v>
      </c>
      <c r="AI518">
        <v>5</v>
      </c>
      <c r="AJ518">
        <v>5</v>
      </c>
      <c r="AK518">
        <v>10</v>
      </c>
      <c r="AL518" t="s">
        <v>655</v>
      </c>
      <c r="AM518" t="s">
        <v>405</v>
      </c>
      <c r="AN518" t="s">
        <v>656</v>
      </c>
      <c r="AO518" t="s">
        <v>74</v>
      </c>
      <c r="AP518" t="s">
        <v>859</v>
      </c>
      <c r="AQ518" t="s">
        <v>74</v>
      </c>
      <c r="AR518" t="s">
        <v>860</v>
      </c>
      <c r="AS518" t="s">
        <v>861</v>
      </c>
      <c r="AT518" t="s">
        <v>10121</v>
      </c>
      <c r="AU518">
        <v>2024</v>
      </c>
      <c r="AV518">
        <v>8</v>
      </c>
      <c r="AW518" t="s">
        <v>74</v>
      </c>
      <c r="AX518" t="s">
        <v>74</v>
      </c>
      <c r="AY518" t="s">
        <v>74</v>
      </c>
      <c r="AZ518" t="s">
        <v>74</v>
      </c>
      <c r="BA518" t="s">
        <v>74</v>
      </c>
      <c r="BB518" t="s">
        <v>74</v>
      </c>
      <c r="BC518" t="s">
        <v>74</v>
      </c>
      <c r="BD518">
        <v>1481005</v>
      </c>
      <c r="BE518" t="s">
        <v>10122</v>
      </c>
      <c r="BF518" t="str">
        <f>HYPERLINK("http://dx.doi.org/10.3389/fsufs.2024.1481005","http://dx.doi.org/10.3389/fsufs.2024.1481005")</f>
        <v>http://dx.doi.org/10.3389/fsufs.2024.1481005</v>
      </c>
      <c r="BG518" t="s">
        <v>74</v>
      </c>
      <c r="BH518" t="s">
        <v>74</v>
      </c>
      <c r="BI518">
        <v>14</v>
      </c>
      <c r="BJ518" t="s">
        <v>864</v>
      </c>
      <c r="BK518" t="s">
        <v>102</v>
      </c>
      <c r="BL518" t="s">
        <v>864</v>
      </c>
      <c r="BM518" t="s">
        <v>10123</v>
      </c>
      <c r="BN518" t="s">
        <v>74</v>
      </c>
      <c r="BO518" t="s">
        <v>161</v>
      </c>
      <c r="BP518" t="s">
        <v>74</v>
      </c>
      <c r="BQ518" t="s">
        <v>74</v>
      </c>
      <c r="BR518" t="s">
        <v>106</v>
      </c>
      <c r="BS518" t="s">
        <v>10124</v>
      </c>
      <c r="BT518" t="str">
        <f>HYPERLINK("https%3A%2F%2Fwww.webofscience.com%2Fwos%2Fwoscc%2Ffull-record%2FWOS:001368960900001","View Full Record in Web of Science")</f>
        <v>View Full Record in Web of Science</v>
      </c>
    </row>
    <row r="519" spans="1:72" x14ac:dyDescent="0.2">
      <c r="A519" t="s">
        <v>72</v>
      </c>
      <c r="B519" t="s">
        <v>10125</v>
      </c>
      <c r="C519" t="s">
        <v>74</v>
      </c>
      <c r="D519" t="s">
        <v>74</v>
      </c>
      <c r="E519" t="s">
        <v>74</v>
      </c>
      <c r="F519" t="s">
        <v>10126</v>
      </c>
      <c r="G519" t="s">
        <v>74</v>
      </c>
      <c r="H519" t="s">
        <v>74</v>
      </c>
      <c r="I519" t="s">
        <v>10127</v>
      </c>
      <c r="J519" t="s">
        <v>4261</v>
      </c>
      <c r="K519" t="s">
        <v>74</v>
      </c>
      <c r="L519" t="s">
        <v>74</v>
      </c>
      <c r="M519" t="s">
        <v>78</v>
      </c>
      <c r="N519" t="s">
        <v>79</v>
      </c>
      <c r="O519" t="s">
        <v>74</v>
      </c>
      <c r="P519" t="s">
        <v>74</v>
      </c>
      <c r="Q519" t="s">
        <v>74</v>
      </c>
      <c r="R519" t="s">
        <v>74</v>
      </c>
      <c r="S519" t="s">
        <v>74</v>
      </c>
      <c r="T519" t="s">
        <v>10128</v>
      </c>
      <c r="U519" t="s">
        <v>10129</v>
      </c>
      <c r="V519" t="s">
        <v>10130</v>
      </c>
      <c r="W519" t="s">
        <v>10131</v>
      </c>
      <c r="X519" t="s">
        <v>10132</v>
      </c>
      <c r="Y519" t="s">
        <v>10133</v>
      </c>
      <c r="Z519" t="s">
        <v>10134</v>
      </c>
      <c r="AA519" t="s">
        <v>10135</v>
      </c>
      <c r="AB519" t="s">
        <v>10136</v>
      </c>
      <c r="AC519" t="s">
        <v>10137</v>
      </c>
      <c r="AD519" t="s">
        <v>10138</v>
      </c>
      <c r="AE519" t="s">
        <v>10139</v>
      </c>
      <c r="AF519" t="s">
        <v>74</v>
      </c>
      <c r="AG519">
        <v>71</v>
      </c>
      <c r="AH519">
        <v>4</v>
      </c>
      <c r="AI519">
        <v>4</v>
      </c>
      <c r="AJ519">
        <v>0</v>
      </c>
      <c r="AK519">
        <v>21</v>
      </c>
      <c r="AL519" t="s">
        <v>1242</v>
      </c>
      <c r="AM519" t="s">
        <v>1243</v>
      </c>
      <c r="AN519" t="s">
        <v>1244</v>
      </c>
      <c r="AO519" t="s">
        <v>4271</v>
      </c>
      <c r="AP519" t="s">
        <v>4272</v>
      </c>
      <c r="AQ519" t="s">
        <v>74</v>
      </c>
      <c r="AR519" t="s">
        <v>4273</v>
      </c>
      <c r="AS519" t="s">
        <v>4274</v>
      </c>
      <c r="AT519" t="s">
        <v>227</v>
      </c>
      <c r="AU519">
        <v>2018</v>
      </c>
      <c r="AV519">
        <v>18</v>
      </c>
      <c r="AW519">
        <v>1</v>
      </c>
      <c r="AX519" t="s">
        <v>74</v>
      </c>
      <c r="AY519" t="s">
        <v>74</v>
      </c>
      <c r="AZ519" t="s">
        <v>1070</v>
      </c>
      <c r="BA519" t="s">
        <v>74</v>
      </c>
      <c r="BB519">
        <v>77</v>
      </c>
      <c r="BC519">
        <v>89</v>
      </c>
      <c r="BD519" t="s">
        <v>74</v>
      </c>
      <c r="BE519" t="s">
        <v>10140</v>
      </c>
      <c r="BF519" t="str">
        <f>HYPERLINK("http://dx.doi.org/10.1007/s10113-016-1076-2","http://dx.doi.org/10.1007/s10113-016-1076-2")</f>
        <v>http://dx.doi.org/10.1007/s10113-016-1076-2</v>
      </c>
      <c r="BG519" t="s">
        <v>74</v>
      </c>
      <c r="BH519" t="s">
        <v>74</v>
      </c>
      <c r="BI519">
        <v>13</v>
      </c>
      <c r="BJ519" t="s">
        <v>593</v>
      </c>
      <c r="BK519" t="s">
        <v>186</v>
      </c>
      <c r="BL519" t="s">
        <v>568</v>
      </c>
      <c r="BM519" t="s">
        <v>4796</v>
      </c>
      <c r="BN519" t="s">
        <v>74</v>
      </c>
      <c r="BO519" t="s">
        <v>916</v>
      </c>
      <c r="BP519" t="s">
        <v>74</v>
      </c>
      <c r="BQ519" t="s">
        <v>74</v>
      </c>
      <c r="BR519" t="s">
        <v>106</v>
      </c>
      <c r="BS519" t="s">
        <v>10141</v>
      </c>
      <c r="BT519" t="str">
        <f>HYPERLINK("https%3A%2F%2Fwww.webofscience.com%2Fwos%2Fwoscc%2Ffull-record%2FWOS:000419157400007","View Full Record in Web of Science")</f>
        <v>View Full Record in Web of Science</v>
      </c>
    </row>
    <row r="520" spans="1:72" x14ac:dyDescent="0.2">
      <c r="A520" t="s">
        <v>72</v>
      </c>
      <c r="B520" t="s">
        <v>10142</v>
      </c>
      <c r="C520" t="s">
        <v>74</v>
      </c>
      <c r="D520" t="s">
        <v>74</v>
      </c>
      <c r="E520" t="s">
        <v>74</v>
      </c>
      <c r="F520" t="s">
        <v>10143</v>
      </c>
      <c r="G520" t="s">
        <v>74</v>
      </c>
      <c r="H520" t="s">
        <v>74</v>
      </c>
      <c r="I520" t="s">
        <v>10144</v>
      </c>
      <c r="J520" t="s">
        <v>2104</v>
      </c>
      <c r="K520" t="s">
        <v>74</v>
      </c>
      <c r="L520" t="s">
        <v>74</v>
      </c>
      <c r="M520" t="s">
        <v>78</v>
      </c>
      <c r="N520" t="s">
        <v>79</v>
      </c>
      <c r="O520" t="s">
        <v>74</v>
      </c>
      <c r="P520" t="s">
        <v>74</v>
      </c>
      <c r="Q520" t="s">
        <v>74</v>
      </c>
      <c r="R520" t="s">
        <v>74</v>
      </c>
      <c r="S520" t="s">
        <v>74</v>
      </c>
      <c r="T520" t="s">
        <v>10145</v>
      </c>
      <c r="U520" t="s">
        <v>10146</v>
      </c>
      <c r="V520" t="s">
        <v>10147</v>
      </c>
      <c r="W520" t="s">
        <v>10148</v>
      </c>
      <c r="X520" t="s">
        <v>10149</v>
      </c>
      <c r="Y520" t="s">
        <v>10150</v>
      </c>
      <c r="Z520" t="s">
        <v>10151</v>
      </c>
      <c r="AA520" t="s">
        <v>10152</v>
      </c>
      <c r="AB520" t="s">
        <v>10153</v>
      </c>
      <c r="AC520" t="s">
        <v>10154</v>
      </c>
      <c r="AD520" t="s">
        <v>10154</v>
      </c>
      <c r="AE520" t="s">
        <v>10155</v>
      </c>
      <c r="AF520" t="s">
        <v>74</v>
      </c>
      <c r="AG520">
        <v>71</v>
      </c>
      <c r="AH520">
        <v>24</v>
      </c>
      <c r="AI520">
        <v>24</v>
      </c>
      <c r="AJ520">
        <v>6</v>
      </c>
      <c r="AK520">
        <v>46</v>
      </c>
      <c r="AL520" t="s">
        <v>1242</v>
      </c>
      <c r="AM520" t="s">
        <v>1243</v>
      </c>
      <c r="AN520" t="s">
        <v>1244</v>
      </c>
      <c r="AO520" t="s">
        <v>2116</v>
      </c>
      <c r="AP520" t="s">
        <v>2117</v>
      </c>
      <c r="AQ520" t="s">
        <v>74</v>
      </c>
      <c r="AR520" t="s">
        <v>2118</v>
      </c>
      <c r="AS520" t="s">
        <v>2119</v>
      </c>
      <c r="AT520" t="s">
        <v>1963</v>
      </c>
      <c r="AU520">
        <v>2021</v>
      </c>
      <c r="AV520">
        <v>26</v>
      </c>
      <c r="AW520">
        <v>9</v>
      </c>
      <c r="AX520" t="s">
        <v>74</v>
      </c>
      <c r="AY520" t="s">
        <v>74</v>
      </c>
      <c r="AZ520" t="s">
        <v>74</v>
      </c>
      <c r="BA520" t="s">
        <v>74</v>
      </c>
      <c r="BB520">
        <v>1764</v>
      </c>
      <c r="BC520">
        <v>1778</v>
      </c>
      <c r="BD520" t="s">
        <v>74</v>
      </c>
      <c r="BE520" t="s">
        <v>10156</v>
      </c>
      <c r="BF520" t="str">
        <f>HYPERLINK("http://dx.doi.org/10.1007/s11367-021-01967-1","http://dx.doi.org/10.1007/s11367-021-01967-1")</f>
        <v>http://dx.doi.org/10.1007/s11367-021-01967-1</v>
      </c>
      <c r="BG520" t="s">
        <v>74</v>
      </c>
      <c r="BH520" t="s">
        <v>10157</v>
      </c>
      <c r="BI520">
        <v>15</v>
      </c>
      <c r="BJ520" t="s">
        <v>340</v>
      </c>
      <c r="BK520" t="s">
        <v>102</v>
      </c>
      <c r="BL520" t="s">
        <v>341</v>
      </c>
      <c r="BM520" t="s">
        <v>10158</v>
      </c>
      <c r="BN520" t="s">
        <v>74</v>
      </c>
      <c r="BO520" t="s">
        <v>916</v>
      </c>
      <c r="BP520" t="s">
        <v>74</v>
      </c>
      <c r="BQ520" t="s">
        <v>74</v>
      </c>
      <c r="BR520" t="s">
        <v>106</v>
      </c>
      <c r="BS520" t="s">
        <v>10159</v>
      </c>
      <c r="BT520" t="str">
        <f>HYPERLINK("https%3A%2F%2Fwww.webofscience.com%2Fwos%2Fwoscc%2Ffull-record%2FWOS:000691944100001","View Full Record in Web of Science")</f>
        <v>View Full Record in Web of Science</v>
      </c>
    </row>
    <row r="521" spans="1:72" x14ac:dyDescent="0.2">
      <c r="A521" t="s">
        <v>72</v>
      </c>
      <c r="B521" t="s">
        <v>10160</v>
      </c>
      <c r="C521" t="s">
        <v>74</v>
      </c>
      <c r="D521" t="s">
        <v>74</v>
      </c>
      <c r="E521" t="s">
        <v>74</v>
      </c>
      <c r="F521" t="s">
        <v>10161</v>
      </c>
      <c r="G521" t="s">
        <v>74</v>
      </c>
      <c r="H521" t="s">
        <v>74</v>
      </c>
      <c r="I521" t="s">
        <v>10162</v>
      </c>
      <c r="J521" t="s">
        <v>995</v>
      </c>
      <c r="K521" t="s">
        <v>74</v>
      </c>
      <c r="L521" t="s">
        <v>74</v>
      </c>
      <c r="M521" t="s">
        <v>78</v>
      </c>
      <c r="N521" t="s">
        <v>79</v>
      </c>
      <c r="O521" t="s">
        <v>74</v>
      </c>
      <c r="P521" t="s">
        <v>74</v>
      </c>
      <c r="Q521" t="s">
        <v>74</v>
      </c>
      <c r="R521" t="s">
        <v>74</v>
      </c>
      <c r="S521" t="s">
        <v>74</v>
      </c>
      <c r="T521" t="s">
        <v>10163</v>
      </c>
      <c r="U521" t="s">
        <v>10164</v>
      </c>
      <c r="V521" t="s">
        <v>10165</v>
      </c>
      <c r="W521" t="s">
        <v>10166</v>
      </c>
      <c r="X521" t="s">
        <v>10167</v>
      </c>
      <c r="Y521" t="s">
        <v>10168</v>
      </c>
      <c r="Z521" t="s">
        <v>74</v>
      </c>
      <c r="AA521" t="s">
        <v>10169</v>
      </c>
      <c r="AB521" t="s">
        <v>10170</v>
      </c>
      <c r="AC521" t="s">
        <v>10171</v>
      </c>
      <c r="AD521" t="s">
        <v>10172</v>
      </c>
      <c r="AE521" t="s">
        <v>10173</v>
      </c>
      <c r="AF521" t="s">
        <v>74</v>
      </c>
      <c r="AG521">
        <v>81</v>
      </c>
      <c r="AH521">
        <v>13</v>
      </c>
      <c r="AI521">
        <v>15</v>
      </c>
      <c r="AJ521">
        <v>61</v>
      </c>
      <c r="AK521">
        <v>253</v>
      </c>
      <c r="AL521" t="s">
        <v>123</v>
      </c>
      <c r="AM521" t="s">
        <v>124</v>
      </c>
      <c r="AN521" t="s">
        <v>125</v>
      </c>
      <c r="AO521" t="s">
        <v>1008</v>
      </c>
      <c r="AP521" t="s">
        <v>1009</v>
      </c>
      <c r="AQ521" t="s">
        <v>74</v>
      </c>
      <c r="AR521" t="s">
        <v>1010</v>
      </c>
      <c r="AS521" t="s">
        <v>1011</v>
      </c>
      <c r="AT521" t="s">
        <v>2578</v>
      </c>
      <c r="AU521">
        <v>2024</v>
      </c>
      <c r="AV521">
        <v>930</v>
      </c>
      <c r="AW521" t="s">
        <v>74</v>
      </c>
      <c r="AX521" t="s">
        <v>74</v>
      </c>
      <c r="AY521" t="s">
        <v>74</v>
      </c>
      <c r="AZ521" t="s">
        <v>74</v>
      </c>
      <c r="BA521" t="s">
        <v>74</v>
      </c>
      <c r="BB521" t="s">
        <v>74</v>
      </c>
      <c r="BC521" t="s">
        <v>74</v>
      </c>
      <c r="BD521">
        <v>172623</v>
      </c>
      <c r="BE521" t="s">
        <v>10174</v>
      </c>
      <c r="BF521" t="str">
        <f>HYPERLINK("http://dx.doi.org/10.1016/j.scitotenv.2024.172623","http://dx.doi.org/10.1016/j.scitotenv.2024.172623")</f>
        <v>http://dx.doi.org/10.1016/j.scitotenv.2024.172623</v>
      </c>
      <c r="BG521" t="s">
        <v>74</v>
      </c>
      <c r="BH521" t="s">
        <v>566</v>
      </c>
      <c r="BI521">
        <v>15</v>
      </c>
      <c r="BJ521" t="s">
        <v>567</v>
      </c>
      <c r="BK521" t="s">
        <v>102</v>
      </c>
      <c r="BL521" t="s">
        <v>568</v>
      </c>
      <c r="BM521" t="s">
        <v>10175</v>
      </c>
      <c r="BN521">
        <v>38653414</v>
      </c>
      <c r="BO521" t="s">
        <v>74</v>
      </c>
      <c r="BP521" t="s">
        <v>74</v>
      </c>
      <c r="BQ521" t="s">
        <v>74</v>
      </c>
      <c r="BR521" t="s">
        <v>106</v>
      </c>
      <c r="BS521" t="s">
        <v>10176</v>
      </c>
      <c r="BT521" t="str">
        <f>HYPERLINK("https%3A%2F%2Fwww.webofscience.com%2Fwos%2Fwoscc%2Ffull-record%2FWOS:001239181700001","View Full Record in Web of Science")</f>
        <v>View Full Record in Web of Science</v>
      </c>
    </row>
    <row r="522" spans="1:72" x14ac:dyDescent="0.2">
      <c r="A522" t="s">
        <v>72</v>
      </c>
      <c r="B522" t="s">
        <v>10177</v>
      </c>
      <c r="C522" t="s">
        <v>74</v>
      </c>
      <c r="D522" t="s">
        <v>74</v>
      </c>
      <c r="E522" t="s">
        <v>74</v>
      </c>
      <c r="F522" t="s">
        <v>10178</v>
      </c>
      <c r="G522" t="s">
        <v>74</v>
      </c>
      <c r="H522" t="s">
        <v>74</v>
      </c>
      <c r="I522" t="s">
        <v>10179</v>
      </c>
      <c r="J522" t="s">
        <v>10180</v>
      </c>
      <c r="K522" t="s">
        <v>74</v>
      </c>
      <c r="L522" t="s">
        <v>74</v>
      </c>
      <c r="M522" t="s">
        <v>78</v>
      </c>
      <c r="N522" t="s">
        <v>79</v>
      </c>
      <c r="O522" t="s">
        <v>74</v>
      </c>
      <c r="P522" t="s">
        <v>74</v>
      </c>
      <c r="Q522" t="s">
        <v>74</v>
      </c>
      <c r="R522" t="s">
        <v>74</v>
      </c>
      <c r="S522" t="s">
        <v>74</v>
      </c>
      <c r="T522" t="s">
        <v>10181</v>
      </c>
      <c r="U522" t="s">
        <v>10182</v>
      </c>
      <c r="V522" t="s">
        <v>10183</v>
      </c>
      <c r="W522" t="s">
        <v>10184</v>
      </c>
      <c r="X522" t="s">
        <v>10185</v>
      </c>
      <c r="Y522" t="s">
        <v>10186</v>
      </c>
      <c r="Z522" t="s">
        <v>10187</v>
      </c>
      <c r="AA522" t="s">
        <v>10188</v>
      </c>
      <c r="AB522" t="s">
        <v>10189</v>
      </c>
      <c r="AC522" t="s">
        <v>10190</v>
      </c>
      <c r="AD522" t="s">
        <v>10190</v>
      </c>
      <c r="AE522" t="s">
        <v>10191</v>
      </c>
      <c r="AF522" t="s">
        <v>74</v>
      </c>
      <c r="AG522">
        <v>72</v>
      </c>
      <c r="AH522">
        <v>6</v>
      </c>
      <c r="AI522">
        <v>8</v>
      </c>
      <c r="AJ522">
        <v>3</v>
      </c>
      <c r="AK522">
        <v>31</v>
      </c>
      <c r="AL522" t="s">
        <v>4471</v>
      </c>
      <c r="AM522" t="s">
        <v>4472</v>
      </c>
      <c r="AN522" t="s">
        <v>4473</v>
      </c>
      <c r="AO522" t="s">
        <v>10192</v>
      </c>
      <c r="AP522" t="s">
        <v>10193</v>
      </c>
      <c r="AQ522" t="s">
        <v>74</v>
      </c>
      <c r="AR522" t="s">
        <v>10194</v>
      </c>
      <c r="AS522" t="s">
        <v>10195</v>
      </c>
      <c r="AT522" t="s">
        <v>10196</v>
      </c>
      <c r="AU522">
        <v>2021</v>
      </c>
      <c r="AV522">
        <v>52</v>
      </c>
      <c r="AW522">
        <v>14</v>
      </c>
      <c r="AX522" t="s">
        <v>74</v>
      </c>
      <c r="AY522" t="s">
        <v>74</v>
      </c>
      <c r="AZ522" t="s">
        <v>74</v>
      </c>
      <c r="BA522" t="s">
        <v>74</v>
      </c>
      <c r="BB522">
        <v>1689</v>
      </c>
      <c r="BC522">
        <v>1705</v>
      </c>
      <c r="BD522" t="s">
        <v>74</v>
      </c>
      <c r="BE522" t="s">
        <v>10197</v>
      </c>
      <c r="BF522" t="str">
        <f>HYPERLINK("http://dx.doi.org/10.1080/00103624.2021.1892729","http://dx.doi.org/10.1080/00103624.2021.1892729")</f>
        <v>http://dx.doi.org/10.1080/00103624.2021.1892729</v>
      </c>
      <c r="BG522" t="s">
        <v>74</v>
      </c>
      <c r="BH522" t="s">
        <v>10198</v>
      </c>
      <c r="BI522">
        <v>17</v>
      </c>
      <c r="BJ522" t="s">
        <v>10199</v>
      </c>
      <c r="BK522" t="s">
        <v>102</v>
      </c>
      <c r="BL522" t="s">
        <v>10200</v>
      </c>
      <c r="BM522" t="s">
        <v>10201</v>
      </c>
      <c r="BN522" t="s">
        <v>74</v>
      </c>
      <c r="BO522" t="s">
        <v>541</v>
      </c>
      <c r="BP522" t="s">
        <v>74</v>
      </c>
      <c r="BQ522" t="s">
        <v>74</v>
      </c>
      <c r="BR522" t="s">
        <v>106</v>
      </c>
      <c r="BS522" t="s">
        <v>10202</v>
      </c>
      <c r="BT522" t="str">
        <f>HYPERLINK("https%3A%2F%2Fwww.webofscience.com%2Fwos%2Fwoscc%2Ffull-record%2FWOS:000627240400001","View Full Record in Web of Science")</f>
        <v>View Full Record in Web of Science</v>
      </c>
    </row>
    <row r="523" spans="1:72" x14ac:dyDescent="0.2">
      <c r="A523" t="s">
        <v>72</v>
      </c>
      <c r="B523" t="s">
        <v>10203</v>
      </c>
      <c r="C523" t="s">
        <v>74</v>
      </c>
      <c r="D523" t="s">
        <v>74</v>
      </c>
      <c r="E523" t="s">
        <v>74</v>
      </c>
      <c r="F523" t="s">
        <v>10204</v>
      </c>
      <c r="G523" t="s">
        <v>74</v>
      </c>
      <c r="H523" t="s">
        <v>74</v>
      </c>
      <c r="I523" t="s">
        <v>10205</v>
      </c>
      <c r="J523" t="s">
        <v>1526</v>
      </c>
      <c r="K523" t="s">
        <v>74</v>
      </c>
      <c r="L523" t="s">
        <v>74</v>
      </c>
      <c r="M523" t="s">
        <v>78</v>
      </c>
      <c r="N523" t="s">
        <v>79</v>
      </c>
      <c r="O523" t="s">
        <v>74</v>
      </c>
      <c r="P523" t="s">
        <v>74</v>
      </c>
      <c r="Q523" t="s">
        <v>74</v>
      </c>
      <c r="R523" t="s">
        <v>74</v>
      </c>
      <c r="S523" t="s">
        <v>74</v>
      </c>
      <c r="T523" t="s">
        <v>10206</v>
      </c>
      <c r="U523" t="s">
        <v>10207</v>
      </c>
      <c r="V523" t="s">
        <v>10208</v>
      </c>
      <c r="W523" t="s">
        <v>10209</v>
      </c>
      <c r="X523" t="s">
        <v>10210</v>
      </c>
      <c r="Y523" t="s">
        <v>10211</v>
      </c>
      <c r="Z523" t="s">
        <v>10212</v>
      </c>
      <c r="AA523" t="s">
        <v>10213</v>
      </c>
      <c r="AB523" t="s">
        <v>10214</v>
      </c>
      <c r="AC523" t="s">
        <v>10215</v>
      </c>
      <c r="AD523" t="s">
        <v>10215</v>
      </c>
      <c r="AE523" t="s">
        <v>10216</v>
      </c>
      <c r="AF523" t="s">
        <v>74</v>
      </c>
      <c r="AG523">
        <v>44</v>
      </c>
      <c r="AH523">
        <v>26</v>
      </c>
      <c r="AI523">
        <v>27</v>
      </c>
      <c r="AJ523">
        <v>9</v>
      </c>
      <c r="AK523">
        <v>80</v>
      </c>
      <c r="AL523" t="s">
        <v>176</v>
      </c>
      <c r="AM523" t="s">
        <v>1610</v>
      </c>
      <c r="AN523" t="s">
        <v>1611</v>
      </c>
      <c r="AO523" t="s">
        <v>1538</v>
      </c>
      <c r="AP523" t="s">
        <v>1539</v>
      </c>
      <c r="AQ523" t="s">
        <v>74</v>
      </c>
      <c r="AR523" t="s">
        <v>1540</v>
      </c>
      <c r="AS523" t="s">
        <v>1541</v>
      </c>
      <c r="AT523" t="s">
        <v>2229</v>
      </c>
      <c r="AU523">
        <v>2021</v>
      </c>
      <c r="AV523">
        <v>287</v>
      </c>
      <c r="AW523" t="s">
        <v>74</v>
      </c>
      <c r="AX523" t="s">
        <v>74</v>
      </c>
      <c r="AY523" t="s">
        <v>74</v>
      </c>
      <c r="AZ523" t="s">
        <v>74</v>
      </c>
      <c r="BA523" t="s">
        <v>74</v>
      </c>
      <c r="BB523" t="s">
        <v>74</v>
      </c>
      <c r="BC523" t="s">
        <v>74</v>
      </c>
      <c r="BD523">
        <v>125063</v>
      </c>
      <c r="BE523" t="s">
        <v>10217</v>
      </c>
      <c r="BF523" t="str">
        <f>HYPERLINK("http://dx.doi.org/10.1016/j.jclepro.2020.125063","http://dx.doi.org/10.1016/j.jclepro.2020.125063")</f>
        <v>http://dx.doi.org/10.1016/j.jclepro.2020.125063</v>
      </c>
      <c r="BG523" t="s">
        <v>74</v>
      </c>
      <c r="BH523" t="s">
        <v>9918</v>
      </c>
      <c r="BI523">
        <v>10</v>
      </c>
      <c r="BJ523" t="s">
        <v>1543</v>
      </c>
      <c r="BK523" t="s">
        <v>102</v>
      </c>
      <c r="BL523" t="s">
        <v>1544</v>
      </c>
      <c r="BM523" t="s">
        <v>10218</v>
      </c>
      <c r="BN523" t="s">
        <v>74</v>
      </c>
      <c r="BO523" t="s">
        <v>74</v>
      </c>
      <c r="BP523" t="s">
        <v>74</v>
      </c>
      <c r="BQ523" t="s">
        <v>74</v>
      </c>
      <c r="BR523" t="s">
        <v>106</v>
      </c>
      <c r="BS523" t="s">
        <v>10219</v>
      </c>
      <c r="BT523" t="str">
        <f>HYPERLINK("https%3A%2F%2Fwww.webofscience.com%2Fwos%2Fwoscc%2Ffull-record%2FWOS:000611890600008","View Full Record in Web of Science")</f>
        <v>View Full Record in Web of Science</v>
      </c>
    </row>
    <row r="524" spans="1:72" x14ac:dyDescent="0.2">
      <c r="A524" t="s">
        <v>72</v>
      </c>
      <c r="B524" t="s">
        <v>10220</v>
      </c>
      <c r="C524" t="s">
        <v>74</v>
      </c>
      <c r="D524" t="s">
        <v>74</v>
      </c>
      <c r="E524" t="s">
        <v>74</v>
      </c>
      <c r="F524" t="s">
        <v>10221</v>
      </c>
      <c r="G524" t="s">
        <v>74</v>
      </c>
      <c r="H524" t="s">
        <v>74</v>
      </c>
      <c r="I524" t="s">
        <v>10222</v>
      </c>
      <c r="J524" t="s">
        <v>3158</v>
      </c>
      <c r="K524" t="s">
        <v>74</v>
      </c>
      <c r="L524" t="s">
        <v>74</v>
      </c>
      <c r="M524" t="s">
        <v>78</v>
      </c>
      <c r="N524" t="s">
        <v>79</v>
      </c>
      <c r="O524" t="s">
        <v>74</v>
      </c>
      <c r="P524" t="s">
        <v>74</v>
      </c>
      <c r="Q524" t="s">
        <v>74</v>
      </c>
      <c r="R524" t="s">
        <v>74</v>
      </c>
      <c r="S524" t="s">
        <v>74</v>
      </c>
      <c r="T524" t="s">
        <v>74</v>
      </c>
      <c r="U524" t="s">
        <v>10223</v>
      </c>
      <c r="V524" t="s">
        <v>10224</v>
      </c>
      <c r="W524" t="s">
        <v>10225</v>
      </c>
      <c r="X524" t="s">
        <v>10226</v>
      </c>
      <c r="Y524" t="s">
        <v>10227</v>
      </c>
      <c r="Z524" t="s">
        <v>10228</v>
      </c>
      <c r="AA524" t="s">
        <v>10229</v>
      </c>
      <c r="AB524" t="s">
        <v>10230</v>
      </c>
      <c r="AC524" t="s">
        <v>10231</v>
      </c>
      <c r="AD524" t="s">
        <v>10232</v>
      </c>
      <c r="AE524" t="s">
        <v>10233</v>
      </c>
      <c r="AF524" t="s">
        <v>74</v>
      </c>
      <c r="AG524">
        <v>84</v>
      </c>
      <c r="AH524">
        <v>93</v>
      </c>
      <c r="AI524">
        <v>105</v>
      </c>
      <c r="AJ524">
        <v>5</v>
      </c>
      <c r="AK524">
        <v>72</v>
      </c>
      <c r="AL524" t="s">
        <v>3169</v>
      </c>
      <c r="AM524" t="s">
        <v>531</v>
      </c>
      <c r="AN524" t="s">
        <v>3170</v>
      </c>
      <c r="AO524" t="s">
        <v>74</v>
      </c>
      <c r="AP524" t="s">
        <v>3171</v>
      </c>
      <c r="AQ524" t="s">
        <v>74</v>
      </c>
      <c r="AR524" t="s">
        <v>3158</v>
      </c>
      <c r="AS524" t="s">
        <v>3172</v>
      </c>
      <c r="AT524" t="s">
        <v>912</v>
      </c>
      <c r="AU524">
        <v>2017</v>
      </c>
      <c r="AV524">
        <v>5</v>
      </c>
      <c r="AW524">
        <v>5</v>
      </c>
      <c r="AX524" t="s">
        <v>74</v>
      </c>
      <c r="AY524" t="s">
        <v>74</v>
      </c>
      <c r="AZ524" t="s">
        <v>74</v>
      </c>
      <c r="BA524" t="s">
        <v>74</v>
      </c>
      <c r="BB524">
        <v>463</v>
      </c>
      <c r="BC524">
        <v>474</v>
      </c>
      <c r="BD524" t="s">
        <v>74</v>
      </c>
      <c r="BE524" t="s">
        <v>10234</v>
      </c>
      <c r="BF524" t="str">
        <f>HYPERLINK("http://dx.doi.org/10.1002/2016EF000469","http://dx.doi.org/10.1002/2016EF000469")</f>
        <v>http://dx.doi.org/10.1002/2016EF000469</v>
      </c>
      <c r="BG524" t="s">
        <v>74</v>
      </c>
      <c r="BH524" t="s">
        <v>74</v>
      </c>
      <c r="BI524">
        <v>12</v>
      </c>
      <c r="BJ524" t="s">
        <v>3175</v>
      </c>
      <c r="BK524" t="s">
        <v>102</v>
      </c>
      <c r="BL524" t="s">
        <v>3176</v>
      </c>
      <c r="BM524" t="s">
        <v>10235</v>
      </c>
      <c r="BN524" t="s">
        <v>74</v>
      </c>
      <c r="BO524" t="s">
        <v>161</v>
      </c>
      <c r="BP524" t="s">
        <v>74</v>
      </c>
      <c r="BQ524" t="s">
        <v>74</v>
      </c>
      <c r="BR524" t="s">
        <v>106</v>
      </c>
      <c r="BS524" t="s">
        <v>10236</v>
      </c>
      <c r="BT524" t="str">
        <f>HYPERLINK("https%3A%2F%2Fwww.webofscience.com%2Fwos%2Fwoscc%2Ffull-record%2FWOS:000403546800004","View Full Record in Web of Science")</f>
        <v>View Full Record in Web of Science</v>
      </c>
    </row>
    <row r="525" spans="1:72" x14ac:dyDescent="0.2">
      <c r="A525" t="s">
        <v>72</v>
      </c>
      <c r="B525" t="s">
        <v>10237</v>
      </c>
      <c r="C525" t="s">
        <v>74</v>
      </c>
      <c r="D525" t="s">
        <v>74</v>
      </c>
      <c r="E525" t="s">
        <v>74</v>
      </c>
      <c r="F525" t="s">
        <v>10238</v>
      </c>
      <c r="G525" t="s">
        <v>74</v>
      </c>
      <c r="H525" t="s">
        <v>74</v>
      </c>
      <c r="I525" t="s">
        <v>10239</v>
      </c>
      <c r="J525" t="s">
        <v>4303</v>
      </c>
      <c r="K525" t="s">
        <v>74</v>
      </c>
      <c r="L525" t="s">
        <v>74</v>
      </c>
      <c r="M525" t="s">
        <v>78</v>
      </c>
      <c r="N525" t="s">
        <v>79</v>
      </c>
      <c r="O525" t="s">
        <v>74</v>
      </c>
      <c r="P525" t="s">
        <v>74</v>
      </c>
      <c r="Q525" t="s">
        <v>74</v>
      </c>
      <c r="R525" t="s">
        <v>74</v>
      </c>
      <c r="S525" t="s">
        <v>74</v>
      </c>
      <c r="T525" t="s">
        <v>10240</v>
      </c>
      <c r="U525" t="s">
        <v>10241</v>
      </c>
      <c r="V525" t="s">
        <v>10242</v>
      </c>
      <c r="W525" t="s">
        <v>10243</v>
      </c>
      <c r="X525" t="s">
        <v>10244</v>
      </c>
      <c r="Y525" t="s">
        <v>10245</v>
      </c>
      <c r="Z525" t="s">
        <v>10246</v>
      </c>
      <c r="AA525" t="s">
        <v>10247</v>
      </c>
      <c r="AB525" t="s">
        <v>4312</v>
      </c>
      <c r="AC525" t="s">
        <v>74</v>
      </c>
      <c r="AD525" t="s">
        <v>74</v>
      </c>
      <c r="AE525" t="s">
        <v>74</v>
      </c>
      <c r="AF525" t="s">
        <v>74</v>
      </c>
      <c r="AG525">
        <v>40</v>
      </c>
      <c r="AH525">
        <v>16</v>
      </c>
      <c r="AI525">
        <v>26</v>
      </c>
      <c r="AJ525">
        <v>4</v>
      </c>
      <c r="AK525">
        <v>64</v>
      </c>
      <c r="AL525" t="s">
        <v>629</v>
      </c>
      <c r="AM525" t="s">
        <v>630</v>
      </c>
      <c r="AN525" t="s">
        <v>631</v>
      </c>
      <c r="AO525" t="s">
        <v>4313</v>
      </c>
      <c r="AP525" t="s">
        <v>4314</v>
      </c>
      <c r="AQ525" t="s">
        <v>74</v>
      </c>
      <c r="AR525" t="s">
        <v>4303</v>
      </c>
      <c r="AS525" t="s">
        <v>4315</v>
      </c>
      <c r="AT525" t="s">
        <v>2017</v>
      </c>
      <c r="AU525">
        <v>2017</v>
      </c>
      <c r="AV525">
        <v>27</v>
      </c>
      <c r="AW525">
        <v>5</v>
      </c>
      <c r="AX525" t="s">
        <v>74</v>
      </c>
      <c r="AY525" t="s">
        <v>74</v>
      </c>
      <c r="AZ525" t="s">
        <v>1070</v>
      </c>
      <c r="BA525" t="s">
        <v>74</v>
      </c>
      <c r="BB525">
        <v>868</v>
      </c>
      <c r="BC525">
        <v>876</v>
      </c>
      <c r="BD525" t="s">
        <v>74</v>
      </c>
      <c r="BE525" t="s">
        <v>10248</v>
      </c>
      <c r="BF525" t="str">
        <f>HYPERLINK("http://dx.doi.org/10.1016/S1002-0160(17)60453-3","http://dx.doi.org/10.1016/S1002-0160(17)60453-3")</f>
        <v>http://dx.doi.org/10.1016/S1002-0160(17)60453-3</v>
      </c>
      <c r="BG525" t="s">
        <v>74</v>
      </c>
      <c r="BH525" t="s">
        <v>74</v>
      </c>
      <c r="BI525">
        <v>9</v>
      </c>
      <c r="BJ525" t="s">
        <v>256</v>
      </c>
      <c r="BK525" t="s">
        <v>102</v>
      </c>
      <c r="BL525" t="s">
        <v>103</v>
      </c>
      <c r="BM525" t="s">
        <v>10249</v>
      </c>
      <c r="BN525" t="s">
        <v>74</v>
      </c>
      <c r="BO525" t="s">
        <v>74</v>
      </c>
      <c r="BP525" t="s">
        <v>74</v>
      </c>
      <c r="BQ525" t="s">
        <v>74</v>
      </c>
      <c r="BR525" t="s">
        <v>106</v>
      </c>
      <c r="BS525" t="s">
        <v>10250</v>
      </c>
      <c r="BT525" t="str">
        <f>HYPERLINK("https%3A%2F%2Fwww.webofscience.com%2Fwos%2Fwoscc%2Ffull-record%2FWOS:000416880300008","View Full Record in Web of Science")</f>
        <v>View Full Record in Web of Science</v>
      </c>
    </row>
    <row r="526" spans="1:72" x14ac:dyDescent="0.2">
      <c r="A526" t="s">
        <v>72</v>
      </c>
      <c r="B526" t="s">
        <v>10251</v>
      </c>
      <c r="C526" t="s">
        <v>74</v>
      </c>
      <c r="D526" t="s">
        <v>74</v>
      </c>
      <c r="E526" t="s">
        <v>74</v>
      </c>
      <c r="F526" t="s">
        <v>10252</v>
      </c>
      <c r="G526" t="s">
        <v>74</v>
      </c>
      <c r="H526" t="s">
        <v>74</v>
      </c>
      <c r="I526" t="s">
        <v>10253</v>
      </c>
      <c r="J526" t="s">
        <v>2301</v>
      </c>
      <c r="K526" t="s">
        <v>74</v>
      </c>
      <c r="L526" t="s">
        <v>74</v>
      </c>
      <c r="M526" t="s">
        <v>78</v>
      </c>
      <c r="N526" t="s">
        <v>79</v>
      </c>
      <c r="O526" t="s">
        <v>74</v>
      </c>
      <c r="P526" t="s">
        <v>74</v>
      </c>
      <c r="Q526" t="s">
        <v>74</v>
      </c>
      <c r="R526" t="s">
        <v>74</v>
      </c>
      <c r="S526" t="s">
        <v>74</v>
      </c>
      <c r="T526" t="s">
        <v>10254</v>
      </c>
      <c r="U526" t="s">
        <v>10255</v>
      </c>
      <c r="V526" t="s">
        <v>10256</v>
      </c>
      <c r="W526" t="s">
        <v>10257</v>
      </c>
      <c r="X526" t="s">
        <v>9755</v>
      </c>
      <c r="Y526" t="s">
        <v>10258</v>
      </c>
      <c r="Z526" t="s">
        <v>10259</v>
      </c>
      <c r="AA526" t="s">
        <v>10260</v>
      </c>
      <c r="AB526" t="s">
        <v>10261</v>
      </c>
      <c r="AC526" t="s">
        <v>10262</v>
      </c>
      <c r="AD526" t="s">
        <v>10263</v>
      </c>
      <c r="AE526" t="s">
        <v>10264</v>
      </c>
      <c r="AF526" t="s">
        <v>74</v>
      </c>
      <c r="AG526">
        <v>54</v>
      </c>
      <c r="AH526">
        <v>0</v>
      </c>
      <c r="AI526">
        <v>0</v>
      </c>
      <c r="AJ526">
        <v>12</v>
      </c>
      <c r="AK526">
        <v>12</v>
      </c>
      <c r="AL526" t="s">
        <v>123</v>
      </c>
      <c r="AM526" t="s">
        <v>124</v>
      </c>
      <c r="AN526" t="s">
        <v>125</v>
      </c>
      <c r="AO526" t="s">
        <v>2313</v>
      </c>
      <c r="AP526" t="s">
        <v>2314</v>
      </c>
      <c r="AQ526" t="s">
        <v>74</v>
      </c>
      <c r="AR526" t="s">
        <v>2315</v>
      </c>
      <c r="AS526" t="s">
        <v>2316</v>
      </c>
      <c r="AT526" t="s">
        <v>1109</v>
      </c>
      <c r="AU526">
        <v>2025</v>
      </c>
      <c r="AV526">
        <v>662</v>
      </c>
      <c r="AW526" t="s">
        <v>74</v>
      </c>
      <c r="AX526" t="s">
        <v>2317</v>
      </c>
      <c r="AY526" t="s">
        <v>74</v>
      </c>
      <c r="AZ526" t="s">
        <v>74</v>
      </c>
      <c r="BA526" t="s">
        <v>74</v>
      </c>
      <c r="BB526" t="s">
        <v>74</v>
      </c>
      <c r="BC526" t="s">
        <v>74</v>
      </c>
      <c r="BD526">
        <v>133942</v>
      </c>
      <c r="BE526" t="s">
        <v>10265</v>
      </c>
      <c r="BF526" t="str">
        <f>HYPERLINK("http://dx.doi.org/10.1016/j.jhydrol.2025.133942","http://dx.doi.org/10.1016/j.jhydrol.2025.133942")</f>
        <v>http://dx.doi.org/10.1016/j.jhydrol.2025.133942</v>
      </c>
      <c r="BG526" t="s">
        <v>74</v>
      </c>
      <c r="BH526" t="s">
        <v>1965</v>
      </c>
      <c r="BI526">
        <v>10</v>
      </c>
      <c r="BJ526" t="s">
        <v>2320</v>
      </c>
      <c r="BK526" t="s">
        <v>102</v>
      </c>
      <c r="BL526" t="s">
        <v>2321</v>
      </c>
      <c r="BM526" t="s">
        <v>10266</v>
      </c>
      <c r="BN526" t="s">
        <v>74</v>
      </c>
      <c r="BO526" t="s">
        <v>74</v>
      </c>
      <c r="BP526" t="s">
        <v>74</v>
      </c>
      <c r="BQ526" t="s">
        <v>74</v>
      </c>
      <c r="BR526" t="s">
        <v>106</v>
      </c>
      <c r="BS526" t="s">
        <v>10267</v>
      </c>
      <c r="BT526" t="str">
        <f>HYPERLINK("https%3A%2F%2Fwww.webofscience.com%2Fwos%2Fwoscc%2Ffull-record%2FWOS:001536480600002","View Full Record in Web of Science")</f>
        <v>View Full Record in Web of Science</v>
      </c>
    </row>
    <row r="527" spans="1:72" x14ac:dyDescent="0.2">
      <c r="A527" t="s">
        <v>72</v>
      </c>
      <c r="B527" t="s">
        <v>10268</v>
      </c>
      <c r="C527" t="s">
        <v>74</v>
      </c>
      <c r="D527" t="s">
        <v>74</v>
      </c>
      <c r="E527" t="s">
        <v>74</v>
      </c>
      <c r="F527" t="s">
        <v>10269</v>
      </c>
      <c r="G527" t="s">
        <v>74</v>
      </c>
      <c r="H527" t="s">
        <v>74</v>
      </c>
      <c r="I527" t="s">
        <v>10270</v>
      </c>
      <c r="J527" t="s">
        <v>995</v>
      </c>
      <c r="K527" t="s">
        <v>74</v>
      </c>
      <c r="L527" t="s">
        <v>74</v>
      </c>
      <c r="M527" t="s">
        <v>78</v>
      </c>
      <c r="N527" t="s">
        <v>79</v>
      </c>
      <c r="O527" t="s">
        <v>74</v>
      </c>
      <c r="P527" t="s">
        <v>74</v>
      </c>
      <c r="Q527" t="s">
        <v>74</v>
      </c>
      <c r="R527" t="s">
        <v>74</v>
      </c>
      <c r="S527" t="s">
        <v>74</v>
      </c>
      <c r="T527" t="s">
        <v>10271</v>
      </c>
      <c r="U527" t="s">
        <v>10272</v>
      </c>
      <c r="V527" t="s">
        <v>10273</v>
      </c>
      <c r="W527" t="s">
        <v>10274</v>
      </c>
      <c r="X527" t="s">
        <v>10275</v>
      </c>
      <c r="Y527" t="s">
        <v>10276</v>
      </c>
      <c r="Z527" t="s">
        <v>10277</v>
      </c>
      <c r="AA527" t="s">
        <v>10278</v>
      </c>
      <c r="AB527" t="s">
        <v>74</v>
      </c>
      <c r="AC527" t="s">
        <v>10279</v>
      </c>
      <c r="AD527" t="s">
        <v>1591</v>
      </c>
      <c r="AE527" t="s">
        <v>10280</v>
      </c>
      <c r="AF527" t="s">
        <v>74</v>
      </c>
      <c r="AG527">
        <v>77</v>
      </c>
      <c r="AH527">
        <v>29</v>
      </c>
      <c r="AI527">
        <v>34</v>
      </c>
      <c r="AJ527">
        <v>14</v>
      </c>
      <c r="AK527">
        <v>309</v>
      </c>
      <c r="AL527" t="s">
        <v>123</v>
      </c>
      <c r="AM527" t="s">
        <v>124</v>
      </c>
      <c r="AN527" t="s">
        <v>125</v>
      </c>
      <c r="AO527" t="s">
        <v>1008</v>
      </c>
      <c r="AP527" t="s">
        <v>1009</v>
      </c>
      <c r="AQ527" t="s">
        <v>74</v>
      </c>
      <c r="AR527" t="s">
        <v>1010</v>
      </c>
      <c r="AS527" t="s">
        <v>1011</v>
      </c>
      <c r="AT527" t="s">
        <v>9883</v>
      </c>
      <c r="AU527">
        <v>2022</v>
      </c>
      <c r="AV527">
        <v>833</v>
      </c>
      <c r="AW527" t="s">
        <v>74</v>
      </c>
      <c r="AX527" t="s">
        <v>74</v>
      </c>
      <c r="AY527" t="s">
        <v>74</v>
      </c>
      <c r="AZ527" t="s">
        <v>74</v>
      </c>
      <c r="BA527" t="s">
        <v>74</v>
      </c>
      <c r="BB527" t="s">
        <v>74</v>
      </c>
      <c r="BC527" t="s">
        <v>74</v>
      </c>
      <c r="BD527">
        <v>155087</v>
      </c>
      <c r="BE527" t="s">
        <v>10281</v>
      </c>
      <c r="BF527" t="str">
        <f>HYPERLINK("http://dx.doi.org/10.1016/j.scitotenv.2022.155087","http://dx.doi.org/10.1016/j.scitotenv.2022.155087")</f>
        <v>http://dx.doi.org/10.1016/j.scitotenv.2022.155087</v>
      </c>
      <c r="BG527" t="s">
        <v>74</v>
      </c>
      <c r="BH527" t="s">
        <v>2293</v>
      </c>
      <c r="BI527">
        <v>12</v>
      </c>
      <c r="BJ527" t="s">
        <v>567</v>
      </c>
      <c r="BK527" t="s">
        <v>102</v>
      </c>
      <c r="BL527" t="s">
        <v>568</v>
      </c>
      <c r="BM527" t="s">
        <v>10282</v>
      </c>
      <c r="BN527">
        <v>35421495</v>
      </c>
      <c r="BO527" t="s">
        <v>74</v>
      </c>
      <c r="BP527" t="s">
        <v>74</v>
      </c>
      <c r="BQ527" t="s">
        <v>74</v>
      </c>
      <c r="BR527" t="s">
        <v>106</v>
      </c>
      <c r="BS527" t="s">
        <v>10283</v>
      </c>
      <c r="BT527" t="str">
        <f>HYPERLINK("https%3A%2F%2Fwww.webofscience.com%2Fwos%2Fwoscc%2Ffull-record%2FWOS:000800495900002","View Full Record in Web of Science")</f>
        <v>View Full Record in Web of Science</v>
      </c>
    </row>
    <row r="528" spans="1:72" x14ac:dyDescent="0.2">
      <c r="A528" t="s">
        <v>72</v>
      </c>
      <c r="B528" t="s">
        <v>10284</v>
      </c>
      <c r="C528" t="s">
        <v>74</v>
      </c>
      <c r="D528" t="s">
        <v>74</v>
      </c>
      <c r="E528" t="s">
        <v>74</v>
      </c>
      <c r="F528" t="s">
        <v>10285</v>
      </c>
      <c r="G528" t="s">
        <v>74</v>
      </c>
      <c r="H528" t="s">
        <v>74</v>
      </c>
      <c r="I528" t="s">
        <v>10286</v>
      </c>
      <c r="J528" t="s">
        <v>4281</v>
      </c>
      <c r="K528" t="s">
        <v>74</v>
      </c>
      <c r="L528" t="s">
        <v>74</v>
      </c>
      <c r="M528" t="s">
        <v>78</v>
      </c>
      <c r="N528" t="s">
        <v>79</v>
      </c>
      <c r="O528" t="s">
        <v>74</v>
      </c>
      <c r="P528" t="s">
        <v>74</v>
      </c>
      <c r="Q528" t="s">
        <v>74</v>
      </c>
      <c r="R528" t="s">
        <v>74</v>
      </c>
      <c r="S528" t="s">
        <v>74</v>
      </c>
      <c r="T528" t="s">
        <v>74</v>
      </c>
      <c r="U528" t="s">
        <v>10287</v>
      </c>
      <c r="V528" t="s">
        <v>10288</v>
      </c>
      <c r="W528" t="s">
        <v>10289</v>
      </c>
      <c r="X528" t="s">
        <v>10290</v>
      </c>
      <c r="Y528" t="s">
        <v>10291</v>
      </c>
      <c r="Z528" t="s">
        <v>10292</v>
      </c>
      <c r="AA528" t="s">
        <v>10293</v>
      </c>
      <c r="AB528" t="s">
        <v>10294</v>
      </c>
      <c r="AC528" t="s">
        <v>10295</v>
      </c>
      <c r="AD528" t="s">
        <v>10296</v>
      </c>
      <c r="AE528" t="s">
        <v>10297</v>
      </c>
      <c r="AF528" t="s">
        <v>74</v>
      </c>
      <c r="AG528">
        <v>41</v>
      </c>
      <c r="AH528">
        <v>427</v>
      </c>
      <c r="AI528">
        <v>502</v>
      </c>
      <c r="AJ528">
        <v>48</v>
      </c>
      <c r="AK528">
        <v>748</v>
      </c>
      <c r="AL528" t="s">
        <v>10298</v>
      </c>
      <c r="AM528" t="s">
        <v>275</v>
      </c>
      <c r="AN528" t="s">
        <v>276</v>
      </c>
      <c r="AO528" t="s">
        <v>4293</v>
      </c>
      <c r="AP528" t="s">
        <v>74</v>
      </c>
      <c r="AQ528" t="s">
        <v>74</v>
      </c>
      <c r="AR528" t="s">
        <v>4294</v>
      </c>
      <c r="AS528" t="s">
        <v>4295</v>
      </c>
      <c r="AT528" t="s">
        <v>10299</v>
      </c>
      <c r="AU528">
        <v>2017</v>
      </c>
      <c r="AV528">
        <v>8</v>
      </c>
      <c r="AW528" t="s">
        <v>74</v>
      </c>
      <c r="AX528" t="s">
        <v>74</v>
      </c>
      <c r="AY528" t="s">
        <v>74</v>
      </c>
      <c r="AZ528" t="s">
        <v>74</v>
      </c>
      <c r="BA528" t="s">
        <v>74</v>
      </c>
      <c r="BB528" t="s">
        <v>74</v>
      </c>
      <c r="BC528" t="s">
        <v>74</v>
      </c>
      <c r="BD528">
        <v>1694</v>
      </c>
      <c r="BE528" t="s">
        <v>10300</v>
      </c>
      <c r="BF528" t="str">
        <f>HYPERLINK("http://dx.doi.org/10.1038/s41467-017-01789-6","http://dx.doi.org/10.1038/s41467-017-01789-6")</f>
        <v>http://dx.doi.org/10.1038/s41467-017-01789-6</v>
      </c>
      <c r="BG528" t="s">
        <v>74</v>
      </c>
      <c r="BH528" t="s">
        <v>74</v>
      </c>
      <c r="BI528">
        <v>7</v>
      </c>
      <c r="BJ528" t="s">
        <v>158</v>
      </c>
      <c r="BK528" t="s">
        <v>102</v>
      </c>
      <c r="BL528" t="s">
        <v>159</v>
      </c>
      <c r="BM528" t="s">
        <v>10301</v>
      </c>
      <c r="BN528">
        <v>29162815</v>
      </c>
      <c r="BO528" t="s">
        <v>161</v>
      </c>
      <c r="BP528" t="s">
        <v>4815</v>
      </c>
      <c r="BQ528" t="s">
        <v>4816</v>
      </c>
      <c r="BR528" t="s">
        <v>106</v>
      </c>
      <c r="BS528" t="s">
        <v>10302</v>
      </c>
      <c r="BT528" t="str">
        <f>HYPERLINK("https%3A%2F%2Fwww.webofscience.com%2Fwos%2Fwoscc%2Ffull-record%2FWOS:000416226200023","View Full Record in Web of Science")</f>
        <v>View Full Record in Web of Science</v>
      </c>
    </row>
    <row r="529" spans="1:72" x14ac:dyDescent="0.2">
      <c r="A529" t="s">
        <v>72</v>
      </c>
      <c r="B529" t="s">
        <v>10303</v>
      </c>
      <c r="C529" t="s">
        <v>74</v>
      </c>
      <c r="D529" t="s">
        <v>74</v>
      </c>
      <c r="E529" t="s">
        <v>74</v>
      </c>
      <c r="F529" t="s">
        <v>10304</v>
      </c>
      <c r="G529" t="s">
        <v>74</v>
      </c>
      <c r="H529" t="s">
        <v>74</v>
      </c>
      <c r="I529" t="s">
        <v>10305</v>
      </c>
      <c r="J529" t="s">
        <v>1526</v>
      </c>
      <c r="K529" t="s">
        <v>74</v>
      </c>
      <c r="L529" t="s">
        <v>74</v>
      </c>
      <c r="M529" t="s">
        <v>78</v>
      </c>
      <c r="N529" t="s">
        <v>79</v>
      </c>
      <c r="O529" t="s">
        <v>74</v>
      </c>
      <c r="P529" t="s">
        <v>74</v>
      </c>
      <c r="Q529" t="s">
        <v>74</v>
      </c>
      <c r="R529" t="s">
        <v>74</v>
      </c>
      <c r="S529" t="s">
        <v>74</v>
      </c>
      <c r="T529" t="s">
        <v>10306</v>
      </c>
      <c r="U529" t="s">
        <v>10307</v>
      </c>
      <c r="V529" t="s">
        <v>10308</v>
      </c>
      <c r="W529" t="s">
        <v>10309</v>
      </c>
      <c r="X529" t="s">
        <v>10310</v>
      </c>
      <c r="Y529" t="s">
        <v>10311</v>
      </c>
      <c r="Z529" t="s">
        <v>10312</v>
      </c>
      <c r="AA529" t="s">
        <v>10313</v>
      </c>
      <c r="AB529" t="s">
        <v>74</v>
      </c>
      <c r="AC529" t="s">
        <v>10314</v>
      </c>
      <c r="AD529" t="s">
        <v>10315</v>
      </c>
      <c r="AE529" t="s">
        <v>10316</v>
      </c>
      <c r="AF529" t="s">
        <v>74</v>
      </c>
      <c r="AG529">
        <v>36</v>
      </c>
      <c r="AH529">
        <v>47</v>
      </c>
      <c r="AI529">
        <v>52</v>
      </c>
      <c r="AJ529">
        <v>0</v>
      </c>
      <c r="AK529">
        <v>13</v>
      </c>
      <c r="AL529" t="s">
        <v>176</v>
      </c>
      <c r="AM529" t="s">
        <v>177</v>
      </c>
      <c r="AN529" t="s">
        <v>178</v>
      </c>
      <c r="AO529" t="s">
        <v>1538</v>
      </c>
      <c r="AP529" t="s">
        <v>1539</v>
      </c>
      <c r="AQ529" t="s">
        <v>74</v>
      </c>
      <c r="AR529" t="s">
        <v>1540</v>
      </c>
      <c r="AS529" t="s">
        <v>1541</v>
      </c>
      <c r="AT529" t="s">
        <v>10317</v>
      </c>
      <c r="AU529">
        <v>2017</v>
      </c>
      <c r="AV529">
        <v>142</v>
      </c>
      <c r="AW529" t="s">
        <v>74</v>
      </c>
      <c r="AX529">
        <v>3</v>
      </c>
      <c r="AY529" t="s">
        <v>74</v>
      </c>
      <c r="AZ529" t="s">
        <v>74</v>
      </c>
      <c r="BA529" t="s">
        <v>74</v>
      </c>
      <c r="BB529">
        <v>1138</v>
      </c>
      <c r="BC529">
        <v>1147</v>
      </c>
      <c r="BD529" t="s">
        <v>74</v>
      </c>
      <c r="BE529" t="s">
        <v>10318</v>
      </c>
      <c r="BF529" t="str">
        <f>HYPERLINK("http://dx.doi.org/10.1016/j.jclepro.2016.07.178","http://dx.doi.org/10.1016/j.jclepro.2016.07.178")</f>
        <v>http://dx.doi.org/10.1016/j.jclepro.2016.07.178</v>
      </c>
      <c r="BG529" t="s">
        <v>74</v>
      </c>
      <c r="BH529" t="s">
        <v>74</v>
      </c>
      <c r="BI529">
        <v>10</v>
      </c>
      <c r="BJ529" t="s">
        <v>1543</v>
      </c>
      <c r="BK529" t="s">
        <v>102</v>
      </c>
      <c r="BL529" t="s">
        <v>1544</v>
      </c>
      <c r="BM529" t="s">
        <v>10319</v>
      </c>
      <c r="BN529" t="s">
        <v>74</v>
      </c>
      <c r="BO529" t="s">
        <v>74</v>
      </c>
      <c r="BP529" t="s">
        <v>74</v>
      </c>
      <c r="BQ529" t="s">
        <v>74</v>
      </c>
      <c r="BR529" t="s">
        <v>106</v>
      </c>
      <c r="BS529" t="s">
        <v>10320</v>
      </c>
      <c r="BT529" t="str">
        <f>HYPERLINK("https%3A%2F%2Fwww.webofscience.com%2Fwos%2Fwoscc%2Ffull-record%2FWOS:000391903800002","View Full Record in Web of Science")</f>
        <v>View Full Record in Web of Science</v>
      </c>
    </row>
    <row r="530" spans="1:72" x14ac:dyDescent="0.2">
      <c r="A530" t="s">
        <v>72</v>
      </c>
      <c r="B530" t="s">
        <v>10321</v>
      </c>
      <c r="C530" t="s">
        <v>74</v>
      </c>
      <c r="D530" t="s">
        <v>74</v>
      </c>
      <c r="E530" t="s">
        <v>74</v>
      </c>
      <c r="F530" t="s">
        <v>10322</v>
      </c>
      <c r="G530" t="s">
        <v>74</v>
      </c>
      <c r="H530" t="s">
        <v>74</v>
      </c>
      <c r="I530" t="s">
        <v>10323</v>
      </c>
      <c r="J530" t="s">
        <v>10324</v>
      </c>
      <c r="K530" t="s">
        <v>74</v>
      </c>
      <c r="L530" t="s">
        <v>74</v>
      </c>
      <c r="M530" t="s">
        <v>78</v>
      </c>
      <c r="N530" t="s">
        <v>79</v>
      </c>
      <c r="O530" t="s">
        <v>74</v>
      </c>
      <c r="P530" t="s">
        <v>74</v>
      </c>
      <c r="Q530" t="s">
        <v>74</v>
      </c>
      <c r="R530" t="s">
        <v>74</v>
      </c>
      <c r="S530" t="s">
        <v>74</v>
      </c>
      <c r="T530" t="s">
        <v>10325</v>
      </c>
      <c r="U530" t="s">
        <v>10326</v>
      </c>
      <c r="V530" t="s">
        <v>10327</v>
      </c>
      <c r="W530" t="s">
        <v>10328</v>
      </c>
      <c r="X530" t="s">
        <v>10329</v>
      </c>
      <c r="Y530" t="s">
        <v>10330</v>
      </c>
      <c r="Z530" t="s">
        <v>10331</v>
      </c>
      <c r="AA530" t="s">
        <v>10332</v>
      </c>
      <c r="AB530" t="s">
        <v>10333</v>
      </c>
      <c r="AC530" t="s">
        <v>10334</v>
      </c>
      <c r="AD530" t="s">
        <v>10335</v>
      </c>
      <c r="AE530" t="s">
        <v>10336</v>
      </c>
      <c r="AF530" t="s">
        <v>74</v>
      </c>
      <c r="AG530">
        <v>47</v>
      </c>
      <c r="AH530">
        <v>25</v>
      </c>
      <c r="AI530">
        <v>27</v>
      </c>
      <c r="AJ530">
        <v>6</v>
      </c>
      <c r="AK530">
        <v>69</v>
      </c>
      <c r="AL530" t="s">
        <v>123</v>
      </c>
      <c r="AM530" t="s">
        <v>124</v>
      </c>
      <c r="AN530" t="s">
        <v>125</v>
      </c>
      <c r="AO530" t="s">
        <v>10337</v>
      </c>
      <c r="AP530" t="s">
        <v>10338</v>
      </c>
      <c r="AQ530" t="s">
        <v>74</v>
      </c>
      <c r="AR530" t="s">
        <v>10339</v>
      </c>
      <c r="AS530" t="s">
        <v>10340</v>
      </c>
      <c r="AT530" t="s">
        <v>10341</v>
      </c>
      <c r="AU530">
        <v>2022</v>
      </c>
      <c r="AV530">
        <v>19</v>
      </c>
      <c r="AW530" t="s">
        <v>74</v>
      </c>
      <c r="AX530" t="s">
        <v>74</v>
      </c>
      <c r="AY530" t="s">
        <v>74</v>
      </c>
      <c r="AZ530" t="s">
        <v>74</v>
      </c>
      <c r="BA530" t="s">
        <v>74</v>
      </c>
      <c r="BB530">
        <v>4697</v>
      </c>
      <c r="BC530">
        <v>4707</v>
      </c>
      <c r="BD530" t="s">
        <v>74</v>
      </c>
      <c r="BE530" t="s">
        <v>10342</v>
      </c>
      <c r="BF530" t="str">
        <f>HYPERLINK("http://dx.doi.org/10.1016/j.jmrt.2022.06.150","http://dx.doi.org/10.1016/j.jmrt.2022.06.150")</f>
        <v>http://dx.doi.org/10.1016/j.jmrt.2022.06.150</v>
      </c>
      <c r="BG530" t="s">
        <v>74</v>
      </c>
      <c r="BH530" t="s">
        <v>1014</v>
      </c>
      <c r="BI530">
        <v>11</v>
      </c>
      <c r="BJ530" t="s">
        <v>10343</v>
      </c>
      <c r="BK530" t="s">
        <v>102</v>
      </c>
      <c r="BL530" t="s">
        <v>10344</v>
      </c>
      <c r="BM530" t="s">
        <v>10345</v>
      </c>
      <c r="BN530" t="s">
        <v>74</v>
      </c>
      <c r="BO530" t="s">
        <v>161</v>
      </c>
      <c r="BP530" t="s">
        <v>74</v>
      </c>
      <c r="BQ530" t="s">
        <v>74</v>
      </c>
      <c r="BR530" t="s">
        <v>106</v>
      </c>
      <c r="BS530" t="s">
        <v>10346</v>
      </c>
      <c r="BT530" t="str">
        <f>HYPERLINK("https%3A%2F%2Fwww.webofscience.com%2Fwos%2Fwoscc%2Ffull-record%2FWOS:000878416200006","View Full Record in Web of Science")</f>
        <v>View Full Record in Web of Science</v>
      </c>
    </row>
    <row r="531" spans="1:72" x14ac:dyDescent="0.2">
      <c r="A531" t="s">
        <v>72</v>
      </c>
      <c r="B531" t="s">
        <v>10347</v>
      </c>
      <c r="C531" t="s">
        <v>74</v>
      </c>
      <c r="D531" t="s">
        <v>74</v>
      </c>
      <c r="E531" t="s">
        <v>74</v>
      </c>
      <c r="F531" t="s">
        <v>10348</v>
      </c>
      <c r="G531" t="s">
        <v>74</v>
      </c>
      <c r="H531" t="s">
        <v>74</v>
      </c>
      <c r="I531" t="s">
        <v>10349</v>
      </c>
      <c r="J531" t="s">
        <v>10350</v>
      </c>
      <c r="K531" t="s">
        <v>74</v>
      </c>
      <c r="L531" t="s">
        <v>74</v>
      </c>
      <c r="M531" t="s">
        <v>78</v>
      </c>
      <c r="N531" t="s">
        <v>79</v>
      </c>
      <c r="O531" t="s">
        <v>74</v>
      </c>
      <c r="P531" t="s">
        <v>74</v>
      </c>
      <c r="Q531" t="s">
        <v>74</v>
      </c>
      <c r="R531" t="s">
        <v>74</v>
      </c>
      <c r="S531" t="s">
        <v>74</v>
      </c>
      <c r="T531" t="s">
        <v>10351</v>
      </c>
      <c r="U531" t="s">
        <v>10352</v>
      </c>
      <c r="V531" t="s">
        <v>10353</v>
      </c>
      <c r="W531" t="s">
        <v>10354</v>
      </c>
      <c r="X531" t="s">
        <v>10355</v>
      </c>
      <c r="Y531" t="s">
        <v>10356</v>
      </c>
      <c r="Z531" t="s">
        <v>10357</v>
      </c>
      <c r="AA531" t="s">
        <v>10358</v>
      </c>
      <c r="AB531" t="s">
        <v>10359</v>
      </c>
      <c r="AC531" t="s">
        <v>10360</v>
      </c>
      <c r="AD531" t="s">
        <v>10361</v>
      </c>
      <c r="AE531" t="s">
        <v>10362</v>
      </c>
      <c r="AF531" t="s">
        <v>74</v>
      </c>
      <c r="AG531">
        <v>61</v>
      </c>
      <c r="AH531">
        <v>13</v>
      </c>
      <c r="AI531">
        <v>13</v>
      </c>
      <c r="AJ531">
        <v>10</v>
      </c>
      <c r="AK531">
        <v>65</v>
      </c>
      <c r="AL531" t="s">
        <v>123</v>
      </c>
      <c r="AM531" t="s">
        <v>124</v>
      </c>
      <c r="AN531" t="s">
        <v>125</v>
      </c>
      <c r="AO531" t="s">
        <v>74</v>
      </c>
      <c r="AP531" t="s">
        <v>10363</v>
      </c>
      <c r="AQ531" t="s">
        <v>74</v>
      </c>
      <c r="AR531" t="s">
        <v>10364</v>
      </c>
      <c r="AS531" t="s">
        <v>10365</v>
      </c>
      <c r="AT531" t="s">
        <v>1468</v>
      </c>
      <c r="AU531">
        <v>2024</v>
      </c>
      <c r="AV531">
        <v>86</v>
      </c>
      <c r="AW531" t="s">
        <v>74</v>
      </c>
      <c r="AX531" t="s">
        <v>74</v>
      </c>
      <c r="AY531" t="s">
        <v>74</v>
      </c>
      <c r="AZ531" t="s">
        <v>74</v>
      </c>
      <c r="BA531" t="s">
        <v>74</v>
      </c>
      <c r="BB531" t="s">
        <v>74</v>
      </c>
      <c r="BC531" t="s">
        <v>74</v>
      </c>
      <c r="BD531">
        <v>108757</v>
      </c>
      <c r="BE531" t="s">
        <v>10366</v>
      </c>
      <c r="BF531" t="str">
        <f>HYPERLINK("http://dx.doi.org/10.1016/j.jobe.2024.108757","http://dx.doi.org/10.1016/j.jobe.2024.108757")</f>
        <v>http://dx.doi.org/10.1016/j.jobe.2024.108757</v>
      </c>
      <c r="BG531" t="s">
        <v>74</v>
      </c>
      <c r="BH531" t="s">
        <v>2430</v>
      </c>
      <c r="BI531">
        <v>15</v>
      </c>
      <c r="BJ531" t="s">
        <v>10367</v>
      </c>
      <c r="BK531" t="s">
        <v>102</v>
      </c>
      <c r="BL531" t="s">
        <v>10368</v>
      </c>
      <c r="BM531" t="s">
        <v>10369</v>
      </c>
      <c r="BN531" t="s">
        <v>74</v>
      </c>
      <c r="BO531" t="s">
        <v>74</v>
      </c>
      <c r="BP531" t="s">
        <v>74</v>
      </c>
      <c r="BQ531" t="s">
        <v>74</v>
      </c>
      <c r="BR531" t="s">
        <v>106</v>
      </c>
      <c r="BS531" t="s">
        <v>10370</v>
      </c>
      <c r="BT531" t="str">
        <f>HYPERLINK("https%3A%2F%2Fwww.webofscience.com%2Fwos%2Fwoscc%2Ffull-record%2FWOS:001184327500001","View Full Record in Web of Science")</f>
        <v>View Full Record in Web of Science</v>
      </c>
    </row>
    <row r="532" spans="1:72" x14ac:dyDescent="0.2">
      <c r="A532" t="s">
        <v>72</v>
      </c>
      <c r="B532" t="s">
        <v>10371</v>
      </c>
      <c r="C532" t="s">
        <v>74</v>
      </c>
      <c r="D532" t="s">
        <v>74</v>
      </c>
      <c r="E532" t="s">
        <v>74</v>
      </c>
      <c r="F532" t="s">
        <v>10372</v>
      </c>
      <c r="G532" t="s">
        <v>74</v>
      </c>
      <c r="H532" t="s">
        <v>74</v>
      </c>
      <c r="I532" t="s">
        <v>10373</v>
      </c>
      <c r="J532" t="s">
        <v>9322</v>
      </c>
      <c r="K532" t="s">
        <v>74</v>
      </c>
      <c r="L532" t="s">
        <v>74</v>
      </c>
      <c r="M532" t="s">
        <v>78</v>
      </c>
      <c r="N532" t="s">
        <v>492</v>
      </c>
      <c r="O532" t="s">
        <v>74</v>
      </c>
      <c r="P532" t="s">
        <v>74</v>
      </c>
      <c r="Q532" t="s">
        <v>74</v>
      </c>
      <c r="R532" t="s">
        <v>74</v>
      </c>
      <c r="S532" t="s">
        <v>74</v>
      </c>
      <c r="T532" t="s">
        <v>10374</v>
      </c>
      <c r="U532" t="s">
        <v>10375</v>
      </c>
      <c r="V532" t="s">
        <v>10376</v>
      </c>
      <c r="W532" t="s">
        <v>10377</v>
      </c>
      <c r="X532" t="s">
        <v>10378</v>
      </c>
      <c r="Y532" t="s">
        <v>10379</v>
      </c>
      <c r="Z532" t="s">
        <v>10380</v>
      </c>
      <c r="AA532" t="s">
        <v>10381</v>
      </c>
      <c r="AB532" t="s">
        <v>10382</v>
      </c>
      <c r="AC532" t="s">
        <v>74</v>
      </c>
      <c r="AD532" t="s">
        <v>74</v>
      </c>
      <c r="AE532" t="s">
        <v>74</v>
      </c>
      <c r="AF532" t="s">
        <v>74</v>
      </c>
      <c r="AG532">
        <v>24</v>
      </c>
      <c r="AH532">
        <v>6</v>
      </c>
      <c r="AI532">
        <v>7</v>
      </c>
      <c r="AJ532">
        <v>1</v>
      </c>
      <c r="AK532">
        <v>13</v>
      </c>
      <c r="AL532" t="s">
        <v>1242</v>
      </c>
      <c r="AM532" t="s">
        <v>1243</v>
      </c>
      <c r="AN532" t="s">
        <v>1244</v>
      </c>
      <c r="AO532" t="s">
        <v>9332</v>
      </c>
      <c r="AP532" t="s">
        <v>9333</v>
      </c>
      <c r="AQ532" t="s">
        <v>74</v>
      </c>
      <c r="AR532" t="s">
        <v>9334</v>
      </c>
      <c r="AS532" t="s">
        <v>9335</v>
      </c>
      <c r="AT532" t="s">
        <v>10383</v>
      </c>
      <c r="AU532">
        <v>2022</v>
      </c>
      <c r="AV532" t="s">
        <v>74</v>
      </c>
      <c r="AW532" t="s">
        <v>74</v>
      </c>
      <c r="AX532" t="s">
        <v>74</v>
      </c>
      <c r="AY532" t="s">
        <v>74</v>
      </c>
      <c r="AZ532" t="s">
        <v>74</v>
      </c>
      <c r="BA532" t="s">
        <v>74</v>
      </c>
      <c r="BB532" t="s">
        <v>74</v>
      </c>
      <c r="BC532" t="s">
        <v>74</v>
      </c>
      <c r="BD532" t="s">
        <v>74</v>
      </c>
      <c r="BE532" t="s">
        <v>10384</v>
      </c>
      <c r="BF532" t="str">
        <f>HYPERLINK("http://dx.doi.org/10.1007/s13399-022-03470-5","http://dx.doi.org/10.1007/s13399-022-03470-5")</f>
        <v>http://dx.doi.org/10.1007/s13399-022-03470-5</v>
      </c>
      <c r="BG532" t="s">
        <v>74</v>
      </c>
      <c r="BH532" t="s">
        <v>10385</v>
      </c>
      <c r="BI532">
        <v>7</v>
      </c>
      <c r="BJ532" t="s">
        <v>2979</v>
      </c>
      <c r="BK532" t="s">
        <v>102</v>
      </c>
      <c r="BL532" t="s">
        <v>2980</v>
      </c>
      <c r="BM532" t="s">
        <v>10386</v>
      </c>
      <c r="BN532" t="s">
        <v>74</v>
      </c>
      <c r="BO532" t="s">
        <v>74</v>
      </c>
      <c r="BP532" t="s">
        <v>74</v>
      </c>
      <c r="BQ532" t="s">
        <v>74</v>
      </c>
      <c r="BR532" t="s">
        <v>106</v>
      </c>
      <c r="BS532" t="s">
        <v>10387</v>
      </c>
      <c r="BT532" t="str">
        <f>HYPERLINK("https%3A%2F%2Fwww.webofscience.com%2Fwos%2Fwoscc%2Ffull-record%2FWOS:000878066700009","View Full Record in Web of Science")</f>
        <v>View Full Record in Web of Science</v>
      </c>
    </row>
    <row r="533" spans="1:72" x14ac:dyDescent="0.2">
      <c r="A533" t="s">
        <v>72</v>
      </c>
      <c r="B533" t="s">
        <v>10388</v>
      </c>
      <c r="C533" t="s">
        <v>74</v>
      </c>
      <c r="D533" t="s">
        <v>74</v>
      </c>
      <c r="E533" t="s">
        <v>74</v>
      </c>
      <c r="F533" t="s">
        <v>10389</v>
      </c>
      <c r="G533" t="s">
        <v>74</v>
      </c>
      <c r="H533" t="s">
        <v>74</v>
      </c>
      <c r="I533" t="s">
        <v>10390</v>
      </c>
      <c r="J533" t="s">
        <v>468</v>
      </c>
      <c r="K533" t="s">
        <v>74</v>
      </c>
      <c r="L533" t="s">
        <v>74</v>
      </c>
      <c r="M533" t="s">
        <v>78</v>
      </c>
      <c r="N533" t="s">
        <v>79</v>
      </c>
      <c r="O533" t="s">
        <v>74</v>
      </c>
      <c r="P533" t="s">
        <v>74</v>
      </c>
      <c r="Q533" t="s">
        <v>74</v>
      </c>
      <c r="R533" t="s">
        <v>74</v>
      </c>
      <c r="S533" t="s">
        <v>74</v>
      </c>
      <c r="T533" t="s">
        <v>10391</v>
      </c>
      <c r="U533" t="s">
        <v>10392</v>
      </c>
      <c r="V533" t="s">
        <v>10393</v>
      </c>
      <c r="W533" t="s">
        <v>10394</v>
      </c>
      <c r="X533" t="s">
        <v>10395</v>
      </c>
      <c r="Y533" t="s">
        <v>10396</v>
      </c>
      <c r="Z533" t="s">
        <v>10397</v>
      </c>
      <c r="AA533" t="s">
        <v>10398</v>
      </c>
      <c r="AB533" t="s">
        <v>10399</v>
      </c>
      <c r="AC533" t="s">
        <v>10400</v>
      </c>
      <c r="AD533" t="s">
        <v>10401</v>
      </c>
      <c r="AE533" t="s">
        <v>10402</v>
      </c>
      <c r="AF533" t="s">
        <v>74</v>
      </c>
      <c r="AG533">
        <v>87</v>
      </c>
      <c r="AH533">
        <v>9</v>
      </c>
      <c r="AI533">
        <v>12</v>
      </c>
      <c r="AJ533">
        <v>4</v>
      </c>
      <c r="AK533">
        <v>43</v>
      </c>
      <c r="AL533" t="s">
        <v>222</v>
      </c>
      <c r="AM533" t="s">
        <v>223</v>
      </c>
      <c r="AN533" t="s">
        <v>224</v>
      </c>
      <c r="AO533" t="s">
        <v>74</v>
      </c>
      <c r="AP533" t="s">
        <v>479</v>
      </c>
      <c r="AQ533" t="s">
        <v>74</v>
      </c>
      <c r="AR533" t="s">
        <v>480</v>
      </c>
      <c r="AS533" t="s">
        <v>481</v>
      </c>
      <c r="AT533" t="s">
        <v>183</v>
      </c>
      <c r="AU533">
        <v>2020</v>
      </c>
      <c r="AV533">
        <v>12</v>
      </c>
      <c r="AW533">
        <v>14</v>
      </c>
      <c r="AX533" t="s">
        <v>74</v>
      </c>
      <c r="AY533" t="s">
        <v>74</v>
      </c>
      <c r="AZ533" t="s">
        <v>74</v>
      </c>
      <c r="BA533" t="s">
        <v>74</v>
      </c>
      <c r="BB533" t="s">
        <v>74</v>
      </c>
      <c r="BC533" t="s">
        <v>74</v>
      </c>
      <c r="BD533">
        <v>5798</v>
      </c>
      <c r="BE533" t="s">
        <v>10403</v>
      </c>
      <c r="BF533" t="str">
        <f>HYPERLINK("http://dx.doi.org/10.3390/su12145798","http://dx.doi.org/10.3390/su12145798")</f>
        <v>http://dx.doi.org/10.3390/su12145798</v>
      </c>
      <c r="BG533" t="s">
        <v>74</v>
      </c>
      <c r="BH533" t="s">
        <v>74</v>
      </c>
      <c r="BI533">
        <v>19</v>
      </c>
      <c r="BJ533" t="s">
        <v>484</v>
      </c>
      <c r="BK533" t="s">
        <v>186</v>
      </c>
      <c r="BL533" t="s">
        <v>485</v>
      </c>
      <c r="BM533" t="s">
        <v>10404</v>
      </c>
      <c r="BN533" t="s">
        <v>74</v>
      </c>
      <c r="BO533" t="s">
        <v>161</v>
      </c>
      <c r="BP533" t="s">
        <v>74</v>
      </c>
      <c r="BQ533" t="s">
        <v>74</v>
      </c>
      <c r="BR533" t="s">
        <v>106</v>
      </c>
      <c r="BS533" t="s">
        <v>10405</v>
      </c>
      <c r="BT533" t="str">
        <f>HYPERLINK("https%3A%2F%2Fwww.webofscience.com%2Fwos%2Fwoscc%2Ffull-record%2FWOS:000555945400001","View Full Record in Web of Science")</f>
        <v>View Full Record in Web of Science</v>
      </c>
    </row>
    <row r="534" spans="1:72" x14ac:dyDescent="0.2">
      <c r="A534" t="s">
        <v>72</v>
      </c>
      <c r="B534" t="s">
        <v>10406</v>
      </c>
      <c r="C534" t="s">
        <v>74</v>
      </c>
      <c r="D534" t="s">
        <v>74</v>
      </c>
      <c r="E534" t="s">
        <v>74</v>
      </c>
      <c r="F534" t="s">
        <v>10407</v>
      </c>
      <c r="G534" t="s">
        <v>74</v>
      </c>
      <c r="H534" t="s">
        <v>74</v>
      </c>
      <c r="I534" t="s">
        <v>10408</v>
      </c>
      <c r="J534" t="s">
        <v>138</v>
      </c>
      <c r="K534" t="s">
        <v>74</v>
      </c>
      <c r="L534" t="s">
        <v>74</v>
      </c>
      <c r="M534" t="s">
        <v>78</v>
      </c>
      <c r="N534" t="s">
        <v>79</v>
      </c>
      <c r="O534" t="s">
        <v>74</v>
      </c>
      <c r="P534" t="s">
        <v>74</v>
      </c>
      <c r="Q534" t="s">
        <v>74</v>
      </c>
      <c r="R534" t="s">
        <v>74</v>
      </c>
      <c r="S534" t="s">
        <v>74</v>
      </c>
      <c r="T534" t="s">
        <v>74</v>
      </c>
      <c r="U534" t="s">
        <v>10409</v>
      </c>
      <c r="V534" t="s">
        <v>10410</v>
      </c>
      <c r="W534" t="s">
        <v>10411</v>
      </c>
      <c r="X534" t="s">
        <v>10412</v>
      </c>
      <c r="Y534" t="s">
        <v>10413</v>
      </c>
      <c r="Z534" t="s">
        <v>10414</v>
      </c>
      <c r="AA534" t="s">
        <v>10415</v>
      </c>
      <c r="AB534" t="s">
        <v>10416</v>
      </c>
      <c r="AC534" t="s">
        <v>10417</v>
      </c>
      <c r="AD534" t="s">
        <v>10418</v>
      </c>
      <c r="AE534" t="s">
        <v>10419</v>
      </c>
      <c r="AF534" t="s">
        <v>74</v>
      </c>
      <c r="AG534">
        <v>125</v>
      </c>
      <c r="AH534">
        <v>3</v>
      </c>
      <c r="AI534">
        <v>3</v>
      </c>
      <c r="AJ534">
        <v>12</v>
      </c>
      <c r="AK534">
        <v>40</v>
      </c>
      <c r="AL534" t="s">
        <v>150</v>
      </c>
      <c r="AM534" t="s">
        <v>151</v>
      </c>
      <c r="AN534" t="s">
        <v>152</v>
      </c>
      <c r="AO534" t="s">
        <v>153</v>
      </c>
      <c r="AP534" t="s">
        <v>74</v>
      </c>
      <c r="AQ534" t="s">
        <v>74</v>
      </c>
      <c r="AR534" t="s">
        <v>138</v>
      </c>
      <c r="AS534" t="s">
        <v>154</v>
      </c>
      <c r="AT534" t="s">
        <v>9883</v>
      </c>
      <c r="AU534">
        <v>2023</v>
      </c>
      <c r="AV534">
        <v>18</v>
      </c>
      <c r="AW534">
        <v>8</v>
      </c>
      <c r="AX534" t="s">
        <v>74</v>
      </c>
      <c r="AY534" t="s">
        <v>74</v>
      </c>
      <c r="AZ534" t="s">
        <v>74</v>
      </c>
      <c r="BA534" t="s">
        <v>74</v>
      </c>
      <c r="BB534" t="s">
        <v>74</v>
      </c>
      <c r="BC534" t="s">
        <v>74</v>
      </c>
      <c r="BD534" t="s">
        <v>74</v>
      </c>
      <c r="BE534" t="s">
        <v>10420</v>
      </c>
      <c r="BF534" t="str">
        <f>HYPERLINK("http://dx.doi.org/10.1371/journal.pone.0284092","http://dx.doi.org/10.1371/journal.pone.0284092")</f>
        <v>http://dx.doi.org/10.1371/journal.pone.0284092</v>
      </c>
      <c r="BG534" t="s">
        <v>74</v>
      </c>
      <c r="BH534" t="s">
        <v>74</v>
      </c>
      <c r="BI534">
        <v>23</v>
      </c>
      <c r="BJ534" t="s">
        <v>158</v>
      </c>
      <c r="BK534" t="s">
        <v>102</v>
      </c>
      <c r="BL534" t="s">
        <v>159</v>
      </c>
      <c r="BM534" t="s">
        <v>10421</v>
      </c>
      <c r="BN534">
        <v>37561746</v>
      </c>
      <c r="BO534" t="s">
        <v>161</v>
      </c>
      <c r="BP534" t="s">
        <v>74</v>
      </c>
      <c r="BQ534" t="s">
        <v>74</v>
      </c>
      <c r="BR534" t="s">
        <v>106</v>
      </c>
      <c r="BS534" t="s">
        <v>10422</v>
      </c>
      <c r="BT534" t="str">
        <f>HYPERLINK("https%3A%2F%2Fwww.webofscience.com%2Fwos%2Fwoscc%2Ffull-record%2FWOS:001051741800104","View Full Record in Web of Science")</f>
        <v>View Full Record in Web of Science</v>
      </c>
    </row>
    <row r="535" spans="1:72" x14ac:dyDescent="0.2">
      <c r="A535" t="s">
        <v>72</v>
      </c>
      <c r="B535" t="s">
        <v>10423</v>
      </c>
      <c r="C535" t="s">
        <v>74</v>
      </c>
      <c r="D535" t="s">
        <v>74</v>
      </c>
      <c r="E535" t="s">
        <v>74</v>
      </c>
      <c r="F535" t="s">
        <v>10424</v>
      </c>
      <c r="G535" t="s">
        <v>74</v>
      </c>
      <c r="H535" t="s">
        <v>74</v>
      </c>
      <c r="I535" t="s">
        <v>10425</v>
      </c>
      <c r="J535" t="s">
        <v>2236</v>
      </c>
      <c r="K535" t="s">
        <v>74</v>
      </c>
      <c r="L535" t="s">
        <v>74</v>
      </c>
      <c r="M535" t="s">
        <v>78</v>
      </c>
      <c r="N535" t="s">
        <v>79</v>
      </c>
      <c r="O535" t="s">
        <v>74</v>
      </c>
      <c r="P535" t="s">
        <v>74</v>
      </c>
      <c r="Q535" t="s">
        <v>74</v>
      </c>
      <c r="R535" t="s">
        <v>74</v>
      </c>
      <c r="S535" t="s">
        <v>74</v>
      </c>
      <c r="T535" t="s">
        <v>10426</v>
      </c>
      <c r="U535" t="s">
        <v>10427</v>
      </c>
      <c r="V535" t="s">
        <v>10428</v>
      </c>
      <c r="W535" t="s">
        <v>10429</v>
      </c>
      <c r="X535" t="s">
        <v>10430</v>
      </c>
      <c r="Y535" t="s">
        <v>10431</v>
      </c>
      <c r="Z535" t="s">
        <v>10432</v>
      </c>
      <c r="AA535" t="s">
        <v>10433</v>
      </c>
      <c r="AB535" t="s">
        <v>10434</v>
      </c>
      <c r="AC535" t="s">
        <v>10435</v>
      </c>
      <c r="AD535" t="s">
        <v>10436</v>
      </c>
      <c r="AE535" t="s">
        <v>10437</v>
      </c>
      <c r="AF535" t="s">
        <v>74</v>
      </c>
      <c r="AG535">
        <v>38</v>
      </c>
      <c r="AH535">
        <v>9</v>
      </c>
      <c r="AI535">
        <v>10</v>
      </c>
      <c r="AJ535">
        <v>2</v>
      </c>
      <c r="AK535">
        <v>52</v>
      </c>
      <c r="AL535" t="s">
        <v>176</v>
      </c>
      <c r="AM535" t="s">
        <v>177</v>
      </c>
      <c r="AN535" t="s">
        <v>178</v>
      </c>
      <c r="AO535" t="s">
        <v>2248</v>
      </c>
      <c r="AP535" t="s">
        <v>2249</v>
      </c>
      <c r="AQ535" t="s">
        <v>74</v>
      </c>
      <c r="AR535" t="s">
        <v>2250</v>
      </c>
      <c r="AS535" t="s">
        <v>2251</v>
      </c>
      <c r="AT535" t="s">
        <v>1963</v>
      </c>
      <c r="AU535">
        <v>2017</v>
      </c>
      <c r="AV535">
        <v>156</v>
      </c>
      <c r="AW535" t="s">
        <v>74</v>
      </c>
      <c r="AX535" t="s">
        <v>74</v>
      </c>
      <c r="AY535" t="s">
        <v>74</v>
      </c>
      <c r="AZ535" t="s">
        <v>74</v>
      </c>
      <c r="BA535" t="s">
        <v>74</v>
      </c>
      <c r="BB535">
        <v>85</v>
      </c>
      <c r="BC535">
        <v>94</v>
      </c>
      <c r="BD535" t="s">
        <v>74</v>
      </c>
      <c r="BE535" t="s">
        <v>10438</v>
      </c>
      <c r="BF535" t="str">
        <f>HYPERLINK("http://dx.doi.org/10.1016/j.agsy.2017.05.017","http://dx.doi.org/10.1016/j.agsy.2017.05.017")</f>
        <v>http://dx.doi.org/10.1016/j.agsy.2017.05.017</v>
      </c>
      <c r="BG535" t="s">
        <v>74</v>
      </c>
      <c r="BH535" t="s">
        <v>74</v>
      </c>
      <c r="BI535">
        <v>10</v>
      </c>
      <c r="BJ535" t="s">
        <v>101</v>
      </c>
      <c r="BK535" t="s">
        <v>102</v>
      </c>
      <c r="BL535" t="s">
        <v>103</v>
      </c>
      <c r="BM535" t="s">
        <v>10439</v>
      </c>
      <c r="BN535" t="s">
        <v>74</v>
      </c>
      <c r="BO535" t="s">
        <v>74</v>
      </c>
      <c r="BP535" t="s">
        <v>74</v>
      </c>
      <c r="BQ535" t="s">
        <v>74</v>
      </c>
      <c r="BR535" t="s">
        <v>106</v>
      </c>
      <c r="BS535" t="s">
        <v>10440</v>
      </c>
      <c r="BT535" t="str">
        <f>HYPERLINK("https%3A%2F%2Fwww.webofscience.com%2Fwos%2Fwoscc%2Ffull-record%2FWOS:000407984600009","View Full Record in Web of Science")</f>
        <v>View Full Record in Web of Science</v>
      </c>
    </row>
    <row r="536" spans="1:72" x14ac:dyDescent="0.2">
      <c r="A536" t="s">
        <v>72</v>
      </c>
      <c r="B536" t="s">
        <v>10441</v>
      </c>
      <c r="C536" t="s">
        <v>74</v>
      </c>
      <c r="D536" t="s">
        <v>74</v>
      </c>
      <c r="E536" t="s">
        <v>74</v>
      </c>
      <c r="F536" t="s">
        <v>10442</v>
      </c>
      <c r="G536" t="s">
        <v>74</v>
      </c>
      <c r="H536" t="s">
        <v>74</v>
      </c>
      <c r="I536" t="s">
        <v>10443</v>
      </c>
      <c r="J536" t="s">
        <v>1295</v>
      </c>
      <c r="K536" t="s">
        <v>74</v>
      </c>
      <c r="L536" t="s">
        <v>74</v>
      </c>
      <c r="M536" t="s">
        <v>78</v>
      </c>
      <c r="N536" t="s">
        <v>79</v>
      </c>
      <c r="O536" t="s">
        <v>74</v>
      </c>
      <c r="P536" t="s">
        <v>74</v>
      </c>
      <c r="Q536" t="s">
        <v>74</v>
      </c>
      <c r="R536" t="s">
        <v>74</v>
      </c>
      <c r="S536" t="s">
        <v>74</v>
      </c>
      <c r="T536" t="s">
        <v>10444</v>
      </c>
      <c r="U536" t="s">
        <v>10445</v>
      </c>
      <c r="V536" t="s">
        <v>10446</v>
      </c>
      <c r="W536" t="s">
        <v>10447</v>
      </c>
      <c r="X536" t="s">
        <v>10448</v>
      </c>
      <c r="Y536" t="s">
        <v>10449</v>
      </c>
      <c r="Z536" t="s">
        <v>10450</v>
      </c>
      <c r="AA536" t="s">
        <v>10451</v>
      </c>
      <c r="AB536" t="s">
        <v>10452</v>
      </c>
      <c r="AC536" t="s">
        <v>10453</v>
      </c>
      <c r="AD536" t="s">
        <v>10454</v>
      </c>
      <c r="AE536" t="s">
        <v>10455</v>
      </c>
      <c r="AF536" t="s">
        <v>74</v>
      </c>
      <c r="AG536">
        <v>45</v>
      </c>
      <c r="AH536">
        <v>90</v>
      </c>
      <c r="AI536">
        <v>101</v>
      </c>
      <c r="AJ536">
        <v>5</v>
      </c>
      <c r="AK536">
        <v>166</v>
      </c>
      <c r="AL536" t="s">
        <v>934</v>
      </c>
      <c r="AM536" t="s">
        <v>177</v>
      </c>
      <c r="AN536" t="s">
        <v>935</v>
      </c>
      <c r="AO536" t="s">
        <v>1308</v>
      </c>
      <c r="AP536" t="s">
        <v>1309</v>
      </c>
      <c r="AQ536" t="s">
        <v>74</v>
      </c>
      <c r="AR536" t="s">
        <v>1310</v>
      </c>
      <c r="AS536" t="s">
        <v>1311</v>
      </c>
      <c r="AT536" t="s">
        <v>805</v>
      </c>
      <c r="AU536">
        <v>2015</v>
      </c>
      <c r="AV536">
        <v>121</v>
      </c>
      <c r="AW536" t="s">
        <v>74</v>
      </c>
      <c r="AX536" t="s">
        <v>74</v>
      </c>
      <c r="AY536" t="s">
        <v>74</v>
      </c>
      <c r="AZ536" t="s">
        <v>1070</v>
      </c>
      <c r="BA536" t="s">
        <v>74</v>
      </c>
      <c r="BB536">
        <v>22</v>
      </c>
      <c r="BC536">
        <v>34</v>
      </c>
      <c r="BD536" t="s">
        <v>74</v>
      </c>
      <c r="BE536" t="s">
        <v>10456</v>
      </c>
      <c r="BF536" t="str">
        <f>HYPERLINK("http://dx.doi.org/10.1016/j.atmosenv.2015.05.010","http://dx.doi.org/10.1016/j.atmosenv.2015.05.010")</f>
        <v>http://dx.doi.org/10.1016/j.atmosenv.2015.05.010</v>
      </c>
      <c r="BG536" t="s">
        <v>74</v>
      </c>
      <c r="BH536" t="s">
        <v>74</v>
      </c>
      <c r="BI536">
        <v>13</v>
      </c>
      <c r="BJ536" t="s">
        <v>782</v>
      </c>
      <c r="BK536" t="s">
        <v>102</v>
      </c>
      <c r="BL536" t="s">
        <v>783</v>
      </c>
      <c r="BM536" t="s">
        <v>10457</v>
      </c>
      <c r="BN536" t="s">
        <v>74</v>
      </c>
      <c r="BO536" t="s">
        <v>916</v>
      </c>
      <c r="BP536" t="s">
        <v>74</v>
      </c>
      <c r="BQ536" t="s">
        <v>74</v>
      </c>
      <c r="BR536" t="s">
        <v>106</v>
      </c>
      <c r="BS536" t="s">
        <v>10458</v>
      </c>
      <c r="BT536" t="str">
        <f>HYPERLINK("https%3A%2F%2Fwww.webofscience.com%2Fwos%2Fwoscc%2Ffull-record%2FWOS:000364727200004","View Full Record in Web of Science")</f>
        <v>View Full Record in Web of Science</v>
      </c>
    </row>
    <row r="537" spans="1:72" x14ac:dyDescent="0.2">
      <c r="A537" t="s">
        <v>72</v>
      </c>
      <c r="B537" t="s">
        <v>10459</v>
      </c>
      <c r="C537" t="s">
        <v>74</v>
      </c>
      <c r="D537" t="s">
        <v>74</v>
      </c>
      <c r="E537" t="s">
        <v>74</v>
      </c>
      <c r="F537" t="s">
        <v>10460</v>
      </c>
      <c r="G537" t="s">
        <v>74</v>
      </c>
      <c r="H537" t="s">
        <v>74</v>
      </c>
      <c r="I537" t="s">
        <v>10461</v>
      </c>
      <c r="J537" t="s">
        <v>10462</v>
      </c>
      <c r="K537" t="s">
        <v>74</v>
      </c>
      <c r="L537" t="s">
        <v>74</v>
      </c>
      <c r="M537" t="s">
        <v>78</v>
      </c>
      <c r="N537" t="s">
        <v>79</v>
      </c>
      <c r="O537" t="s">
        <v>74</v>
      </c>
      <c r="P537" t="s">
        <v>74</v>
      </c>
      <c r="Q537" t="s">
        <v>74</v>
      </c>
      <c r="R537" t="s">
        <v>74</v>
      </c>
      <c r="S537" t="s">
        <v>74</v>
      </c>
      <c r="T537" t="s">
        <v>74</v>
      </c>
      <c r="U537" t="s">
        <v>10463</v>
      </c>
      <c r="V537" t="s">
        <v>10464</v>
      </c>
      <c r="W537" t="s">
        <v>10465</v>
      </c>
      <c r="X537" t="s">
        <v>9663</v>
      </c>
      <c r="Y537" t="s">
        <v>10466</v>
      </c>
      <c r="Z537" t="s">
        <v>10467</v>
      </c>
      <c r="AA537" t="s">
        <v>74</v>
      </c>
      <c r="AB537" t="s">
        <v>10468</v>
      </c>
      <c r="AC537" t="s">
        <v>74</v>
      </c>
      <c r="AD537" t="s">
        <v>74</v>
      </c>
      <c r="AE537" t="s">
        <v>74</v>
      </c>
      <c r="AF537" t="s">
        <v>74</v>
      </c>
      <c r="AG537">
        <v>24</v>
      </c>
      <c r="AH537">
        <v>0</v>
      </c>
      <c r="AI537">
        <v>0</v>
      </c>
      <c r="AJ537">
        <v>1</v>
      </c>
      <c r="AK537">
        <v>7</v>
      </c>
      <c r="AL537" t="s">
        <v>10469</v>
      </c>
      <c r="AM537" t="s">
        <v>177</v>
      </c>
      <c r="AN537" t="s">
        <v>10470</v>
      </c>
      <c r="AO537" t="s">
        <v>10471</v>
      </c>
      <c r="AP537" t="s">
        <v>74</v>
      </c>
      <c r="AQ537" t="s">
        <v>74</v>
      </c>
      <c r="AR537" t="s">
        <v>10472</v>
      </c>
      <c r="AS537" t="s">
        <v>10473</v>
      </c>
      <c r="AT537" t="s">
        <v>10474</v>
      </c>
      <c r="AU537">
        <v>2022</v>
      </c>
      <c r="AV537">
        <v>2022</v>
      </c>
      <c r="AW537" t="s">
        <v>74</v>
      </c>
      <c r="AX537" t="s">
        <v>74</v>
      </c>
      <c r="AY537" t="s">
        <v>74</v>
      </c>
      <c r="AZ537" t="s">
        <v>74</v>
      </c>
      <c r="BA537" t="s">
        <v>74</v>
      </c>
      <c r="BB537" t="s">
        <v>74</v>
      </c>
      <c r="BC537" t="s">
        <v>74</v>
      </c>
      <c r="BD537" t="s">
        <v>10475</v>
      </c>
      <c r="BE537" t="s">
        <v>10476</v>
      </c>
      <c r="BF537" t="str">
        <f>HYPERLINK("http://dx.doi.org/10.1093/database/baac105","http://dx.doi.org/10.1093/database/baac105")</f>
        <v>http://dx.doi.org/10.1093/database/baac105</v>
      </c>
      <c r="BG537" t="s">
        <v>74</v>
      </c>
      <c r="BH537" t="s">
        <v>9389</v>
      </c>
      <c r="BI537">
        <v>9</v>
      </c>
      <c r="BJ537" t="s">
        <v>10477</v>
      </c>
      <c r="BK537" t="s">
        <v>102</v>
      </c>
      <c r="BL537" t="s">
        <v>10477</v>
      </c>
      <c r="BM537" t="s">
        <v>10478</v>
      </c>
      <c r="BN537">
        <v>36515263</v>
      </c>
      <c r="BO537" t="s">
        <v>161</v>
      </c>
      <c r="BP537" t="s">
        <v>74</v>
      </c>
      <c r="BQ537" t="s">
        <v>74</v>
      </c>
      <c r="BR537" t="s">
        <v>106</v>
      </c>
      <c r="BS537" t="s">
        <v>10479</v>
      </c>
      <c r="BT537" t="str">
        <f>HYPERLINK("https%3A%2F%2Fwww.webofscience.com%2Fwos%2Fwoscc%2Ffull-record%2FWOS:000935190300001","View Full Record in Web of Science")</f>
        <v>View Full Record in Web of Science</v>
      </c>
    </row>
    <row r="538" spans="1:72" x14ac:dyDescent="0.2">
      <c r="A538" t="s">
        <v>72</v>
      </c>
      <c r="B538" t="s">
        <v>10480</v>
      </c>
      <c r="C538" t="s">
        <v>74</v>
      </c>
      <c r="D538" t="s">
        <v>74</v>
      </c>
      <c r="E538" t="s">
        <v>74</v>
      </c>
      <c r="F538" t="s">
        <v>10481</v>
      </c>
      <c r="G538" t="s">
        <v>74</v>
      </c>
      <c r="H538" t="s">
        <v>74</v>
      </c>
      <c r="I538" t="s">
        <v>10482</v>
      </c>
      <c r="J538" t="s">
        <v>468</v>
      </c>
      <c r="K538" t="s">
        <v>74</v>
      </c>
      <c r="L538" t="s">
        <v>74</v>
      </c>
      <c r="M538" t="s">
        <v>78</v>
      </c>
      <c r="N538" t="s">
        <v>79</v>
      </c>
      <c r="O538" t="s">
        <v>74</v>
      </c>
      <c r="P538" t="s">
        <v>74</v>
      </c>
      <c r="Q538" t="s">
        <v>74</v>
      </c>
      <c r="R538" t="s">
        <v>74</v>
      </c>
      <c r="S538" t="s">
        <v>74</v>
      </c>
      <c r="T538" t="s">
        <v>10483</v>
      </c>
      <c r="U538" t="s">
        <v>10484</v>
      </c>
      <c r="V538" t="s">
        <v>10485</v>
      </c>
      <c r="W538" t="s">
        <v>10486</v>
      </c>
      <c r="X538" t="s">
        <v>10487</v>
      </c>
      <c r="Y538" t="s">
        <v>10488</v>
      </c>
      <c r="Z538" t="s">
        <v>10489</v>
      </c>
      <c r="AA538" t="s">
        <v>10490</v>
      </c>
      <c r="AB538" t="s">
        <v>74</v>
      </c>
      <c r="AC538" t="s">
        <v>10491</v>
      </c>
      <c r="AD538" t="s">
        <v>10492</v>
      </c>
      <c r="AE538" t="s">
        <v>10493</v>
      </c>
      <c r="AF538" t="s">
        <v>74</v>
      </c>
      <c r="AG538">
        <v>79</v>
      </c>
      <c r="AH538">
        <v>12</v>
      </c>
      <c r="AI538">
        <v>15</v>
      </c>
      <c r="AJ538">
        <v>13</v>
      </c>
      <c r="AK538">
        <v>190</v>
      </c>
      <c r="AL538" t="s">
        <v>222</v>
      </c>
      <c r="AM538" t="s">
        <v>223</v>
      </c>
      <c r="AN538" t="s">
        <v>224</v>
      </c>
      <c r="AO538" t="s">
        <v>74</v>
      </c>
      <c r="AP538" t="s">
        <v>479</v>
      </c>
      <c r="AQ538" t="s">
        <v>74</v>
      </c>
      <c r="AR538" t="s">
        <v>480</v>
      </c>
      <c r="AS538" t="s">
        <v>481</v>
      </c>
      <c r="AT538" t="s">
        <v>2017</v>
      </c>
      <c r="AU538">
        <v>2017</v>
      </c>
      <c r="AV538">
        <v>9</v>
      </c>
      <c r="AW538">
        <v>10</v>
      </c>
      <c r="AX538" t="s">
        <v>74</v>
      </c>
      <c r="AY538" t="s">
        <v>74</v>
      </c>
      <c r="AZ538" t="s">
        <v>74</v>
      </c>
      <c r="BA538" t="s">
        <v>74</v>
      </c>
      <c r="BB538" t="s">
        <v>74</v>
      </c>
      <c r="BC538" t="s">
        <v>74</v>
      </c>
      <c r="BD538">
        <v>1916</v>
      </c>
      <c r="BE538" t="s">
        <v>10494</v>
      </c>
      <c r="BF538" t="str">
        <f>HYPERLINK("http://dx.doi.org/10.3390/su9101916","http://dx.doi.org/10.3390/su9101916")</f>
        <v>http://dx.doi.org/10.3390/su9101916</v>
      </c>
      <c r="BG538" t="s">
        <v>74</v>
      </c>
      <c r="BH538" t="s">
        <v>74</v>
      </c>
      <c r="BI538">
        <v>16</v>
      </c>
      <c r="BJ538" t="s">
        <v>484</v>
      </c>
      <c r="BK538" t="s">
        <v>186</v>
      </c>
      <c r="BL538" t="s">
        <v>485</v>
      </c>
      <c r="BM538" t="s">
        <v>10495</v>
      </c>
      <c r="BN538" t="s">
        <v>74</v>
      </c>
      <c r="BO538" t="s">
        <v>161</v>
      </c>
      <c r="BP538" t="s">
        <v>74</v>
      </c>
      <c r="BQ538" t="s">
        <v>74</v>
      </c>
      <c r="BR538" t="s">
        <v>106</v>
      </c>
      <c r="BS538" t="s">
        <v>10496</v>
      </c>
      <c r="BT538" t="str">
        <f>HYPERLINK("https%3A%2F%2Fwww.webofscience.com%2Fwos%2Fwoscc%2Ffull-record%2FWOS:000414896200241","View Full Record in Web of Science")</f>
        <v>View Full Record in Web of Science</v>
      </c>
    </row>
    <row r="539" spans="1:72" x14ac:dyDescent="0.2">
      <c r="A539" t="s">
        <v>72</v>
      </c>
      <c r="B539" t="s">
        <v>10497</v>
      </c>
      <c r="C539" t="s">
        <v>74</v>
      </c>
      <c r="D539" t="s">
        <v>74</v>
      </c>
      <c r="E539" t="s">
        <v>74</v>
      </c>
      <c r="F539" t="s">
        <v>10498</v>
      </c>
      <c r="G539" t="s">
        <v>74</v>
      </c>
      <c r="H539" t="s">
        <v>74</v>
      </c>
      <c r="I539" t="s">
        <v>10499</v>
      </c>
      <c r="J539" t="s">
        <v>1526</v>
      </c>
      <c r="K539" t="s">
        <v>74</v>
      </c>
      <c r="L539" t="s">
        <v>74</v>
      </c>
      <c r="M539" t="s">
        <v>78</v>
      </c>
      <c r="N539" t="s">
        <v>79</v>
      </c>
      <c r="O539" t="s">
        <v>74</v>
      </c>
      <c r="P539" t="s">
        <v>74</v>
      </c>
      <c r="Q539" t="s">
        <v>74</v>
      </c>
      <c r="R539" t="s">
        <v>74</v>
      </c>
      <c r="S539" t="s">
        <v>74</v>
      </c>
      <c r="T539" t="s">
        <v>10500</v>
      </c>
      <c r="U539" t="s">
        <v>10501</v>
      </c>
      <c r="V539" t="s">
        <v>10502</v>
      </c>
      <c r="W539" t="s">
        <v>10503</v>
      </c>
      <c r="X539" t="s">
        <v>10504</v>
      </c>
      <c r="Y539" t="s">
        <v>10505</v>
      </c>
      <c r="Z539" t="s">
        <v>10506</v>
      </c>
      <c r="AA539" t="s">
        <v>10507</v>
      </c>
      <c r="AB539" t="s">
        <v>10508</v>
      </c>
      <c r="AC539" t="s">
        <v>10509</v>
      </c>
      <c r="AD539" t="s">
        <v>10510</v>
      </c>
      <c r="AE539" t="s">
        <v>10511</v>
      </c>
      <c r="AF539" t="s">
        <v>74</v>
      </c>
      <c r="AG539">
        <v>49</v>
      </c>
      <c r="AH539">
        <v>78</v>
      </c>
      <c r="AI539">
        <v>84</v>
      </c>
      <c r="AJ539">
        <v>17</v>
      </c>
      <c r="AK539">
        <v>154</v>
      </c>
      <c r="AL539" t="s">
        <v>176</v>
      </c>
      <c r="AM539" t="s">
        <v>177</v>
      </c>
      <c r="AN539" t="s">
        <v>178</v>
      </c>
      <c r="AO539" t="s">
        <v>1538</v>
      </c>
      <c r="AP539" t="s">
        <v>1539</v>
      </c>
      <c r="AQ539" t="s">
        <v>74</v>
      </c>
      <c r="AR539" t="s">
        <v>1540</v>
      </c>
      <c r="AS539" t="s">
        <v>1541</v>
      </c>
      <c r="AT539" t="s">
        <v>10512</v>
      </c>
      <c r="AU539">
        <v>2020</v>
      </c>
      <c r="AV539">
        <v>276</v>
      </c>
      <c r="AW539" t="s">
        <v>74</v>
      </c>
      <c r="AX539" t="s">
        <v>74</v>
      </c>
      <c r="AY539" t="s">
        <v>74</v>
      </c>
      <c r="AZ539" t="s">
        <v>74</v>
      </c>
      <c r="BA539" t="s">
        <v>74</v>
      </c>
      <c r="BB539" t="s">
        <v>74</v>
      </c>
      <c r="BC539" t="s">
        <v>74</v>
      </c>
      <c r="BD539">
        <v>124210</v>
      </c>
      <c r="BE539" t="s">
        <v>10513</v>
      </c>
      <c r="BF539" t="str">
        <f>HYPERLINK("http://dx.doi.org/10.1016/j.jclepro.2020.124210","http://dx.doi.org/10.1016/j.jclepro.2020.124210")</f>
        <v>http://dx.doi.org/10.1016/j.jclepro.2020.124210</v>
      </c>
      <c r="BG539" t="s">
        <v>74</v>
      </c>
      <c r="BH539" t="s">
        <v>74</v>
      </c>
      <c r="BI539">
        <v>12</v>
      </c>
      <c r="BJ539" t="s">
        <v>1543</v>
      </c>
      <c r="BK539" t="s">
        <v>186</v>
      </c>
      <c r="BL539" t="s">
        <v>1544</v>
      </c>
      <c r="BM539" t="s">
        <v>10514</v>
      </c>
      <c r="BN539" t="s">
        <v>74</v>
      </c>
      <c r="BO539" t="s">
        <v>74</v>
      </c>
      <c r="BP539" t="s">
        <v>74</v>
      </c>
      <c r="BQ539" t="s">
        <v>74</v>
      </c>
      <c r="BR539" t="s">
        <v>106</v>
      </c>
      <c r="BS539" t="s">
        <v>10515</v>
      </c>
      <c r="BT539" t="str">
        <f>HYPERLINK("https%3A%2F%2Fwww.webofscience.com%2Fwos%2Fwoscc%2Ffull-record%2FWOS:000579500800181","View Full Record in Web of Science")</f>
        <v>View Full Record in Web of Science</v>
      </c>
    </row>
    <row r="540" spans="1:72" x14ac:dyDescent="0.2">
      <c r="A540" t="s">
        <v>72</v>
      </c>
      <c r="B540" t="s">
        <v>10516</v>
      </c>
      <c r="C540" t="s">
        <v>74</v>
      </c>
      <c r="D540" t="s">
        <v>74</v>
      </c>
      <c r="E540" t="s">
        <v>74</v>
      </c>
      <c r="F540" t="s">
        <v>10517</v>
      </c>
      <c r="G540" t="s">
        <v>74</v>
      </c>
      <c r="H540" t="s">
        <v>74</v>
      </c>
      <c r="I540" t="s">
        <v>10518</v>
      </c>
      <c r="J540" t="s">
        <v>468</v>
      </c>
      <c r="K540" t="s">
        <v>74</v>
      </c>
      <c r="L540" t="s">
        <v>74</v>
      </c>
      <c r="M540" t="s">
        <v>78</v>
      </c>
      <c r="N540" t="s">
        <v>79</v>
      </c>
      <c r="O540" t="s">
        <v>74</v>
      </c>
      <c r="P540" t="s">
        <v>74</v>
      </c>
      <c r="Q540" t="s">
        <v>74</v>
      </c>
      <c r="R540" t="s">
        <v>74</v>
      </c>
      <c r="S540" t="s">
        <v>74</v>
      </c>
      <c r="T540" t="s">
        <v>10519</v>
      </c>
      <c r="U540" t="s">
        <v>10520</v>
      </c>
      <c r="V540" t="s">
        <v>10521</v>
      </c>
      <c r="W540" t="s">
        <v>10522</v>
      </c>
      <c r="X540" t="s">
        <v>10523</v>
      </c>
      <c r="Y540" t="s">
        <v>10524</v>
      </c>
      <c r="Z540" t="s">
        <v>10525</v>
      </c>
      <c r="AA540" t="s">
        <v>10526</v>
      </c>
      <c r="AB540" t="s">
        <v>10527</v>
      </c>
      <c r="AC540" t="s">
        <v>10528</v>
      </c>
      <c r="AD540" t="s">
        <v>10529</v>
      </c>
      <c r="AE540" t="s">
        <v>10530</v>
      </c>
      <c r="AF540" t="s">
        <v>74</v>
      </c>
      <c r="AG540">
        <v>69</v>
      </c>
      <c r="AH540">
        <v>9</v>
      </c>
      <c r="AI540">
        <v>10</v>
      </c>
      <c r="AJ540">
        <v>3</v>
      </c>
      <c r="AK540">
        <v>39</v>
      </c>
      <c r="AL540" t="s">
        <v>222</v>
      </c>
      <c r="AM540" t="s">
        <v>223</v>
      </c>
      <c r="AN540" t="s">
        <v>478</v>
      </c>
      <c r="AO540" t="s">
        <v>74</v>
      </c>
      <c r="AP540" t="s">
        <v>479</v>
      </c>
      <c r="AQ540" t="s">
        <v>74</v>
      </c>
      <c r="AR540" t="s">
        <v>480</v>
      </c>
      <c r="AS540" t="s">
        <v>481</v>
      </c>
      <c r="AT540" t="s">
        <v>281</v>
      </c>
      <c r="AU540">
        <v>2022</v>
      </c>
      <c r="AV540">
        <v>14</v>
      </c>
      <c r="AW540">
        <v>12</v>
      </c>
      <c r="AX540" t="s">
        <v>74</v>
      </c>
      <c r="AY540" t="s">
        <v>74</v>
      </c>
      <c r="AZ540" t="s">
        <v>74</v>
      </c>
      <c r="BA540" t="s">
        <v>74</v>
      </c>
      <c r="BB540" t="s">
        <v>74</v>
      </c>
      <c r="BC540" t="s">
        <v>74</v>
      </c>
      <c r="BD540">
        <v>7144</v>
      </c>
      <c r="BE540" t="s">
        <v>10531</v>
      </c>
      <c r="BF540" t="str">
        <f>HYPERLINK("http://dx.doi.org/10.3390/su14127144","http://dx.doi.org/10.3390/su14127144")</f>
        <v>http://dx.doi.org/10.3390/su14127144</v>
      </c>
      <c r="BG540" t="s">
        <v>74</v>
      </c>
      <c r="BH540" t="s">
        <v>74</v>
      </c>
      <c r="BI540">
        <v>34</v>
      </c>
      <c r="BJ540" t="s">
        <v>484</v>
      </c>
      <c r="BK540" t="s">
        <v>186</v>
      </c>
      <c r="BL540" t="s">
        <v>485</v>
      </c>
      <c r="BM540" t="s">
        <v>10532</v>
      </c>
      <c r="BN540" t="s">
        <v>74</v>
      </c>
      <c r="BO540" t="s">
        <v>161</v>
      </c>
      <c r="BP540" t="s">
        <v>74</v>
      </c>
      <c r="BQ540" t="s">
        <v>74</v>
      </c>
      <c r="BR540" t="s">
        <v>106</v>
      </c>
      <c r="BS540" t="s">
        <v>10533</v>
      </c>
      <c r="BT540" t="str">
        <f>HYPERLINK("https%3A%2F%2Fwww.webofscience.com%2Fwos%2Fwoscc%2Ffull-record%2FWOS:000816832800001","View Full Record in Web of Science")</f>
        <v>View Full Record in Web of Science</v>
      </c>
    </row>
    <row r="541" spans="1:72" x14ac:dyDescent="0.2">
      <c r="A541" t="s">
        <v>72</v>
      </c>
      <c r="B541" t="s">
        <v>10534</v>
      </c>
      <c r="C541" t="s">
        <v>74</v>
      </c>
      <c r="D541" t="s">
        <v>74</v>
      </c>
      <c r="E541" t="s">
        <v>74</v>
      </c>
      <c r="F541" t="s">
        <v>10535</v>
      </c>
      <c r="G541" t="s">
        <v>74</v>
      </c>
      <c r="H541" t="s">
        <v>74</v>
      </c>
      <c r="I541" t="s">
        <v>10536</v>
      </c>
      <c r="J541" t="s">
        <v>6099</v>
      </c>
      <c r="K541" t="s">
        <v>74</v>
      </c>
      <c r="L541" t="s">
        <v>74</v>
      </c>
      <c r="M541" t="s">
        <v>78</v>
      </c>
      <c r="N541" t="s">
        <v>79</v>
      </c>
      <c r="O541" t="s">
        <v>74</v>
      </c>
      <c r="P541" t="s">
        <v>74</v>
      </c>
      <c r="Q541" t="s">
        <v>74</v>
      </c>
      <c r="R541" t="s">
        <v>74</v>
      </c>
      <c r="S541" t="s">
        <v>74</v>
      </c>
      <c r="T541" t="s">
        <v>10537</v>
      </c>
      <c r="U541" t="s">
        <v>10538</v>
      </c>
      <c r="V541" t="s">
        <v>10539</v>
      </c>
      <c r="W541" t="s">
        <v>10540</v>
      </c>
      <c r="X541" t="s">
        <v>6104</v>
      </c>
      <c r="Y541" t="s">
        <v>6105</v>
      </c>
      <c r="Z541" t="s">
        <v>10541</v>
      </c>
      <c r="AA541" t="s">
        <v>10542</v>
      </c>
      <c r="AB541" t="s">
        <v>74</v>
      </c>
      <c r="AC541" t="s">
        <v>6109</v>
      </c>
      <c r="AD541" t="s">
        <v>6110</v>
      </c>
      <c r="AE541" t="s">
        <v>10543</v>
      </c>
      <c r="AF541" t="s">
        <v>74</v>
      </c>
      <c r="AG541">
        <v>89</v>
      </c>
      <c r="AH541">
        <v>7</v>
      </c>
      <c r="AI541">
        <v>7</v>
      </c>
      <c r="AJ541">
        <v>2</v>
      </c>
      <c r="AK541">
        <v>55</v>
      </c>
      <c r="AL541" t="s">
        <v>6112</v>
      </c>
      <c r="AM541" t="s">
        <v>6113</v>
      </c>
      <c r="AN541" t="s">
        <v>6114</v>
      </c>
      <c r="AO541" t="s">
        <v>6115</v>
      </c>
      <c r="AP541" t="s">
        <v>6116</v>
      </c>
      <c r="AQ541" t="s">
        <v>74</v>
      </c>
      <c r="AR541" t="s">
        <v>6117</v>
      </c>
      <c r="AS541" t="s">
        <v>6118</v>
      </c>
      <c r="AT541" t="s">
        <v>1752</v>
      </c>
      <c r="AU541">
        <v>2020</v>
      </c>
      <c r="AV541">
        <v>183</v>
      </c>
      <c r="AW541">
        <v>4</v>
      </c>
      <c r="AX541" t="s">
        <v>74</v>
      </c>
      <c r="AY541" t="s">
        <v>74</v>
      </c>
      <c r="AZ541" t="s">
        <v>74</v>
      </c>
      <c r="BA541" t="s">
        <v>74</v>
      </c>
      <c r="BB541">
        <v>500</v>
      </c>
      <c r="BC541">
        <v>516</v>
      </c>
      <c r="BD541" t="s">
        <v>74</v>
      </c>
      <c r="BE541" t="s">
        <v>10544</v>
      </c>
      <c r="BF541" t="str">
        <f>HYPERLINK("http://dx.doi.org/10.1002/jpln.201900183","http://dx.doi.org/10.1002/jpln.201900183")</f>
        <v>http://dx.doi.org/10.1002/jpln.201900183</v>
      </c>
      <c r="BG541" t="s">
        <v>74</v>
      </c>
      <c r="BH541" t="s">
        <v>284</v>
      </c>
      <c r="BI541">
        <v>17</v>
      </c>
      <c r="BJ541" t="s">
        <v>5595</v>
      </c>
      <c r="BK541" t="s">
        <v>102</v>
      </c>
      <c r="BL541" t="s">
        <v>462</v>
      </c>
      <c r="BM541" t="s">
        <v>10545</v>
      </c>
      <c r="BN541" t="s">
        <v>74</v>
      </c>
      <c r="BO541" t="s">
        <v>916</v>
      </c>
      <c r="BP541" t="s">
        <v>74</v>
      </c>
      <c r="BQ541" t="s">
        <v>74</v>
      </c>
      <c r="BR541" t="s">
        <v>106</v>
      </c>
      <c r="BS541" t="s">
        <v>10546</v>
      </c>
      <c r="BT541" t="str">
        <f>HYPERLINK("https%3A%2F%2Fwww.webofscience.com%2Fwos%2Fwoscc%2Ffull-record%2FWOS:000545549000001","View Full Record in Web of Science")</f>
        <v>View Full Record in Web of Science</v>
      </c>
    </row>
    <row r="542" spans="1:72" x14ac:dyDescent="0.2">
      <c r="A542" t="s">
        <v>72</v>
      </c>
      <c r="B542" t="s">
        <v>10547</v>
      </c>
      <c r="C542" t="s">
        <v>74</v>
      </c>
      <c r="D542" t="s">
        <v>74</v>
      </c>
      <c r="E542" t="s">
        <v>74</v>
      </c>
      <c r="F542" t="s">
        <v>10548</v>
      </c>
      <c r="G542" t="s">
        <v>74</v>
      </c>
      <c r="H542" t="s">
        <v>74</v>
      </c>
      <c r="I542" t="s">
        <v>10549</v>
      </c>
      <c r="J542" t="s">
        <v>6869</v>
      </c>
      <c r="K542" t="s">
        <v>74</v>
      </c>
      <c r="L542" t="s">
        <v>74</v>
      </c>
      <c r="M542" t="s">
        <v>78</v>
      </c>
      <c r="N542" t="s">
        <v>79</v>
      </c>
      <c r="O542" t="s">
        <v>74</v>
      </c>
      <c r="P542" t="s">
        <v>74</v>
      </c>
      <c r="Q542" t="s">
        <v>74</v>
      </c>
      <c r="R542" t="s">
        <v>74</v>
      </c>
      <c r="S542" t="s">
        <v>74</v>
      </c>
      <c r="T542" t="s">
        <v>10550</v>
      </c>
      <c r="U542" t="s">
        <v>10551</v>
      </c>
      <c r="V542" t="s">
        <v>10552</v>
      </c>
      <c r="W542" t="s">
        <v>10553</v>
      </c>
      <c r="X542" t="s">
        <v>10554</v>
      </c>
      <c r="Y542" t="s">
        <v>10555</v>
      </c>
      <c r="Z542" t="s">
        <v>10556</v>
      </c>
      <c r="AA542" t="s">
        <v>74</v>
      </c>
      <c r="AB542" t="s">
        <v>10557</v>
      </c>
      <c r="AC542" t="s">
        <v>10558</v>
      </c>
      <c r="AD542" t="s">
        <v>10559</v>
      </c>
      <c r="AE542" t="s">
        <v>10560</v>
      </c>
      <c r="AF542" t="s">
        <v>74</v>
      </c>
      <c r="AG542">
        <v>70</v>
      </c>
      <c r="AH542">
        <v>1</v>
      </c>
      <c r="AI542">
        <v>1</v>
      </c>
      <c r="AJ542">
        <v>4</v>
      </c>
      <c r="AK542">
        <v>76</v>
      </c>
      <c r="AL542" t="s">
        <v>247</v>
      </c>
      <c r="AM542" t="s">
        <v>248</v>
      </c>
      <c r="AN542" t="s">
        <v>249</v>
      </c>
      <c r="AO542" t="s">
        <v>6879</v>
      </c>
      <c r="AP542" t="s">
        <v>6880</v>
      </c>
      <c r="AQ542" t="s">
        <v>74</v>
      </c>
      <c r="AR542" t="s">
        <v>6881</v>
      </c>
      <c r="AS542" t="s">
        <v>6882</v>
      </c>
      <c r="AT542" t="s">
        <v>8276</v>
      </c>
      <c r="AU542">
        <v>2023</v>
      </c>
      <c r="AV542">
        <v>34</v>
      </c>
      <c r="AW542">
        <v>6</v>
      </c>
      <c r="AX542" t="s">
        <v>74</v>
      </c>
      <c r="AY542" t="s">
        <v>74</v>
      </c>
      <c r="AZ542" t="s">
        <v>74</v>
      </c>
      <c r="BA542" t="s">
        <v>74</v>
      </c>
      <c r="BB542">
        <v>1859</v>
      </c>
      <c r="BC542">
        <v>1868</v>
      </c>
      <c r="BD542" t="s">
        <v>74</v>
      </c>
      <c r="BE542" t="s">
        <v>10561</v>
      </c>
      <c r="BF542" t="str">
        <f>HYPERLINK("http://dx.doi.org/10.1002/ldr.4574","http://dx.doi.org/10.1002/ldr.4574")</f>
        <v>http://dx.doi.org/10.1002/ldr.4574</v>
      </c>
      <c r="BG542" t="s">
        <v>74</v>
      </c>
      <c r="BH542" t="s">
        <v>10562</v>
      </c>
      <c r="BI542">
        <v>10</v>
      </c>
      <c r="BJ542" t="s">
        <v>4942</v>
      </c>
      <c r="BK542" t="s">
        <v>102</v>
      </c>
      <c r="BL542" t="s">
        <v>4943</v>
      </c>
      <c r="BM542" t="s">
        <v>10563</v>
      </c>
      <c r="BN542" t="s">
        <v>74</v>
      </c>
      <c r="BO542" t="s">
        <v>74</v>
      </c>
      <c r="BP542" t="s">
        <v>74</v>
      </c>
      <c r="BQ542" t="s">
        <v>74</v>
      </c>
      <c r="BR542" t="s">
        <v>106</v>
      </c>
      <c r="BS542" t="s">
        <v>10564</v>
      </c>
      <c r="BT542" t="str">
        <f>HYPERLINK("https%3A%2F%2Fwww.webofscience.com%2Fwos%2Fwoscc%2Ffull-record%2FWOS:000907851800001","View Full Record in Web of Science")</f>
        <v>View Full Record in Web of Science</v>
      </c>
    </row>
    <row r="543" spans="1:72" x14ac:dyDescent="0.2">
      <c r="A543" t="s">
        <v>72</v>
      </c>
      <c r="B543" t="s">
        <v>10565</v>
      </c>
      <c r="C543" t="s">
        <v>74</v>
      </c>
      <c r="D543" t="s">
        <v>74</v>
      </c>
      <c r="E543" t="s">
        <v>74</v>
      </c>
      <c r="F543" t="s">
        <v>10566</v>
      </c>
      <c r="G543" t="s">
        <v>74</v>
      </c>
      <c r="H543" t="s">
        <v>74</v>
      </c>
      <c r="I543" t="s">
        <v>10567</v>
      </c>
      <c r="J543" t="s">
        <v>10568</v>
      </c>
      <c r="K543" t="s">
        <v>74</v>
      </c>
      <c r="L543" t="s">
        <v>74</v>
      </c>
      <c r="M543" t="s">
        <v>78</v>
      </c>
      <c r="N543" t="s">
        <v>79</v>
      </c>
      <c r="O543" t="s">
        <v>74</v>
      </c>
      <c r="P543" t="s">
        <v>74</v>
      </c>
      <c r="Q543" t="s">
        <v>74</v>
      </c>
      <c r="R543" t="s">
        <v>74</v>
      </c>
      <c r="S543" t="s">
        <v>74</v>
      </c>
      <c r="T543" t="s">
        <v>10569</v>
      </c>
      <c r="U543" t="s">
        <v>10570</v>
      </c>
      <c r="V543" t="s">
        <v>10571</v>
      </c>
      <c r="W543" t="s">
        <v>10572</v>
      </c>
      <c r="X543" t="s">
        <v>10573</v>
      </c>
      <c r="Y543" t="s">
        <v>10574</v>
      </c>
      <c r="Z543" t="s">
        <v>10575</v>
      </c>
      <c r="AA543" t="s">
        <v>10576</v>
      </c>
      <c r="AB543" t="s">
        <v>10577</v>
      </c>
      <c r="AC543" t="s">
        <v>10578</v>
      </c>
      <c r="AD543" t="s">
        <v>10578</v>
      </c>
      <c r="AE543" t="s">
        <v>10579</v>
      </c>
      <c r="AF543" t="s">
        <v>74</v>
      </c>
      <c r="AG543">
        <v>63</v>
      </c>
      <c r="AH543">
        <v>25</v>
      </c>
      <c r="AI543">
        <v>26</v>
      </c>
      <c r="AJ543">
        <v>0</v>
      </c>
      <c r="AK543">
        <v>24</v>
      </c>
      <c r="AL543" t="s">
        <v>176</v>
      </c>
      <c r="AM543" t="s">
        <v>177</v>
      </c>
      <c r="AN543" t="s">
        <v>178</v>
      </c>
      <c r="AO543" t="s">
        <v>10580</v>
      </c>
      <c r="AP543" t="s">
        <v>74</v>
      </c>
      <c r="AQ543" t="s">
        <v>74</v>
      </c>
      <c r="AR543" t="s">
        <v>10568</v>
      </c>
      <c r="AS543" t="s">
        <v>10581</v>
      </c>
      <c r="AT543" t="s">
        <v>281</v>
      </c>
      <c r="AU543">
        <v>2018</v>
      </c>
      <c r="AV543">
        <v>22</v>
      </c>
      <c r="AW543" t="s">
        <v>74</v>
      </c>
      <c r="AX543" t="s">
        <v>74</v>
      </c>
      <c r="AY543" t="s">
        <v>74</v>
      </c>
      <c r="AZ543" t="s">
        <v>74</v>
      </c>
      <c r="BA543" t="s">
        <v>74</v>
      </c>
      <c r="BB543">
        <v>1</v>
      </c>
      <c r="BC543">
        <v>9</v>
      </c>
      <c r="BD543" t="s">
        <v>74</v>
      </c>
      <c r="BE543" t="s">
        <v>10582</v>
      </c>
      <c r="BF543" t="str">
        <f>HYPERLINK("http://dx.doi.org/10.1016/j.ancene.2018.03.001","http://dx.doi.org/10.1016/j.ancene.2018.03.001")</f>
        <v>http://dx.doi.org/10.1016/j.ancene.2018.03.001</v>
      </c>
      <c r="BG543" t="s">
        <v>74</v>
      </c>
      <c r="BH543" t="s">
        <v>74</v>
      </c>
      <c r="BI543">
        <v>9</v>
      </c>
      <c r="BJ543" t="s">
        <v>10583</v>
      </c>
      <c r="BK543" t="s">
        <v>102</v>
      </c>
      <c r="BL543" t="s">
        <v>10584</v>
      </c>
      <c r="BM543" t="s">
        <v>10585</v>
      </c>
      <c r="BN543" t="s">
        <v>74</v>
      </c>
      <c r="BO543" t="s">
        <v>74</v>
      </c>
      <c r="BP543" t="s">
        <v>74</v>
      </c>
      <c r="BQ543" t="s">
        <v>74</v>
      </c>
      <c r="BR543" t="s">
        <v>106</v>
      </c>
      <c r="BS543" t="s">
        <v>10586</v>
      </c>
      <c r="BT543" t="str">
        <f>HYPERLINK("https%3A%2F%2Fwww.webofscience.com%2Fwos%2Fwoscc%2Ffull-record%2FWOS:000436942000001","View Full Record in Web of Science")</f>
        <v>View Full Record in Web of Science</v>
      </c>
    </row>
    <row r="544" spans="1:72" x14ac:dyDescent="0.2">
      <c r="A544" t="s">
        <v>72</v>
      </c>
      <c r="B544" t="s">
        <v>10587</v>
      </c>
      <c r="C544" t="s">
        <v>74</v>
      </c>
      <c r="D544" t="s">
        <v>74</v>
      </c>
      <c r="E544" t="s">
        <v>74</v>
      </c>
      <c r="F544" t="s">
        <v>10588</v>
      </c>
      <c r="G544" t="s">
        <v>74</v>
      </c>
      <c r="H544" t="s">
        <v>74</v>
      </c>
      <c r="I544" t="s">
        <v>10589</v>
      </c>
      <c r="J544" t="s">
        <v>1231</v>
      </c>
      <c r="K544" t="s">
        <v>74</v>
      </c>
      <c r="L544" t="s">
        <v>74</v>
      </c>
      <c r="M544" t="s">
        <v>78</v>
      </c>
      <c r="N544" t="s">
        <v>79</v>
      </c>
      <c r="O544" t="s">
        <v>74</v>
      </c>
      <c r="P544" t="s">
        <v>74</v>
      </c>
      <c r="Q544" t="s">
        <v>74</v>
      </c>
      <c r="R544" t="s">
        <v>74</v>
      </c>
      <c r="S544" t="s">
        <v>74</v>
      </c>
      <c r="T544" t="s">
        <v>10590</v>
      </c>
      <c r="U544" t="s">
        <v>10591</v>
      </c>
      <c r="V544" t="s">
        <v>10592</v>
      </c>
      <c r="W544" t="s">
        <v>10593</v>
      </c>
      <c r="X544" t="s">
        <v>10594</v>
      </c>
      <c r="Y544" t="s">
        <v>10595</v>
      </c>
      <c r="Z544" t="s">
        <v>10596</v>
      </c>
      <c r="AA544" t="s">
        <v>74</v>
      </c>
      <c r="AB544" t="s">
        <v>10597</v>
      </c>
      <c r="AC544" t="s">
        <v>74</v>
      </c>
      <c r="AD544" t="s">
        <v>74</v>
      </c>
      <c r="AE544" t="s">
        <v>74</v>
      </c>
      <c r="AF544" t="s">
        <v>74</v>
      </c>
      <c r="AG544">
        <v>67</v>
      </c>
      <c r="AH544">
        <v>13</v>
      </c>
      <c r="AI544">
        <v>15</v>
      </c>
      <c r="AJ544">
        <v>1</v>
      </c>
      <c r="AK544">
        <v>28</v>
      </c>
      <c r="AL544" t="s">
        <v>1242</v>
      </c>
      <c r="AM544" t="s">
        <v>1243</v>
      </c>
      <c r="AN544" t="s">
        <v>1244</v>
      </c>
      <c r="AO544" t="s">
        <v>1245</v>
      </c>
      <c r="AP544" t="s">
        <v>1246</v>
      </c>
      <c r="AQ544" t="s">
        <v>74</v>
      </c>
      <c r="AR544" t="s">
        <v>1247</v>
      </c>
      <c r="AS544" t="s">
        <v>1248</v>
      </c>
      <c r="AT544" t="s">
        <v>912</v>
      </c>
      <c r="AU544">
        <v>2023</v>
      </c>
      <c r="AV544">
        <v>30</v>
      </c>
      <c r="AW544">
        <v>24</v>
      </c>
      <c r="AX544" t="s">
        <v>74</v>
      </c>
      <c r="AY544" t="s">
        <v>74</v>
      </c>
      <c r="AZ544" t="s">
        <v>74</v>
      </c>
      <c r="BA544" t="s">
        <v>74</v>
      </c>
      <c r="BB544">
        <v>65149</v>
      </c>
      <c r="BC544">
        <v>65159</v>
      </c>
      <c r="BD544" t="s">
        <v>74</v>
      </c>
      <c r="BE544" t="s">
        <v>10598</v>
      </c>
      <c r="BF544" t="str">
        <f>HYPERLINK("http://dx.doi.org/10.1007/s11356-023-27009-x","http://dx.doi.org/10.1007/s11356-023-27009-x")</f>
        <v>http://dx.doi.org/10.1007/s11356-023-27009-x</v>
      </c>
      <c r="BG544" t="s">
        <v>74</v>
      </c>
      <c r="BH544" t="s">
        <v>2580</v>
      </c>
      <c r="BI544">
        <v>11</v>
      </c>
      <c r="BJ544" t="s">
        <v>567</v>
      </c>
      <c r="BK544" t="s">
        <v>102</v>
      </c>
      <c r="BL544" t="s">
        <v>568</v>
      </c>
      <c r="BM544" t="s">
        <v>10599</v>
      </c>
      <c r="BN544">
        <v>37081366</v>
      </c>
      <c r="BO544" t="s">
        <v>74</v>
      </c>
      <c r="BP544" t="s">
        <v>74</v>
      </c>
      <c r="BQ544" t="s">
        <v>74</v>
      </c>
      <c r="BR544" t="s">
        <v>106</v>
      </c>
      <c r="BS544" t="s">
        <v>10600</v>
      </c>
      <c r="BT544" t="str">
        <f>HYPERLINK("https%3A%2F%2Fwww.webofscience.com%2Fwos%2Fwoscc%2Ffull-record%2FWOS:000985272900007","View Full Record in Web of Science")</f>
        <v>View Full Record in Web of Science</v>
      </c>
    </row>
    <row r="545" spans="1:72" x14ac:dyDescent="0.2">
      <c r="A545" t="s">
        <v>72</v>
      </c>
      <c r="B545" t="s">
        <v>10601</v>
      </c>
      <c r="C545" t="s">
        <v>74</v>
      </c>
      <c r="D545" t="s">
        <v>74</v>
      </c>
      <c r="E545" t="s">
        <v>74</v>
      </c>
      <c r="F545" t="s">
        <v>10602</v>
      </c>
      <c r="G545" t="s">
        <v>74</v>
      </c>
      <c r="H545" t="s">
        <v>74</v>
      </c>
      <c r="I545" t="s">
        <v>10603</v>
      </c>
      <c r="J545" t="s">
        <v>2126</v>
      </c>
      <c r="K545" t="s">
        <v>74</v>
      </c>
      <c r="L545" t="s">
        <v>74</v>
      </c>
      <c r="M545" t="s">
        <v>78</v>
      </c>
      <c r="N545" t="s">
        <v>79</v>
      </c>
      <c r="O545" t="s">
        <v>74</v>
      </c>
      <c r="P545" t="s">
        <v>74</v>
      </c>
      <c r="Q545" t="s">
        <v>74</v>
      </c>
      <c r="R545" t="s">
        <v>74</v>
      </c>
      <c r="S545" t="s">
        <v>74</v>
      </c>
      <c r="T545" t="s">
        <v>10604</v>
      </c>
      <c r="U545" t="s">
        <v>10605</v>
      </c>
      <c r="V545" t="s">
        <v>10606</v>
      </c>
      <c r="W545" t="s">
        <v>10607</v>
      </c>
      <c r="X545" t="s">
        <v>10608</v>
      </c>
      <c r="Y545" t="s">
        <v>10609</v>
      </c>
      <c r="Z545" t="s">
        <v>10610</v>
      </c>
      <c r="AA545" t="s">
        <v>10611</v>
      </c>
      <c r="AB545" t="s">
        <v>10612</v>
      </c>
      <c r="AC545" t="s">
        <v>10613</v>
      </c>
      <c r="AD545" t="s">
        <v>10614</v>
      </c>
      <c r="AE545" t="s">
        <v>10615</v>
      </c>
      <c r="AF545" t="s">
        <v>74</v>
      </c>
      <c r="AG545">
        <v>33</v>
      </c>
      <c r="AH545">
        <v>1</v>
      </c>
      <c r="AI545">
        <v>1</v>
      </c>
      <c r="AJ545">
        <v>8</v>
      </c>
      <c r="AK545">
        <v>53</v>
      </c>
      <c r="AL545" t="s">
        <v>934</v>
      </c>
      <c r="AM545" t="s">
        <v>177</v>
      </c>
      <c r="AN545" t="s">
        <v>935</v>
      </c>
      <c r="AO545" t="s">
        <v>2137</v>
      </c>
      <c r="AP545" t="s">
        <v>2138</v>
      </c>
      <c r="AQ545" t="s">
        <v>74</v>
      </c>
      <c r="AR545" t="s">
        <v>2139</v>
      </c>
      <c r="AS545" t="s">
        <v>2140</v>
      </c>
      <c r="AT545" t="s">
        <v>912</v>
      </c>
      <c r="AU545">
        <v>2024</v>
      </c>
      <c r="AV545">
        <v>173</v>
      </c>
      <c r="AW545" t="s">
        <v>74</v>
      </c>
      <c r="AX545" t="s">
        <v>74</v>
      </c>
      <c r="AY545" t="s">
        <v>74</v>
      </c>
      <c r="AZ545" t="s">
        <v>74</v>
      </c>
      <c r="BA545" t="s">
        <v>74</v>
      </c>
      <c r="BB545" t="s">
        <v>74</v>
      </c>
      <c r="BC545" t="s">
        <v>74</v>
      </c>
      <c r="BD545">
        <v>112698</v>
      </c>
      <c r="BE545" t="s">
        <v>10616</v>
      </c>
      <c r="BF545" t="str">
        <f>HYPERLINK("http://dx.doi.org/10.1016/j.materresbull.2024.112698","http://dx.doi.org/10.1016/j.materresbull.2024.112698")</f>
        <v>http://dx.doi.org/10.1016/j.materresbull.2024.112698</v>
      </c>
      <c r="BG545" t="s">
        <v>74</v>
      </c>
      <c r="BH545" t="s">
        <v>1314</v>
      </c>
      <c r="BI545">
        <v>5</v>
      </c>
      <c r="BJ545" t="s">
        <v>2142</v>
      </c>
      <c r="BK545" t="s">
        <v>102</v>
      </c>
      <c r="BL545" t="s">
        <v>2143</v>
      </c>
      <c r="BM545" t="s">
        <v>10617</v>
      </c>
      <c r="BN545" t="s">
        <v>74</v>
      </c>
      <c r="BO545" t="s">
        <v>74</v>
      </c>
      <c r="BP545" t="s">
        <v>74</v>
      </c>
      <c r="BQ545" t="s">
        <v>74</v>
      </c>
      <c r="BR545" t="s">
        <v>106</v>
      </c>
      <c r="BS545" t="s">
        <v>10618</v>
      </c>
      <c r="BT545" t="str">
        <f>HYPERLINK("https%3A%2F%2Fwww.webofscience.com%2Fwos%2Fwoscc%2Ffull-record%2FWOS:001169701400001","View Full Record in Web of Science")</f>
        <v>View Full Record in Web of Science</v>
      </c>
    </row>
    <row r="546" spans="1:72" x14ac:dyDescent="0.2">
      <c r="A546" t="s">
        <v>72</v>
      </c>
      <c r="B546" t="s">
        <v>10619</v>
      </c>
      <c r="C546" t="s">
        <v>74</v>
      </c>
      <c r="D546" t="s">
        <v>74</v>
      </c>
      <c r="E546" t="s">
        <v>74</v>
      </c>
      <c r="F546" t="s">
        <v>10620</v>
      </c>
      <c r="G546" t="s">
        <v>74</v>
      </c>
      <c r="H546" t="s">
        <v>74</v>
      </c>
      <c r="I546" t="s">
        <v>10621</v>
      </c>
      <c r="J546" t="s">
        <v>236</v>
      </c>
      <c r="K546" t="s">
        <v>74</v>
      </c>
      <c r="L546" t="s">
        <v>74</v>
      </c>
      <c r="M546" t="s">
        <v>78</v>
      </c>
      <c r="N546" t="s">
        <v>79</v>
      </c>
      <c r="O546" t="s">
        <v>74</v>
      </c>
      <c r="P546" t="s">
        <v>74</v>
      </c>
      <c r="Q546" t="s">
        <v>74</v>
      </c>
      <c r="R546" t="s">
        <v>74</v>
      </c>
      <c r="S546" t="s">
        <v>74</v>
      </c>
      <c r="T546" t="s">
        <v>74</v>
      </c>
      <c r="U546" t="s">
        <v>10622</v>
      </c>
      <c r="V546" t="s">
        <v>10623</v>
      </c>
      <c r="W546" t="s">
        <v>10624</v>
      </c>
      <c r="X546" t="s">
        <v>10625</v>
      </c>
      <c r="Y546" t="s">
        <v>10626</v>
      </c>
      <c r="Z546" t="s">
        <v>10627</v>
      </c>
      <c r="AA546" t="s">
        <v>10628</v>
      </c>
      <c r="AB546" t="s">
        <v>10629</v>
      </c>
      <c r="AC546" t="s">
        <v>10630</v>
      </c>
      <c r="AD546" t="s">
        <v>10631</v>
      </c>
      <c r="AE546" t="s">
        <v>10632</v>
      </c>
      <c r="AF546" t="s">
        <v>74</v>
      </c>
      <c r="AG546">
        <v>66</v>
      </c>
      <c r="AH546">
        <v>24</v>
      </c>
      <c r="AI546">
        <v>28</v>
      </c>
      <c r="AJ546">
        <v>7</v>
      </c>
      <c r="AK546">
        <v>63</v>
      </c>
      <c r="AL546" t="s">
        <v>247</v>
      </c>
      <c r="AM546" t="s">
        <v>248</v>
      </c>
      <c r="AN546" t="s">
        <v>249</v>
      </c>
      <c r="AO546" t="s">
        <v>250</v>
      </c>
      <c r="AP546" t="s">
        <v>251</v>
      </c>
      <c r="AQ546" t="s">
        <v>74</v>
      </c>
      <c r="AR546" t="s">
        <v>252</v>
      </c>
      <c r="AS546" t="s">
        <v>253</v>
      </c>
      <c r="AT546" t="s">
        <v>912</v>
      </c>
      <c r="AU546">
        <v>2022</v>
      </c>
      <c r="AV546">
        <v>86</v>
      </c>
      <c r="AW546">
        <v>3</v>
      </c>
      <c r="AX546" t="s">
        <v>74</v>
      </c>
      <c r="AY546" t="s">
        <v>74</v>
      </c>
      <c r="AZ546" t="s">
        <v>74</v>
      </c>
      <c r="BA546" t="s">
        <v>74</v>
      </c>
      <c r="BB546">
        <v>758</v>
      </c>
      <c r="BC546">
        <v>768</v>
      </c>
      <c r="BD546" t="s">
        <v>74</v>
      </c>
      <c r="BE546" t="s">
        <v>10633</v>
      </c>
      <c r="BF546" t="str">
        <f>HYPERLINK("http://dx.doi.org/10.1002/saj2.20388","http://dx.doi.org/10.1002/saj2.20388")</f>
        <v>http://dx.doi.org/10.1002/saj2.20388</v>
      </c>
      <c r="BG546" t="s">
        <v>74</v>
      </c>
      <c r="BH546" t="s">
        <v>438</v>
      </c>
      <c r="BI546">
        <v>11</v>
      </c>
      <c r="BJ546" t="s">
        <v>256</v>
      </c>
      <c r="BK546" t="s">
        <v>102</v>
      </c>
      <c r="BL546" t="s">
        <v>103</v>
      </c>
      <c r="BM546" t="s">
        <v>10634</v>
      </c>
      <c r="BN546" t="s">
        <v>74</v>
      </c>
      <c r="BO546" t="s">
        <v>74</v>
      </c>
      <c r="BP546" t="s">
        <v>74</v>
      </c>
      <c r="BQ546" t="s">
        <v>74</v>
      </c>
      <c r="BR546" t="s">
        <v>106</v>
      </c>
      <c r="BS546" t="s">
        <v>10635</v>
      </c>
      <c r="BT546" t="str">
        <f>HYPERLINK("https%3A%2F%2Fwww.webofscience.com%2Fwos%2Fwoscc%2Ffull-record%2FWOS:000771549700001","View Full Record in Web of Science")</f>
        <v>View Full Record in Web of Science</v>
      </c>
    </row>
    <row r="547" spans="1:72" x14ac:dyDescent="0.2">
      <c r="A547" t="s">
        <v>72</v>
      </c>
      <c r="B547" t="s">
        <v>10636</v>
      </c>
      <c r="C547" t="s">
        <v>74</v>
      </c>
      <c r="D547" t="s">
        <v>74</v>
      </c>
      <c r="E547" t="s">
        <v>74</v>
      </c>
      <c r="F547" t="s">
        <v>10637</v>
      </c>
      <c r="G547" t="s">
        <v>74</v>
      </c>
      <c r="H547" t="s">
        <v>74</v>
      </c>
      <c r="I547" t="s">
        <v>10638</v>
      </c>
      <c r="J547" t="s">
        <v>1295</v>
      </c>
      <c r="K547" t="s">
        <v>74</v>
      </c>
      <c r="L547" t="s">
        <v>74</v>
      </c>
      <c r="M547" t="s">
        <v>78</v>
      </c>
      <c r="N547" t="s">
        <v>79</v>
      </c>
      <c r="O547" t="s">
        <v>74</v>
      </c>
      <c r="P547" t="s">
        <v>74</v>
      </c>
      <c r="Q547" t="s">
        <v>74</v>
      </c>
      <c r="R547" t="s">
        <v>74</v>
      </c>
      <c r="S547" t="s">
        <v>74</v>
      </c>
      <c r="T547" t="s">
        <v>10639</v>
      </c>
      <c r="U547" t="s">
        <v>10640</v>
      </c>
      <c r="V547" t="s">
        <v>10641</v>
      </c>
      <c r="W547" t="s">
        <v>10642</v>
      </c>
      <c r="X547" t="s">
        <v>10643</v>
      </c>
      <c r="Y547" t="s">
        <v>10644</v>
      </c>
      <c r="Z547" t="s">
        <v>10645</v>
      </c>
      <c r="AA547" t="s">
        <v>10646</v>
      </c>
      <c r="AB547" t="s">
        <v>10647</v>
      </c>
      <c r="AC547" t="s">
        <v>10648</v>
      </c>
      <c r="AD547" t="s">
        <v>10648</v>
      </c>
      <c r="AE547" t="s">
        <v>10649</v>
      </c>
      <c r="AF547" t="s">
        <v>74</v>
      </c>
      <c r="AG547">
        <v>44</v>
      </c>
      <c r="AH547">
        <v>27</v>
      </c>
      <c r="AI547">
        <v>35</v>
      </c>
      <c r="AJ547">
        <v>1</v>
      </c>
      <c r="AK547">
        <v>60</v>
      </c>
      <c r="AL547" t="s">
        <v>934</v>
      </c>
      <c r="AM547" t="s">
        <v>177</v>
      </c>
      <c r="AN547" t="s">
        <v>935</v>
      </c>
      <c r="AO547" t="s">
        <v>1308</v>
      </c>
      <c r="AP547" t="s">
        <v>1309</v>
      </c>
      <c r="AQ547" t="s">
        <v>74</v>
      </c>
      <c r="AR547" t="s">
        <v>1310</v>
      </c>
      <c r="AS547" t="s">
        <v>1311</v>
      </c>
      <c r="AT547" t="s">
        <v>636</v>
      </c>
      <c r="AU547">
        <v>2017</v>
      </c>
      <c r="AV547">
        <v>154</v>
      </c>
      <c r="AW547" t="s">
        <v>74</v>
      </c>
      <c r="AX547" t="s">
        <v>74</v>
      </c>
      <c r="AY547" t="s">
        <v>74</v>
      </c>
      <c r="AZ547" t="s">
        <v>74</v>
      </c>
      <c r="BA547" t="s">
        <v>74</v>
      </c>
      <c r="BB547">
        <v>260</v>
      </c>
      <c r="BC547">
        <v>273</v>
      </c>
      <c r="BD547" t="s">
        <v>74</v>
      </c>
      <c r="BE547" t="s">
        <v>10650</v>
      </c>
      <c r="BF547" t="str">
        <f>HYPERLINK("http://dx.doi.org/10.1016/j.atmosenv.2017.01.050","http://dx.doi.org/10.1016/j.atmosenv.2017.01.050")</f>
        <v>http://dx.doi.org/10.1016/j.atmosenv.2017.01.050</v>
      </c>
      <c r="BG547" t="s">
        <v>74</v>
      </c>
      <c r="BH547" t="s">
        <v>74</v>
      </c>
      <c r="BI547">
        <v>14</v>
      </c>
      <c r="BJ547" t="s">
        <v>782</v>
      </c>
      <c r="BK547" t="s">
        <v>102</v>
      </c>
      <c r="BL547" t="s">
        <v>783</v>
      </c>
      <c r="BM547" t="s">
        <v>10651</v>
      </c>
      <c r="BN547" t="s">
        <v>74</v>
      </c>
      <c r="BO547" t="s">
        <v>74</v>
      </c>
      <c r="BP547" t="s">
        <v>74</v>
      </c>
      <c r="BQ547" t="s">
        <v>74</v>
      </c>
      <c r="BR547" t="s">
        <v>106</v>
      </c>
      <c r="BS547" t="s">
        <v>10652</v>
      </c>
      <c r="BT547" t="str">
        <f>HYPERLINK("https%3A%2F%2Fwww.webofscience.com%2Fwos%2Fwoscc%2Ffull-record%2FWOS:000397551800022","View Full Record in Web of Science")</f>
        <v>View Full Record in Web of Science</v>
      </c>
    </row>
    <row r="548" spans="1:72" x14ac:dyDescent="0.2">
      <c r="A548" t="s">
        <v>72</v>
      </c>
      <c r="B548" t="s">
        <v>10653</v>
      </c>
      <c r="C548" t="s">
        <v>74</v>
      </c>
      <c r="D548" t="s">
        <v>74</v>
      </c>
      <c r="E548" t="s">
        <v>74</v>
      </c>
      <c r="F548" t="s">
        <v>10654</v>
      </c>
      <c r="G548" t="s">
        <v>74</v>
      </c>
      <c r="H548" t="s">
        <v>74</v>
      </c>
      <c r="I548" t="s">
        <v>10655</v>
      </c>
      <c r="J548" t="s">
        <v>9582</v>
      </c>
      <c r="K548" t="s">
        <v>74</v>
      </c>
      <c r="L548" t="s">
        <v>74</v>
      </c>
      <c r="M548" t="s">
        <v>78</v>
      </c>
      <c r="N548" t="s">
        <v>79</v>
      </c>
      <c r="O548" t="s">
        <v>74</v>
      </c>
      <c r="P548" t="s">
        <v>74</v>
      </c>
      <c r="Q548" t="s">
        <v>74</v>
      </c>
      <c r="R548" t="s">
        <v>74</v>
      </c>
      <c r="S548" t="s">
        <v>74</v>
      </c>
      <c r="T548" t="s">
        <v>10656</v>
      </c>
      <c r="U548" t="s">
        <v>10657</v>
      </c>
      <c r="V548" t="s">
        <v>10658</v>
      </c>
      <c r="W548" t="s">
        <v>10659</v>
      </c>
      <c r="X548" t="s">
        <v>10660</v>
      </c>
      <c r="Y548" t="s">
        <v>10661</v>
      </c>
      <c r="Z548" t="s">
        <v>74</v>
      </c>
      <c r="AA548" t="s">
        <v>10662</v>
      </c>
      <c r="AB548" t="s">
        <v>10663</v>
      </c>
      <c r="AC548" t="s">
        <v>10664</v>
      </c>
      <c r="AD548" t="s">
        <v>10665</v>
      </c>
      <c r="AE548" t="s">
        <v>10666</v>
      </c>
      <c r="AF548" t="s">
        <v>74</v>
      </c>
      <c r="AG548">
        <v>116</v>
      </c>
      <c r="AH548">
        <v>30</v>
      </c>
      <c r="AI548">
        <v>32</v>
      </c>
      <c r="AJ548">
        <v>3</v>
      </c>
      <c r="AK548">
        <v>98</v>
      </c>
      <c r="AL548" t="s">
        <v>176</v>
      </c>
      <c r="AM548" t="s">
        <v>1610</v>
      </c>
      <c r="AN548" t="s">
        <v>1611</v>
      </c>
      <c r="AO548" t="s">
        <v>9595</v>
      </c>
      <c r="AP548" t="s">
        <v>9596</v>
      </c>
      <c r="AQ548" t="s">
        <v>74</v>
      </c>
      <c r="AR548" t="s">
        <v>9597</v>
      </c>
      <c r="AS548" t="s">
        <v>9598</v>
      </c>
      <c r="AT548" t="s">
        <v>1109</v>
      </c>
      <c r="AU548">
        <v>2018</v>
      </c>
      <c r="AV548">
        <v>243</v>
      </c>
      <c r="AW548" t="s">
        <v>74</v>
      </c>
      <c r="AX548" t="s">
        <v>4712</v>
      </c>
      <c r="AY548" t="s">
        <v>74</v>
      </c>
      <c r="AZ548" t="s">
        <v>74</v>
      </c>
      <c r="BA548" t="s">
        <v>74</v>
      </c>
      <c r="BB548">
        <v>940</v>
      </c>
      <c r="BC548">
        <v>952</v>
      </c>
      <c r="BD548" t="s">
        <v>74</v>
      </c>
      <c r="BE548" t="s">
        <v>10667</v>
      </c>
      <c r="BF548" t="str">
        <f>HYPERLINK("http://dx.doi.org/10.1016/j.envpol.2018.07.068","http://dx.doi.org/10.1016/j.envpol.2018.07.068")</f>
        <v>http://dx.doi.org/10.1016/j.envpol.2018.07.068</v>
      </c>
      <c r="BG548" t="s">
        <v>74</v>
      </c>
      <c r="BH548" t="s">
        <v>74</v>
      </c>
      <c r="BI548">
        <v>13</v>
      </c>
      <c r="BJ548" t="s">
        <v>567</v>
      </c>
      <c r="BK548" t="s">
        <v>186</v>
      </c>
      <c r="BL548" t="s">
        <v>568</v>
      </c>
      <c r="BM548" t="s">
        <v>10668</v>
      </c>
      <c r="BN548">
        <v>30248602</v>
      </c>
      <c r="BO548" t="s">
        <v>541</v>
      </c>
      <c r="BP548" t="s">
        <v>74</v>
      </c>
      <c r="BQ548" t="s">
        <v>74</v>
      </c>
      <c r="BR548" t="s">
        <v>106</v>
      </c>
      <c r="BS548" t="s">
        <v>10669</v>
      </c>
      <c r="BT548" t="str">
        <f>HYPERLINK("https%3A%2F%2Fwww.webofscience.com%2Fwos%2Fwoscc%2Ffull-record%2FWOS:000449892700017","View Full Record in Web of Science")</f>
        <v>View Full Record in Web of Science</v>
      </c>
    </row>
    <row r="549" spans="1:72" x14ac:dyDescent="0.2">
      <c r="A549" t="s">
        <v>72</v>
      </c>
      <c r="B549" t="s">
        <v>10670</v>
      </c>
      <c r="C549" t="s">
        <v>74</v>
      </c>
      <c r="D549" t="s">
        <v>74</v>
      </c>
      <c r="E549" t="s">
        <v>74</v>
      </c>
      <c r="F549" t="s">
        <v>10671</v>
      </c>
      <c r="G549" t="s">
        <v>74</v>
      </c>
      <c r="H549" t="s">
        <v>74</v>
      </c>
      <c r="I549" t="s">
        <v>10672</v>
      </c>
      <c r="J549" t="s">
        <v>3061</v>
      </c>
      <c r="K549" t="s">
        <v>74</v>
      </c>
      <c r="L549" t="s">
        <v>74</v>
      </c>
      <c r="M549" t="s">
        <v>78</v>
      </c>
      <c r="N549" t="s">
        <v>79</v>
      </c>
      <c r="O549" t="s">
        <v>74</v>
      </c>
      <c r="P549" t="s">
        <v>74</v>
      </c>
      <c r="Q549" t="s">
        <v>74</v>
      </c>
      <c r="R549" t="s">
        <v>74</v>
      </c>
      <c r="S549" t="s">
        <v>74</v>
      </c>
      <c r="T549" t="s">
        <v>10673</v>
      </c>
      <c r="U549" t="s">
        <v>10674</v>
      </c>
      <c r="V549" t="s">
        <v>10675</v>
      </c>
      <c r="W549" t="s">
        <v>10676</v>
      </c>
      <c r="X549" t="s">
        <v>10677</v>
      </c>
      <c r="Y549" t="s">
        <v>10678</v>
      </c>
      <c r="Z549" t="s">
        <v>10679</v>
      </c>
      <c r="AA549" t="s">
        <v>74</v>
      </c>
      <c r="AB549" t="s">
        <v>74</v>
      </c>
      <c r="AC549" t="s">
        <v>10680</v>
      </c>
      <c r="AD549" t="s">
        <v>10681</v>
      </c>
      <c r="AE549" t="s">
        <v>10682</v>
      </c>
      <c r="AF549" t="s">
        <v>74</v>
      </c>
      <c r="AG549">
        <v>50</v>
      </c>
      <c r="AH549">
        <v>61</v>
      </c>
      <c r="AI549">
        <v>81</v>
      </c>
      <c r="AJ549">
        <v>9</v>
      </c>
      <c r="AK549">
        <v>215</v>
      </c>
      <c r="AL549" t="s">
        <v>2162</v>
      </c>
      <c r="AM549" t="s">
        <v>124</v>
      </c>
      <c r="AN549" t="s">
        <v>2163</v>
      </c>
      <c r="AO549" t="s">
        <v>3074</v>
      </c>
      <c r="AP549" t="s">
        <v>3075</v>
      </c>
      <c r="AQ549" t="s">
        <v>74</v>
      </c>
      <c r="AR549" t="s">
        <v>3061</v>
      </c>
      <c r="AS549" t="s">
        <v>3076</v>
      </c>
      <c r="AT549" t="s">
        <v>1109</v>
      </c>
      <c r="AU549">
        <v>2014</v>
      </c>
      <c r="AV549">
        <v>235</v>
      </c>
      <c r="AW549" t="s">
        <v>74</v>
      </c>
      <c r="AX549" t="s">
        <v>74</v>
      </c>
      <c r="AY549" t="s">
        <v>74</v>
      </c>
      <c r="AZ549" t="s">
        <v>74</v>
      </c>
      <c r="BA549" t="s">
        <v>74</v>
      </c>
      <c r="BB549">
        <v>363</v>
      </c>
      <c r="BC549">
        <v>371</v>
      </c>
      <c r="BD549" t="s">
        <v>74</v>
      </c>
      <c r="BE549" t="s">
        <v>10683</v>
      </c>
      <c r="BF549" t="str">
        <f>HYPERLINK("http://dx.doi.org/10.1016/j.geoderma.2014.07.022","http://dx.doi.org/10.1016/j.geoderma.2014.07.022")</f>
        <v>http://dx.doi.org/10.1016/j.geoderma.2014.07.022</v>
      </c>
      <c r="BG549" t="s">
        <v>74</v>
      </c>
      <c r="BH549" t="s">
        <v>74</v>
      </c>
      <c r="BI549">
        <v>9</v>
      </c>
      <c r="BJ549" t="s">
        <v>256</v>
      </c>
      <c r="BK549" t="s">
        <v>102</v>
      </c>
      <c r="BL549" t="s">
        <v>103</v>
      </c>
      <c r="BM549" t="s">
        <v>10684</v>
      </c>
      <c r="BN549" t="s">
        <v>74</v>
      </c>
      <c r="BO549" t="s">
        <v>74</v>
      </c>
      <c r="BP549" t="s">
        <v>74</v>
      </c>
      <c r="BQ549" t="s">
        <v>74</v>
      </c>
      <c r="BR549" t="s">
        <v>106</v>
      </c>
      <c r="BS549" t="s">
        <v>10685</v>
      </c>
      <c r="BT549" t="str">
        <f>HYPERLINK("https%3A%2F%2Fwww.webofscience.com%2Fwos%2Fwoscc%2Ffull-record%2FWOS:000342552800039","View Full Record in Web of Science")</f>
        <v>View Full Record in Web of Science</v>
      </c>
    </row>
    <row r="550" spans="1:72" x14ac:dyDescent="0.2">
      <c r="A550" t="s">
        <v>72</v>
      </c>
      <c r="B550" t="s">
        <v>10686</v>
      </c>
      <c r="C550" t="s">
        <v>74</v>
      </c>
      <c r="D550" t="s">
        <v>74</v>
      </c>
      <c r="E550" t="s">
        <v>74</v>
      </c>
      <c r="F550" t="s">
        <v>10687</v>
      </c>
      <c r="G550" t="s">
        <v>74</v>
      </c>
      <c r="H550" t="s">
        <v>74</v>
      </c>
      <c r="I550" t="s">
        <v>10688</v>
      </c>
      <c r="J550" t="s">
        <v>10689</v>
      </c>
      <c r="K550" t="s">
        <v>74</v>
      </c>
      <c r="L550" t="s">
        <v>74</v>
      </c>
      <c r="M550" t="s">
        <v>78</v>
      </c>
      <c r="N550" t="s">
        <v>79</v>
      </c>
      <c r="O550" t="s">
        <v>74</v>
      </c>
      <c r="P550" t="s">
        <v>74</v>
      </c>
      <c r="Q550" t="s">
        <v>74</v>
      </c>
      <c r="R550" t="s">
        <v>74</v>
      </c>
      <c r="S550" t="s">
        <v>74</v>
      </c>
      <c r="T550" t="s">
        <v>10690</v>
      </c>
      <c r="U550" t="s">
        <v>10691</v>
      </c>
      <c r="V550" t="s">
        <v>10692</v>
      </c>
      <c r="W550" t="s">
        <v>10693</v>
      </c>
      <c r="X550" t="s">
        <v>10694</v>
      </c>
      <c r="Y550" t="s">
        <v>10695</v>
      </c>
      <c r="Z550" t="s">
        <v>10696</v>
      </c>
      <c r="AA550" t="s">
        <v>10697</v>
      </c>
      <c r="AB550" t="s">
        <v>10698</v>
      </c>
      <c r="AC550" t="s">
        <v>10699</v>
      </c>
      <c r="AD550" t="s">
        <v>10700</v>
      </c>
      <c r="AE550" t="s">
        <v>10701</v>
      </c>
      <c r="AF550" t="s">
        <v>74</v>
      </c>
      <c r="AG550">
        <v>110</v>
      </c>
      <c r="AH550">
        <v>122</v>
      </c>
      <c r="AI550">
        <v>130</v>
      </c>
      <c r="AJ550">
        <v>3</v>
      </c>
      <c r="AK550">
        <v>63</v>
      </c>
      <c r="AL550" t="s">
        <v>10702</v>
      </c>
      <c r="AM550" t="s">
        <v>223</v>
      </c>
      <c r="AN550" t="s">
        <v>10703</v>
      </c>
      <c r="AO550" t="s">
        <v>10704</v>
      </c>
      <c r="AP550" t="s">
        <v>10705</v>
      </c>
      <c r="AQ550" t="s">
        <v>74</v>
      </c>
      <c r="AR550" t="s">
        <v>10706</v>
      </c>
      <c r="AS550" t="s">
        <v>10707</v>
      </c>
      <c r="AT550" t="s">
        <v>183</v>
      </c>
      <c r="AU550">
        <v>2016</v>
      </c>
      <c r="AV550">
        <v>78</v>
      </c>
      <c r="AW550">
        <v>3</v>
      </c>
      <c r="AX550" t="s">
        <v>74</v>
      </c>
      <c r="AY550" t="s">
        <v>74</v>
      </c>
      <c r="AZ550" t="s">
        <v>74</v>
      </c>
      <c r="BA550" t="s">
        <v>74</v>
      </c>
      <c r="BB550">
        <v>573</v>
      </c>
      <c r="BC550">
        <v>590</v>
      </c>
      <c r="BD550" t="s">
        <v>74</v>
      </c>
      <c r="BE550" t="s">
        <v>10708</v>
      </c>
      <c r="BF550" t="str">
        <f>HYPERLINK("http://dx.doi.org/10.1007/s00027-015-0447-y","http://dx.doi.org/10.1007/s00027-015-0447-y")</f>
        <v>http://dx.doi.org/10.1007/s00027-015-0447-y</v>
      </c>
      <c r="BG550" t="s">
        <v>74</v>
      </c>
      <c r="BH550" t="s">
        <v>74</v>
      </c>
      <c r="BI550">
        <v>18</v>
      </c>
      <c r="BJ550" t="s">
        <v>10709</v>
      </c>
      <c r="BK550" t="s">
        <v>102</v>
      </c>
      <c r="BL550" t="s">
        <v>10710</v>
      </c>
      <c r="BM550" t="s">
        <v>10711</v>
      </c>
      <c r="BN550" t="s">
        <v>74</v>
      </c>
      <c r="BO550" t="s">
        <v>74</v>
      </c>
      <c r="BP550" t="s">
        <v>74</v>
      </c>
      <c r="BQ550" t="s">
        <v>74</v>
      </c>
      <c r="BR550" t="s">
        <v>106</v>
      </c>
      <c r="BS550" t="s">
        <v>10712</v>
      </c>
      <c r="BT550" t="str">
        <f>HYPERLINK("https%3A%2F%2Fwww.webofscience.com%2Fwos%2Fwoscc%2Ffull-record%2FWOS:000377360200012","View Full Record in Web of Science")</f>
        <v>View Full Record in Web of Science</v>
      </c>
    </row>
    <row r="551" spans="1:72" x14ac:dyDescent="0.2">
      <c r="A551" t="s">
        <v>72</v>
      </c>
      <c r="B551" t="s">
        <v>10713</v>
      </c>
      <c r="C551" t="s">
        <v>74</v>
      </c>
      <c r="D551" t="s">
        <v>74</v>
      </c>
      <c r="E551" t="s">
        <v>74</v>
      </c>
      <c r="F551" t="s">
        <v>10714</v>
      </c>
      <c r="G551" t="s">
        <v>74</v>
      </c>
      <c r="H551" t="s">
        <v>74</v>
      </c>
      <c r="I551" t="s">
        <v>10715</v>
      </c>
      <c r="J551" t="s">
        <v>4012</v>
      </c>
      <c r="K551" t="s">
        <v>74</v>
      </c>
      <c r="L551" t="s">
        <v>74</v>
      </c>
      <c r="M551" t="s">
        <v>78</v>
      </c>
      <c r="N551" t="s">
        <v>79</v>
      </c>
      <c r="O551" t="s">
        <v>74</v>
      </c>
      <c r="P551" t="s">
        <v>74</v>
      </c>
      <c r="Q551" t="s">
        <v>74</v>
      </c>
      <c r="R551" t="s">
        <v>74</v>
      </c>
      <c r="S551" t="s">
        <v>74</v>
      </c>
      <c r="T551" t="s">
        <v>10716</v>
      </c>
      <c r="U551" t="s">
        <v>10717</v>
      </c>
      <c r="V551" t="s">
        <v>10718</v>
      </c>
      <c r="W551" t="s">
        <v>10719</v>
      </c>
      <c r="X551" t="s">
        <v>10720</v>
      </c>
      <c r="Y551" t="s">
        <v>10721</v>
      </c>
      <c r="Z551" t="s">
        <v>10722</v>
      </c>
      <c r="AA551" t="s">
        <v>10723</v>
      </c>
      <c r="AB551" t="s">
        <v>10724</v>
      </c>
      <c r="AC551" t="s">
        <v>10725</v>
      </c>
      <c r="AD551" t="s">
        <v>10726</v>
      </c>
      <c r="AE551" t="s">
        <v>10727</v>
      </c>
      <c r="AF551" t="s">
        <v>74</v>
      </c>
      <c r="AG551">
        <v>43</v>
      </c>
      <c r="AH551">
        <v>11</v>
      </c>
      <c r="AI551">
        <v>12</v>
      </c>
      <c r="AJ551">
        <v>3</v>
      </c>
      <c r="AK551">
        <v>154</v>
      </c>
      <c r="AL551" t="s">
        <v>585</v>
      </c>
      <c r="AM551" t="s">
        <v>306</v>
      </c>
      <c r="AN551" t="s">
        <v>586</v>
      </c>
      <c r="AO551" t="s">
        <v>4025</v>
      </c>
      <c r="AP551" t="s">
        <v>4026</v>
      </c>
      <c r="AQ551" t="s">
        <v>74</v>
      </c>
      <c r="AR551" t="s">
        <v>4027</v>
      </c>
      <c r="AS551" t="s">
        <v>4028</v>
      </c>
      <c r="AT551" t="s">
        <v>10728</v>
      </c>
      <c r="AU551">
        <v>2014</v>
      </c>
      <c r="AV551">
        <v>60</v>
      </c>
      <c r="AW551">
        <v>10</v>
      </c>
      <c r="AX551" t="s">
        <v>74</v>
      </c>
      <c r="AY551" t="s">
        <v>74</v>
      </c>
      <c r="AZ551" t="s">
        <v>74</v>
      </c>
      <c r="BA551" t="s">
        <v>74</v>
      </c>
      <c r="BB551">
        <v>1329</v>
      </c>
      <c r="BC551">
        <v>1344</v>
      </c>
      <c r="BD551" t="s">
        <v>74</v>
      </c>
      <c r="BE551" t="s">
        <v>10729</v>
      </c>
      <c r="BF551" t="str">
        <f>HYPERLINK("http://dx.doi.org/10.1080/03650340.2013.869673","http://dx.doi.org/10.1080/03650340.2013.869673")</f>
        <v>http://dx.doi.org/10.1080/03650340.2013.869673</v>
      </c>
      <c r="BG551" t="s">
        <v>74</v>
      </c>
      <c r="BH551" t="s">
        <v>74</v>
      </c>
      <c r="BI551">
        <v>16</v>
      </c>
      <c r="BJ551" t="s">
        <v>4030</v>
      </c>
      <c r="BK551" t="s">
        <v>102</v>
      </c>
      <c r="BL551" t="s">
        <v>103</v>
      </c>
      <c r="BM551" t="s">
        <v>10730</v>
      </c>
      <c r="BN551" t="s">
        <v>74</v>
      </c>
      <c r="BO551" t="s">
        <v>74</v>
      </c>
      <c r="BP551" t="s">
        <v>74</v>
      </c>
      <c r="BQ551" t="s">
        <v>74</v>
      </c>
      <c r="BR551" t="s">
        <v>106</v>
      </c>
      <c r="BS551" t="s">
        <v>10731</v>
      </c>
      <c r="BT551" t="str">
        <f>HYPERLINK("https%3A%2F%2Fwww.webofscience.com%2Fwos%2Fwoscc%2Ffull-record%2FWOS:000335116900001","View Full Record in Web of Science")</f>
        <v>View Full Record in Web of Science</v>
      </c>
    </row>
    <row r="552" spans="1:72" x14ac:dyDescent="0.2">
      <c r="A552" t="s">
        <v>72</v>
      </c>
      <c r="B552" t="s">
        <v>10732</v>
      </c>
      <c r="C552" t="s">
        <v>74</v>
      </c>
      <c r="D552" t="s">
        <v>74</v>
      </c>
      <c r="E552" t="s">
        <v>74</v>
      </c>
      <c r="F552" t="s">
        <v>10733</v>
      </c>
      <c r="G552" t="s">
        <v>74</v>
      </c>
      <c r="H552" t="s">
        <v>74</v>
      </c>
      <c r="I552" t="s">
        <v>10734</v>
      </c>
      <c r="J552" t="s">
        <v>1526</v>
      </c>
      <c r="K552" t="s">
        <v>74</v>
      </c>
      <c r="L552" t="s">
        <v>74</v>
      </c>
      <c r="M552" t="s">
        <v>78</v>
      </c>
      <c r="N552" t="s">
        <v>79</v>
      </c>
      <c r="O552" t="s">
        <v>74</v>
      </c>
      <c r="P552" t="s">
        <v>74</v>
      </c>
      <c r="Q552" t="s">
        <v>74</v>
      </c>
      <c r="R552" t="s">
        <v>74</v>
      </c>
      <c r="S552" t="s">
        <v>74</v>
      </c>
      <c r="T552" t="s">
        <v>10735</v>
      </c>
      <c r="U552" t="s">
        <v>10736</v>
      </c>
      <c r="V552" t="s">
        <v>10737</v>
      </c>
      <c r="W552" t="s">
        <v>10738</v>
      </c>
      <c r="X552" t="s">
        <v>10739</v>
      </c>
      <c r="Y552" t="s">
        <v>10740</v>
      </c>
      <c r="Z552" t="s">
        <v>10741</v>
      </c>
      <c r="AA552" t="s">
        <v>10742</v>
      </c>
      <c r="AB552" t="s">
        <v>10743</v>
      </c>
      <c r="AC552" t="s">
        <v>10744</v>
      </c>
      <c r="AD552" t="s">
        <v>10745</v>
      </c>
      <c r="AE552" t="s">
        <v>10746</v>
      </c>
      <c r="AF552" t="s">
        <v>74</v>
      </c>
      <c r="AG552">
        <v>52</v>
      </c>
      <c r="AH552">
        <v>34</v>
      </c>
      <c r="AI552">
        <v>37</v>
      </c>
      <c r="AJ552">
        <v>0</v>
      </c>
      <c r="AK552">
        <v>97</v>
      </c>
      <c r="AL552" t="s">
        <v>176</v>
      </c>
      <c r="AM552" t="s">
        <v>177</v>
      </c>
      <c r="AN552" t="s">
        <v>178</v>
      </c>
      <c r="AO552" t="s">
        <v>1538</v>
      </c>
      <c r="AP552" t="s">
        <v>1539</v>
      </c>
      <c r="AQ552" t="s">
        <v>74</v>
      </c>
      <c r="AR552" t="s">
        <v>1540</v>
      </c>
      <c r="AS552" t="s">
        <v>1541</v>
      </c>
      <c r="AT552" t="s">
        <v>10317</v>
      </c>
      <c r="AU552">
        <v>2016</v>
      </c>
      <c r="AV552">
        <v>112</v>
      </c>
      <c r="AW552" t="s">
        <v>74</v>
      </c>
      <c r="AX552">
        <v>4</v>
      </c>
      <c r="AY552" t="s">
        <v>74</v>
      </c>
      <c r="AZ552" t="s">
        <v>74</v>
      </c>
      <c r="BA552" t="s">
        <v>74</v>
      </c>
      <c r="BB552">
        <v>2613</v>
      </c>
      <c r="BC552">
        <v>2624</v>
      </c>
      <c r="BD552" t="s">
        <v>74</v>
      </c>
      <c r="BE552" t="s">
        <v>10747</v>
      </c>
      <c r="BF552" t="str">
        <f>HYPERLINK("http://dx.doi.org/10.1016/j.jclepro.2015.10.009","http://dx.doi.org/10.1016/j.jclepro.2015.10.009")</f>
        <v>http://dx.doi.org/10.1016/j.jclepro.2015.10.009</v>
      </c>
      <c r="BG552" t="s">
        <v>74</v>
      </c>
      <c r="BH552" t="s">
        <v>74</v>
      </c>
      <c r="BI552">
        <v>12</v>
      </c>
      <c r="BJ552" t="s">
        <v>1543</v>
      </c>
      <c r="BK552" t="s">
        <v>102</v>
      </c>
      <c r="BL552" t="s">
        <v>1544</v>
      </c>
      <c r="BM552" t="s">
        <v>10748</v>
      </c>
      <c r="BN552" t="s">
        <v>74</v>
      </c>
      <c r="BO552" t="s">
        <v>541</v>
      </c>
      <c r="BP552" t="s">
        <v>74</v>
      </c>
      <c r="BQ552" t="s">
        <v>74</v>
      </c>
      <c r="BR552" t="s">
        <v>106</v>
      </c>
      <c r="BS552" t="s">
        <v>10749</v>
      </c>
      <c r="BT552" t="str">
        <f>HYPERLINK("https%3A%2F%2Fwww.webofscience.com%2Fwos%2Fwoscc%2Ffull-record%2FWOS:000368207400044","View Full Record in Web of Science")</f>
        <v>View Full Record in Web of Science</v>
      </c>
    </row>
    <row r="553" spans="1:72" x14ac:dyDescent="0.2">
      <c r="A553" t="s">
        <v>72</v>
      </c>
      <c r="B553" t="s">
        <v>10750</v>
      </c>
      <c r="C553" t="s">
        <v>74</v>
      </c>
      <c r="D553" t="s">
        <v>74</v>
      </c>
      <c r="E553" t="s">
        <v>74</v>
      </c>
      <c r="F553" t="s">
        <v>10751</v>
      </c>
      <c r="G553" t="s">
        <v>74</v>
      </c>
      <c r="H553" t="s">
        <v>74</v>
      </c>
      <c r="I553" t="s">
        <v>10752</v>
      </c>
      <c r="J553" t="s">
        <v>166</v>
      </c>
      <c r="K553" t="s">
        <v>74</v>
      </c>
      <c r="L553" t="s">
        <v>74</v>
      </c>
      <c r="M553" t="s">
        <v>78</v>
      </c>
      <c r="N553" t="s">
        <v>79</v>
      </c>
      <c r="O553" t="s">
        <v>74</v>
      </c>
      <c r="P553" t="s">
        <v>74</v>
      </c>
      <c r="Q553" t="s">
        <v>74</v>
      </c>
      <c r="R553" t="s">
        <v>74</v>
      </c>
      <c r="S553" t="s">
        <v>74</v>
      </c>
      <c r="T553" t="s">
        <v>10753</v>
      </c>
      <c r="U553" t="s">
        <v>10754</v>
      </c>
      <c r="V553" t="s">
        <v>10755</v>
      </c>
      <c r="W553" t="s">
        <v>10756</v>
      </c>
      <c r="X553" t="s">
        <v>10757</v>
      </c>
      <c r="Y553" t="s">
        <v>10758</v>
      </c>
      <c r="Z553" t="s">
        <v>10759</v>
      </c>
      <c r="AA553" t="s">
        <v>10760</v>
      </c>
      <c r="AB553" t="s">
        <v>10761</v>
      </c>
      <c r="AC553" t="s">
        <v>10762</v>
      </c>
      <c r="AD553" t="s">
        <v>10762</v>
      </c>
      <c r="AE553" t="s">
        <v>10763</v>
      </c>
      <c r="AF553" t="s">
        <v>74</v>
      </c>
      <c r="AG553">
        <v>111</v>
      </c>
      <c r="AH553">
        <v>62</v>
      </c>
      <c r="AI553">
        <v>67</v>
      </c>
      <c r="AJ553">
        <v>3</v>
      </c>
      <c r="AK553">
        <v>159</v>
      </c>
      <c r="AL553" t="s">
        <v>176</v>
      </c>
      <c r="AM553" t="s">
        <v>177</v>
      </c>
      <c r="AN553" t="s">
        <v>178</v>
      </c>
      <c r="AO553" t="s">
        <v>179</v>
      </c>
      <c r="AP553" t="s">
        <v>180</v>
      </c>
      <c r="AQ553" t="s">
        <v>74</v>
      </c>
      <c r="AR553" t="s">
        <v>181</v>
      </c>
      <c r="AS553" t="s">
        <v>182</v>
      </c>
      <c r="AT553" t="s">
        <v>1963</v>
      </c>
      <c r="AU553">
        <v>2014</v>
      </c>
      <c r="AV553">
        <v>28</v>
      </c>
      <c r="AW553" t="s">
        <v>74</v>
      </c>
      <c r="AX553" t="s">
        <v>74</v>
      </c>
      <c r="AY553" t="s">
        <v>74</v>
      </c>
      <c r="AZ553" t="s">
        <v>74</v>
      </c>
      <c r="BA553" t="s">
        <v>74</v>
      </c>
      <c r="BB553">
        <v>166</v>
      </c>
      <c r="BC553">
        <v>181</v>
      </c>
      <c r="BD553" t="s">
        <v>74</v>
      </c>
      <c r="BE553" t="s">
        <v>10764</v>
      </c>
      <c r="BF553" t="str">
        <f>HYPERLINK("http://dx.doi.org/10.1016/j.gloenvcha.2014.06.013","http://dx.doi.org/10.1016/j.gloenvcha.2014.06.013")</f>
        <v>http://dx.doi.org/10.1016/j.gloenvcha.2014.06.013</v>
      </c>
      <c r="BG553" t="s">
        <v>74</v>
      </c>
      <c r="BH553" t="s">
        <v>74</v>
      </c>
      <c r="BI553">
        <v>16</v>
      </c>
      <c r="BJ553" t="s">
        <v>185</v>
      </c>
      <c r="BK553" t="s">
        <v>186</v>
      </c>
      <c r="BL553" t="s">
        <v>187</v>
      </c>
      <c r="BM553" t="s">
        <v>10765</v>
      </c>
      <c r="BN553" t="s">
        <v>74</v>
      </c>
      <c r="BO553" t="s">
        <v>74</v>
      </c>
      <c r="BP553" t="s">
        <v>74</v>
      </c>
      <c r="BQ553" t="s">
        <v>74</v>
      </c>
      <c r="BR553" t="s">
        <v>106</v>
      </c>
      <c r="BS553" t="s">
        <v>10766</v>
      </c>
      <c r="BT553" t="str">
        <f>HYPERLINK("https%3A%2F%2Fwww.webofscience.com%2Fwos%2Fwoscc%2Ffull-record%2FWOS:000343839100015","View Full Record in Web of Science")</f>
        <v>View Full Record in Web of Science</v>
      </c>
    </row>
    <row r="554" spans="1:72" x14ac:dyDescent="0.2">
      <c r="A554" t="s">
        <v>72</v>
      </c>
      <c r="B554" t="s">
        <v>10767</v>
      </c>
      <c r="C554" t="s">
        <v>74</v>
      </c>
      <c r="D554" t="s">
        <v>74</v>
      </c>
      <c r="E554" t="s">
        <v>74</v>
      </c>
      <c r="F554" t="s">
        <v>10768</v>
      </c>
      <c r="G554" t="s">
        <v>74</v>
      </c>
      <c r="H554" t="s">
        <v>74</v>
      </c>
      <c r="I554" t="s">
        <v>10769</v>
      </c>
      <c r="J554" t="s">
        <v>546</v>
      </c>
      <c r="K554" t="s">
        <v>74</v>
      </c>
      <c r="L554" t="s">
        <v>74</v>
      </c>
      <c r="M554" t="s">
        <v>78</v>
      </c>
      <c r="N554" t="s">
        <v>79</v>
      </c>
      <c r="O554" t="s">
        <v>74</v>
      </c>
      <c r="P554" t="s">
        <v>74</v>
      </c>
      <c r="Q554" t="s">
        <v>74</v>
      </c>
      <c r="R554" t="s">
        <v>74</v>
      </c>
      <c r="S554" t="s">
        <v>74</v>
      </c>
      <c r="T554" t="s">
        <v>10770</v>
      </c>
      <c r="U554" t="s">
        <v>10771</v>
      </c>
      <c r="V554" t="s">
        <v>10772</v>
      </c>
      <c r="W554" t="s">
        <v>10773</v>
      </c>
      <c r="X554" t="s">
        <v>10774</v>
      </c>
      <c r="Y554" t="s">
        <v>10775</v>
      </c>
      <c r="Z554" t="s">
        <v>10776</v>
      </c>
      <c r="AA554" t="s">
        <v>10777</v>
      </c>
      <c r="AB554" t="s">
        <v>10778</v>
      </c>
      <c r="AC554" t="s">
        <v>10779</v>
      </c>
      <c r="AD554" t="s">
        <v>10780</v>
      </c>
      <c r="AE554" t="s">
        <v>10781</v>
      </c>
      <c r="AF554" t="s">
        <v>74</v>
      </c>
      <c r="AG554">
        <v>53</v>
      </c>
      <c r="AH554">
        <v>46</v>
      </c>
      <c r="AI554">
        <v>49</v>
      </c>
      <c r="AJ554">
        <v>2</v>
      </c>
      <c r="AK554">
        <v>103</v>
      </c>
      <c r="AL554" t="s">
        <v>559</v>
      </c>
      <c r="AM554" t="s">
        <v>93</v>
      </c>
      <c r="AN554" t="s">
        <v>560</v>
      </c>
      <c r="AO554" t="s">
        <v>561</v>
      </c>
      <c r="AP554" t="s">
        <v>562</v>
      </c>
      <c r="AQ554" t="s">
        <v>74</v>
      </c>
      <c r="AR554" t="s">
        <v>563</v>
      </c>
      <c r="AS554" t="s">
        <v>564</v>
      </c>
      <c r="AT554" t="s">
        <v>5933</v>
      </c>
      <c r="AU554">
        <v>2019</v>
      </c>
      <c r="AV554">
        <v>234</v>
      </c>
      <c r="AW554" t="s">
        <v>74</v>
      </c>
      <c r="AX554" t="s">
        <v>74</v>
      </c>
      <c r="AY554" t="s">
        <v>74</v>
      </c>
      <c r="AZ554" t="s">
        <v>74</v>
      </c>
      <c r="BA554" t="s">
        <v>74</v>
      </c>
      <c r="BB554">
        <v>159</v>
      </c>
      <c r="BC554">
        <v>166</v>
      </c>
      <c r="BD554" t="s">
        <v>74</v>
      </c>
      <c r="BE554" t="s">
        <v>10782</v>
      </c>
      <c r="BF554" t="str">
        <f>HYPERLINK("http://dx.doi.org/10.1016/j.jenvman.2018.12.039","http://dx.doi.org/10.1016/j.jenvman.2018.12.039")</f>
        <v>http://dx.doi.org/10.1016/j.jenvman.2018.12.039</v>
      </c>
      <c r="BG554" t="s">
        <v>74</v>
      </c>
      <c r="BH554" t="s">
        <v>74</v>
      </c>
      <c r="BI554">
        <v>8</v>
      </c>
      <c r="BJ554" t="s">
        <v>567</v>
      </c>
      <c r="BK554" t="s">
        <v>102</v>
      </c>
      <c r="BL554" t="s">
        <v>568</v>
      </c>
      <c r="BM554" t="s">
        <v>10783</v>
      </c>
      <c r="BN554">
        <v>30616188</v>
      </c>
      <c r="BO554" t="s">
        <v>74</v>
      </c>
      <c r="BP554" t="s">
        <v>74</v>
      </c>
      <c r="BQ554" t="s">
        <v>74</v>
      </c>
      <c r="BR554" t="s">
        <v>106</v>
      </c>
      <c r="BS554" t="s">
        <v>10784</v>
      </c>
      <c r="BT554" t="str">
        <f>HYPERLINK("https%3A%2F%2Fwww.webofscience.com%2Fwos%2Fwoscc%2Ffull-record%2FWOS:000460195000018","View Full Record in Web of Science")</f>
        <v>View Full Record in Web of Science</v>
      </c>
    </row>
    <row r="555" spans="1:72" x14ac:dyDescent="0.2">
      <c r="A555" t="s">
        <v>72</v>
      </c>
      <c r="B555" t="s">
        <v>10785</v>
      </c>
      <c r="C555" t="s">
        <v>74</v>
      </c>
      <c r="D555" t="s">
        <v>74</v>
      </c>
      <c r="E555" t="s">
        <v>74</v>
      </c>
      <c r="F555" t="s">
        <v>10786</v>
      </c>
      <c r="G555" t="s">
        <v>74</v>
      </c>
      <c r="H555" t="s">
        <v>74</v>
      </c>
      <c r="I555" t="s">
        <v>10787</v>
      </c>
      <c r="J555" t="s">
        <v>468</v>
      </c>
      <c r="K555" t="s">
        <v>74</v>
      </c>
      <c r="L555" t="s">
        <v>74</v>
      </c>
      <c r="M555" t="s">
        <v>78</v>
      </c>
      <c r="N555" t="s">
        <v>79</v>
      </c>
      <c r="O555" t="s">
        <v>74</v>
      </c>
      <c r="P555" t="s">
        <v>74</v>
      </c>
      <c r="Q555" t="s">
        <v>74</v>
      </c>
      <c r="R555" t="s">
        <v>74</v>
      </c>
      <c r="S555" t="s">
        <v>74</v>
      </c>
      <c r="T555" t="s">
        <v>10788</v>
      </c>
      <c r="U555" t="s">
        <v>10789</v>
      </c>
      <c r="V555" t="s">
        <v>10790</v>
      </c>
      <c r="W555" t="s">
        <v>10791</v>
      </c>
      <c r="X555" t="s">
        <v>10792</v>
      </c>
      <c r="Y555" t="s">
        <v>10793</v>
      </c>
      <c r="Z555" t="s">
        <v>10794</v>
      </c>
      <c r="AA555" t="s">
        <v>10795</v>
      </c>
      <c r="AB555" t="s">
        <v>10796</v>
      </c>
      <c r="AC555" t="s">
        <v>10797</v>
      </c>
      <c r="AD555" t="s">
        <v>10798</v>
      </c>
      <c r="AE555" t="s">
        <v>10799</v>
      </c>
      <c r="AF555" t="s">
        <v>74</v>
      </c>
      <c r="AG555">
        <v>77</v>
      </c>
      <c r="AH555">
        <v>2</v>
      </c>
      <c r="AI555">
        <v>2</v>
      </c>
      <c r="AJ555">
        <v>9</v>
      </c>
      <c r="AK555">
        <v>50</v>
      </c>
      <c r="AL555" t="s">
        <v>222</v>
      </c>
      <c r="AM555" t="s">
        <v>223</v>
      </c>
      <c r="AN555" t="s">
        <v>478</v>
      </c>
      <c r="AO555" t="s">
        <v>74</v>
      </c>
      <c r="AP555" t="s">
        <v>479</v>
      </c>
      <c r="AQ555" t="s">
        <v>74</v>
      </c>
      <c r="AR555" t="s">
        <v>480</v>
      </c>
      <c r="AS555" t="s">
        <v>481</v>
      </c>
      <c r="AT555" t="s">
        <v>636</v>
      </c>
      <c r="AU555">
        <v>2024</v>
      </c>
      <c r="AV555">
        <v>16</v>
      </c>
      <c r="AW555">
        <v>7</v>
      </c>
      <c r="AX555" t="s">
        <v>74</v>
      </c>
      <c r="AY555" t="s">
        <v>74</v>
      </c>
      <c r="AZ555" t="s">
        <v>74</v>
      </c>
      <c r="BA555" t="s">
        <v>74</v>
      </c>
      <c r="BB555" t="s">
        <v>74</v>
      </c>
      <c r="BC555" t="s">
        <v>74</v>
      </c>
      <c r="BD555">
        <v>2792</v>
      </c>
      <c r="BE555" t="s">
        <v>10800</v>
      </c>
      <c r="BF555" t="str">
        <f>HYPERLINK("http://dx.doi.org/10.3390/su16072792","http://dx.doi.org/10.3390/su16072792")</f>
        <v>http://dx.doi.org/10.3390/su16072792</v>
      </c>
      <c r="BG555" t="s">
        <v>74</v>
      </c>
      <c r="BH555" t="s">
        <v>74</v>
      </c>
      <c r="BI555">
        <v>24</v>
      </c>
      <c r="BJ555" t="s">
        <v>484</v>
      </c>
      <c r="BK555" t="s">
        <v>186</v>
      </c>
      <c r="BL555" t="s">
        <v>485</v>
      </c>
      <c r="BM555" t="s">
        <v>10801</v>
      </c>
      <c r="BN555" t="s">
        <v>74</v>
      </c>
      <c r="BO555" t="s">
        <v>231</v>
      </c>
      <c r="BP555" t="s">
        <v>74</v>
      </c>
      <c r="BQ555" t="s">
        <v>74</v>
      </c>
      <c r="BR555" t="s">
        <v>106</v>
      </c>
      <c r="BS555" t="s">
        <v>10802</v>
      </c>
      <c r="BT555" t="str">
        <f>HYPERLINK("https%3A%2F%2Fwww.webofscience.com%2Fwos%2Fwoscc%2Ffull-record%2FWOS:001201176600001","View Full Record in Web of Science")</f>
        <v>View Full Record in Web of Science</v>
      </c>
    </row>
    <row r="556" spans="1:72" x14ac:dyDescent="0.2">
      <c r="A556" t="s">
        <v>72</v>
      </c>
      <c r="B556" t="s">
        <v>10803</v>
      </c>
      <c r="C556" t="s">
        <v>74</v>
      </c>
      <c r="D556" t="s">
        <v>74</v>
      </c>
      <c r="E556" t="s">
        <v>74</v>
      </c>
      <c r="F556" t="s">
        <v>10804</v>
      </c>
      <c r="G556" t="s">
        <v>74</v>
      </c>
      <c r="H556" t="s">
        <v>74</v>
      </c>
      <c r="I556" t="s">
        <v>10805</v>
      </c>
      <c r="J556" t="s">
        <v>10806</v>
      </c>
      <c r="K556" t="s">
        <v>74</v>
      </c>
      <c r="L556" t="s">
        <v>74</v>
      </c>
      <c r="M556" t="s">
        <v>78</v>
      </c>
      <c r="N556" t="s">
        <v>79</v>
      </c>
      <c r="O556" t="s">
        <v>74</v>
      </c>
      <c r="P556" t="s">
        <v>74</v>
      </c>
      <c r="Q556" t="s">
        <v>74</v>
      </c>
      <c r="R556" t="s">
        <v>74</v>
      </c>
      <c r="S556" t="s">
        <v>74</v>
      </c>
      <c r="T556" t="s">
        <v>10807</v>
      </c>
      <c r="U556" t="s">
        <v>10808</v>
      </c>
      <c r="V556" t="s">
        <v>10809</v>
      </c>
      <c r="W556" t="s">
        <v>10810</v>
      </c>
      <c r="X556" t="s">
        <v>10811</v>
      </c>
      <c r="Y556" t="s">
        <v>10812</v>
      </c>
      <c r="Z556" t="s">
        <v>10813</v>
      </c>
      <c r="AA556" t="s">
        <v>10814</v>
      </c>
      <c r="AB556" t="s">
        <v>10815</v>
      </c>
      <c r="AC556" t="s">
        <v>10816</v>
      </c>
      <c r="AD556" t="s">
        <v>10817</v>
      </c>
      <c r="AE556" t="s">
        <v>10818</v>
      </c>
      <c r="AF556" t="s">
        <v>74</v>
      </c>
      <c r="AG556">
        <v>59</v>
      </c>
      <c r="AH556">
        <v>26</v>
      </c>
      <c r="AI556">
        <v>27</v>
      </c>
      <c r="AJ556">
        <v>2</v>
      </c>
      <c r="AK556">
        <v>13</v>
      </c>
      <c r="AL556" t="s">
        <v>404</v>
      </c>
      <c r="AM556" t="s">
        <v>405</v>
      </c>
      <c r="AN556" t="s">
        <v>406</v>
      </c>
      <c r="AO556" t="s">
        <v>10819</v>
      </c>
      <c r="AP556" t="s">
        <v>10820</v>
      </c>
      <c r="AQ556" t="s">
        <v>74</v>
      </c>
      <c r="AR556" t="s">
        <v>10821</v>
      </c>
      <c r="AS556" t="s">
        <v>10822</v>
      </c>
      <c r="AT556" t="s">
        <v>2977</v>
      </c>
      <c r="AU556">
        <v>2024</v>
      </c>
      <c r="AV556">
        <v>454</v>
      </c>
      <c r="AW556" t="s">
        <v>74</v>
      </c>
      <c r="AX556" t="s">
        <v>74</v>
      </c>
      <c r="AY556" t="s">
        <v>74</v>
      </c>
      <c r="AZ556" t="s">
        <v>74</v>
      </c>
      <c r="BA556" t="s">
        <v>74</v>
      </c>
      <c r="BB556" t="s">
        <v>74</v>
      </c>
      <c r="BC556" t="s">
        <v>74</v>
      </c>
      <c r="BD556">
        <v>115702</v>
      </c>
      <c r="BE556" t="s">
        <v>10823</v>
      </c>
      <c r="BF556" t="str">
        <f>HYPERLINK("http://dx.doi.org/10.1016/j.jphotochem.2024.115702","http://dx.doi.org/10.1016/j.jphotochem.2024.115702")</f>
        <v>http://dx.doi.org/10.1016/j.jphotochem.2024.115702</v>
      </c>
      <c r="BG556" t="s">
        <v>74</v>
      </c>
      <c r="BH556" t="s">
        <v>2038</v>
      </c>
      <c r="BI556">
        <v>10</v>
      </c>
      <c r="BJ556" t="s">
        <v>6425</v>
      </c>
      <c r="BK556" t="s">
        <v>102</v>
      </c>
      <c r="BL556" t="s">
        <v>2499</v>
      </c>
      <c r="BM556" t="s">
        <v>10824</v>
      </c>
      <c r="BN556" t="s">
        <v>74</v>
      </c>
      <c r="BO556" t="s">
        <v>74</v>
      </c>
      <c r="BP556" t="s">
        <v>74</v>
      </c>
      <c r="BQ556" t="s">
        <v>74</v>
      </c>
      <c r="BR556" t="s">
        <v>106</v>
      </c>
      <c r="BS556" t="s">
        <v>10825</v>
      </c>
      <c r="BT556" t="str">
        <f>HYPERLINK("https%3A%2F%2Fwww.webofscience.com%2Fwos%2Fwoscc%2Ffull-record%2FWOS:001234418300001","View Full Record in Web of Science")</f>
        <v>View Full Record in Web of Science</v>
      </c>
    </row>
    <row r="557" spans="1:72" x14ac:dyDescent="0.2">
      <c r="A557" t="s">
        <v>72</v>
      </c>
      <c r="B557" t="s">
        <v>10826</v>
      </c>
      <c r="C557" t="s">
        <v>74</v>
      </c>
      <c r="D557" t="s">
        <v>74</v>
      </c>
      <c r="E557" t="s">
        <v>74</v>
      </c>
      <c r="F557" t="s">
        <v>10827</v>
      </c>
      <c r="G557" t="s">
        <v>74</v>
      </c>
      <c r="H557" t="s">
        <v>74</v>
      </c>
      <c r="I557" t="s">
        <v>10828</v>
      </c>
      <c r="J557" t="s">
        <v>1526</v>
      </c>
      <c r="K557" t="s">
        <v>74</v>
      </c>
      <c r="L557" t="s">
        <v>74</v>
      </c>
      <c r="M557" t="s">
        <v>78</v>
      </c>
      <c r="N557" t="s">
        <v>79</v>
      </c>
      <c r="O557" t="s">
        <v>74</v>
      </c>
      <c r="P557" t="s">
        <v>74</v>
      </c>
      <c r="Q557" t="s">
        <v>74</v>
      </c>
      <c r="R557" t="s">
        <v>74</v>
      </c>
      <c r="S557" t="s">
        <v>74</v>
      </c>
      <c r="T557" t="s">
        <v>10829</v>
      </c>
      <c r="U557" t="s">
        <v>10830</v>
      </c>
      <c r="V557" t="s">
        <v>10831</v>
      </c>
      <c r="W557" t="s">
        <v>10832</v>
      </c>
      <c r="X557" t="s">
        <v>10833</v>
      </c>
      <c r="Y557" t="s">
        <v>10834</v>
      </c>
      <c r="Z557" t="s">
        <v>10835</v>
      </c>
      <c r="AA557" t="s">
        <v>10836</v>
      </c>
      <c r="AB557" t="s">
        <v>10837</v>
      </c>
      <c r="AC557" t="s">
        <v>10838</v>
      </c>
      <c r="AD557" t="s">
        <v>10839</v>
      </c>
      <c r="AE557" t="s">
        <v>10840</v>
      </c>
      <c r="AF557" t="s">
        <v>74</v>
      </c>
      <c r="AG557">
        <v>85</v>
      </c>
      <c r="AH557">
        <v>31</v>
      </c>
      <c r="AI557">
        <v>33</v>
      </c>
      <c r="AJ557">
        <v>1</v>
      </c>
      <c r="AK557">
        <v>34</v>
      </c>
      <c r="AL557" t="s">
        <v>176</v>
      </c>
      <c r="AM557" t="s">
        <v>177</v>
      </c>
      <c r="AN557" t="s">
        <v>178</v>
      </c>
      <c r="AO557" t="s">
        <v>1538</v>
      </c>
      <c r="AP557" t="s">
        <v>1539</v>
      </c>
      <c r="AQ557" t="s">
        <v>74</v>
      </c>
      <c r="AR557" t="s">
        <v>1540</v>
      </c>
      <c r="AS557" t="s">
        <v>1541</v>
      </c>
      <c r="AT557" t="s">
        <v>4831</v>
      </c>
      <c r="AU557">
        <v>2019</v>
      </c>
      <c r="AV557">
        <v>232</v>
      </c>
      <c r="AW557" t="s">
        <v>74</v>
      </c>
      <c r="AX557" t="s">
        <v>74</v>
      </c>
      <c r="AY557" t="s">
        <v>74</v>
      </c>
      <c r="AZ557" t="s">
        <v>74</v>
      </c>
      <c r="BA557" t="s">
        <v>74</v>
      </c>
      <c r="BB557">
        <v>796</v>
      </c>
      <c r="BC557">
        <v>821</v>
      </c>
      <c r="BD557" t="s">
        <v>74</v>
      </c>
      <c r="BE557" t="s">
        <v>10841</v>
      </c>
      <c r="BF557" t="str">
        <f>HYPERLINK("http://dx.doi.org/10.1016/j.jclepro.2019.05.345","http://dx.doi.org/10.1016/j.jclepro.2019.05.345")</f>
        <v>http://dx.doi.org/10.1016/j.jclepro.2019.05.345</v>
      </c>
      <c r="BG557" t="s">
        <v>74</v>
      </c>
      <c r="BH557" t="s">
        <v>74</v>
      </c>
      <c r="BI557">
        <v>26</v>
      </c>
      <c r="BJ557" t="s">
        <v>1543</v>
      </c>
      <c r="BK557" t="s">
        <v>186</v>
      </c>
      <c r="BL557" t="s">
        <v>1544</v>
      </c>
      <c r="BM557" t="s">
        <v>10842</v>
      </c>
      <c r="BN557" t="s">
        <v>74</v>
      </c>
      <c r="BO557" t="s">
        <v>541</v>
      </c>
      <c r="BP557" t="s">
        <v>74</v>
      </c>
      <c r="BQ557" t="s">
        <v>74</v>
      </c>
      <c r="BR557" t="s">
        <v>106</v>
      </c>
      <c r="BS557" t="s">
        <v>10843</v>
      </c>
      <c r="BT557" t="str">
        <f>HYPERLINK("https%3A%2F%2Fwww.webofscience.com%2Fwos%2Fwoscc%2Ffull-record%2FWOS:000477784000070","View Full Record in Web of Science")</f>
        <v>View Full Record in Web of Science</v>
      </c>
    </row>
    <row r="558" spans="1:72" x14ac:dyDescent="0.2">
      <c r="A558" t="s">
        <v>72</v>
      </c>
      <c r="B558" t="s">
        <v>10844</v>
      </c>
      <c r="C558" t="s">
        <v>74</v>
      </c>
      <c r="D558" t="s">
        <v>74</v>
      </c>
      <c r="E558" t="s">
        <v>74</v>
      </c>
      <c r="F558" t="s">
        <v>10845</v>
      </c>
      <c r="G558" t="s">
        <v>74</v>
      </c>
      <c r="H558" t="s">
        <v>74</v>
      </c>
      <c r="I558" t="s">
        <v>10846</v>
      </c>
      <c r="J558" t="s">
        <v>10847</v>
      </c>
      <c r="K558" t="s">
        <v>74</v>
      </c>
      <c r="L558" t="s">
        <v>74</v>
      </c>
      <c r="M558" t="s">
        <v>78</v>
      </c>
      <c r="N558" t="s">
        <v>79</v>
      </c>
      <c r="O558" t="s">
        <v>74</v>
      </c>
      <c r="P558" t="s">
        <v>74</v>
      </c>
      <c r="Q558" t="s">
        <v>74</v>
      </c>
      <c r="R558" t="s">
        <v>74</v>
      </c>
      <c r="S558" t="s">
        <v>74</v>
      </c>
      <c r="T558" t="s">
        <v>10848</v>
      </c>
      <c r="U558" t="s">
        <v>10849</v>
      </c>
      <c r="V558" t="s">
        <v>10850</v>
      </c>
      <c r="W558" t="s">
        <v>10851</v>
      </c>
      <c r="X558" t="s">
        <v>10852</v>
      </c>
      <c r="Y558" t="s">
        <v>10853</v>
      </c>
      <c r="Z558" t="s">
        <v>10854</v>
      </c>
      <c r="AA558" t="s">
        <v>10855</v>
      </c>
      <c r="AB558" t="s">
        <v>10856</v>
      </c>
      <c r="AC558" t="s">
        <v>10857</v>
      </c>
      <c r="AD558" t="s">
        <v>10858</v>
      </c>
      <c r="AE558" t="s">
        <v>10859</v>
      </c>
      <c r="AF558" t="s">
        <v>74</v>
      </c>
      <c r="AG558">
        <v>54</v>
      </c>
      <c r="AH558">
        <v>27</v>
      </c>
      <c r="AI558">
        <v>34</v>
      </c>
      <c r="AJ558">
        <v>3</v>
      </c>
      <c r="AK558">
        <v>84</v>
      </c>
      <c r="AL558" t="s">
        <v>504</v>
      </c>
      <c r="AM558" t="s">
        <v>505</v>
      </c>
      <c r="AN558" t="s">
        <v>506</v>
      </c>
      <c r="AO558" t="s">
        <v>10860</v>
      </c>
      <c r="AP558" t="s">
        <v>10861</v>
      </c>
      <c r="AQ558" t="s">
        <v>74</v>
      </c>
      <c r="AR558" t="s">
        <v>10862</v>
      </c>
      <c r="AS558" t="s">
        <v>10863</v>
      </c>
      <c r="AT558" t="s">
        <v>281</v>
      </c>
      <c r="AU558">
        <v>2017</v>
      </c>
      <c r="AV558">
        <v>22</v>
      </c>
      <c r="AW558">
        <v>3</v>
      </c>
      <c r="AX558" t="s">
        <v>74</v>
      </c>
      <c r="AY558" t="s">
        <v>74</v>
      </c>
      <c r="AZ558" t="s">
        <v>74</v>
      </c>
      <c r="BA558" t="s">
        <v>74</v>
      </c>
      <c r="BB558">
        <v>215</v>
      </c>
      <c r="BC558">
        <v>229</v>
      </c>
      <c r="BD558" t="s">
        <v>74</v>
      </c>
      <c r="BE558" t="s">
        <v>10864</v>
      </c>
      <c r="BF558" t="str">
        <f>HYPERLINK("http://dx.doi.org/10.1007/s10666-016-9536-0","http://dx.doi.org/10.1007/s10666-016-9536-0")</f>
        <v>http://dx.doi.org/10.1007/s10666-016-9536-0</v>
      </c>
      <c r="BG558" t="s">
        <v>74</v>
      </c>
      <c r="BH558" t="s">
        <v>74</v>
      </c>
      <c r="BI558">
        <v>15</v>
      </c>
      <c r="BJ558" t="s">
        <v>567</v>
      </c>
      <c r="BK558" t="s">
        <v>102</v>
      </c>
      <c r="BL558" t="s">
        <v>568</v>
      </c>
      <c r="BM558" t="s">
        <v>10865</v>
      </c>
      <c r="BN558" t="s">
        <v>74</v>
      </c>
      <c r="BO558" t="s">
        <v>74</v>
      </c>
      <c r="BP558" t="s">
        <v>74</v>
      </c>
      <c r="BQ558" t="s">
        <v>74</v>
      </c>
      <c r="BR558" t="s">
        <v>106</v>
      </c>
      <c r="BS558" t="s">
        <v>10866</v>
      </c>
      <c r="BT558" t="str">
        <f>HYPERLINK("https%3A%2F%2Fwww.webofscience.com%2Fwos%2Fwoscc%2Ffull-record%2FWOS:000400643600003","View Full Record in Web of Science")</f>
        <v>View Full Record in Web of Science</v>
      </c>
    </row>
    <row r="559" spans="1:72" x14ac:dyDescent="0.2">
      <c r="A559" t="s">
        <v>72</v>
      </c>
      <c r="B559" t="s">
        <v>10867</v>
      </c>
      <c r="C559" t="s">
        <v>74</v>
      </c>
      <c r="D559" t="s">
        <v>74</v>
      </c>
      <c r="E559" t="s">
        <v>74</v>
      </c>
      <c r="F559" t="s">
        <v>10868</v>
      </c>
      <c r="G559" t="s">
        <v>74</v>
      </c>
      <c r="H559" t="s">
        <v>74</v>
      </c>
      <c r="I559" t="s">
        <v>10869</v>
      </c>
      <c r="J559" t="s">
        <v>6869</v>
      </c>
      <c r="K559" t="s">
        <v>74</v>
      </c>
      <c r="L559" t="s">
        <v>74</v>
      </c>
      <c r="M559" t="s">
        <v>78</v>
      </c>
      <c r="N559" t="s">
        <v>79</v>
      </c>
      <c r="O559" t="s">
        <v>74</v>
      </c>
      <c r="P559" t="s">
        <v>74</v>
      </c>
      <c r="Q559" t="s">
        <v>74</v>
      </c>
      <c r="R559" t="s">
        <v>74</v>
      </c>
      <c r="S559" t="s">
        <v>74</v>
      </c>
      <c r="T559" t="s">
        <v>10870</v>
      </c>
      <c r="U559" t="s">
        <v>10871</v>
      </c>
      <c r="V559" t="s">
        <v>10872</v>
      </c>
      <c r="W559" t="s">
        <v>10873</v>
      </c>
      <c r="X559" t="s">
        <v>10874</v>
      </c>
      <c r="Y559" t="s">
        <v>10875</v>
      </c>
      <c r="Z559" t="s">
        <v>10876</v>
      </c>
      <c r="AA559" t="s">
        <v>10877</v>
      </c>
      <c r="AB559" t="s">
        <v>10878</v>
      </c>
      <c r="AC559" t="s">
        <v>10879</v>
      </c>
      <c r="AD559" t="s">
        <v>10880</v>
      </c>
      <c r="AE559" t="s">
        <v>10881</v>
      </c>
      <c r="AF559" t="s">
        <v>74</v>
      </c>
      <c r="AG559">
        <v>63</v>
      </c>
      <c r="AH559">
        <v>5</v>
      </c>
      <c r="AI559">
        <v>6</v>
      </c>
      <c r="AJ559">
        <v>2</v>
      </c>
      <c r="AK559">
        <v>31</v>
      </c>
      <c r="AL559" t="s">
        <v>247</v>
      </c>
      <c r="AM559" t="s">
        <v>248</v>
      </c>
      <c r="AN559" t="s">
        <v>249</v>
      </c>
      <c r="AO559" t="s">
        <v>6879</v>
      </c>
      <c r="AP559" t="s">
        <v>6880</v>
      </c>
      <c r="AQ559" t="s">
        <v>74</v>
      </c>
      <c r="AR559" t="s">
        <v>6881</v>
      </c>
      <c r="AS559" t="s">
        <v>6882</v>
      </c>
      <c r="AT559" t="s">
        <v>1109</v>
      </c>
      <c r="AU559">
        <v>2018</v>
      </c>
      <c r="AV559">
        <v>29</v>
      </c>
      <c r="AW559">
        <v>12</v>
      </c>
      <c r="AX559" t="s">
        <v>74</v>
      </c>
      <c r="AY559" t="s">
        <v>74</v>
      </c>
      <c r="AZ559" t="s">
        <v>74</v>
      </c>
      <c r="BA559" t="s">
        <v>74</v>
      </c>
      <c r="BB559">
        <v>4301</v>
      </c>
      <c r="BC559">
        <v>4312</v>
      </c>
      <c r="BD559" t="s">
        <v>74</v>
      </c>
      <c r="BE559" t="s">
        <v>10882</v>
      </c>
      <c r="BF559" t="str">
        <f>HYPERLINK("http://dx.doi.org/10.1002/ldr.3184","http://dx.doi.org/10.1002/ldr.3184")</f>
        <v>http://dx.doi.org/10.1002/ldr.3184</v>
      </c>
      <c r="BG559" t="s">
        <v>74</v>
      </c>
      <c r="BH559" t="s">
        <v>74</v>
      </c>
      <c r="BI559">
        <v>12</v>
      </c>
      <c r="BJ559" t="s">
        <v>4942</v>
      </c>
      <c r="BK559" t="s">
        <v>102</v>
      </c>
      <c r="BL559" t="s">
        <v>4943</v>
      </c>
      <c r="BM559" t="s">
        <v>10883</v>
      </c>
      <c r="BN559" t="s">
        <v>74</v>
      </c>
      <c r="BO559" t="s">
        <v>541</v>
      </c>
      <c r="BP559" t="s">
        <v>74</v>
      </c>
      <c r="BQ559" t="s">
        <v>74</v>
      </c>
      <c r="BR559" t="s">
        <v>106</v>
      </c>
      <c r="BS559" t="s">
        <v>10884</v>
      </c>
      <c r="BT559" t="str">
        <f>HYPERLINK("https%3A%2F%2Fwww.webofscience.com%2Fwos%2Fwoscc%2Ffull-record%2FWOS:000465580100007","View Full Record in Web of Science")</f>
        <v>View Full Record in Web of Science</v>
      </c>
    </row>
    <row r="560" spans="1:72" x14ac:dyDescent="0.2">
      <c r="A560" t="s">
        <v>72</v>
      </c>
      <c r="B560" t="s">
        <v>10885</v>
      </c>
      <c r="C560" t="s">
        <v>74</v>
      </c>
      <c r="D560" t="s">
        <v>74</v>
      </c>
      <c r="E560" t="s">
        <v>74</v>
      </c>
      <c r="F560" t="s">
        <v>10886</v>
      </c>
      <c r="G560" t="s">
        <v>74</v>
      </c>
      <c r="H560" t="s">
        <v>74</v>
      </c>
      <c r="I560" t="s">
        <v>10887</v>
      </c>
      <c r="J560" t="s">
        <v>995</v>
      </c>
      <c r="K560" t="s">
        <v>74</v>
      </c>
      <c r="L560" t="s">
        <v>74</v>
      </c>
      <c r="M560" t="s">
        <v>78</v>
      </c>
      <c r="N560" t="s">
        <v>79</v>
      </c>
      <c r="O560" t="s">
        <v>74</v>
      </c>
      <c r="P560" t="s">
        <v>74</v>
      </c>
      <c r="Q560" t="s">
        <v>74</v>
      </c>
      <c r="R560" t="s">
        <v>74</v>
      </c>
      <c r="S560" t="s">
        <v>74</v>
      </c>
      <c r="T560" t="s">
        <v>10888</v>
      </c>
      <c r="U560" t="s">
        <v>10889</v>
      </c>
      <c r="V560" t="s">
        <v>10890</v>
      </c>
      <c r="W560" t="s">
        <v>10891</v>
      </c>
      <c r="X560" t="s">
        <v>10892</v>
      </c>
      <c r="Y560" t="s">
        <v>10893</v>
      </c>
      <c r="Z560" t="s">
        <v>10894</v>
      </c>
      <c r="AA560" t="s">
        <v>10895</v>
      </c>
      <c r="AB560" t="s">
        <v>10896</v>
      </c>
      <c r="AC560" t="s">
        <v>10897</v>
      </c>
      <c r="AD560" t="s">
        <v>10898</v>
      </c>
      <c r="AE560" t="s">
        <v>10899</v>
      </c>
      <c r="AF560" t="s">
        <v>74</v>
      </c>
      <c r="AG560">
        <v>54</v>
      </c>
      <c r="AH560">
        <v>69</v>
      </c>
      <c r="AI560">
        <v>80</v>
      </c>
      <c r="AJ560">
        <v>2</v>
      </c>
      <c r="AK560">
        <v>166</v>
      </c>
      <c r="AL560" t="s">
        <v>123</v>
      </c>
      <c r="AM560" t="s">
        <v>124</v>
      </c>
      <c r="AN560" t="s">
        <v>125</v>
      </c>
      <c r="AO560" t="s">
        <v>1008</v>
      </c>
      <c r="AP560" t="s">
        <v>1009</v>
      </c>
      <c r="AQ560" t="s">
        <v>74</v>
      </c>
      <c r="AR560" t="s">
        <v>1010</v>
      </c>
      <c r="AS560" t="s">
        <v>1011</v>
      </c>
      <c r="AT560" t="s">
        <v>4582</v>
      </c>
      <c r="AU560">
        <v>2017</v>
      </c>
      <c r="AV560">
        <v>576</v>
      </c>
      <c r="AW560" t="s">
        <v>74</v>
      </c>
      <c r="AX560" t="s">
        <v>74</v>
      </c>
      <c r="AY560" t="s">
        <v>74</v>
      </c>
      <c r="AZ560" t="s">
        <v>74</v>
      </c>
      <c r="BA560" t="s">
        <v>74</v>
      </c>
      <c r="BB560">
        <v>129</v>
      </c>
      <c r="BC560">
        <v>137</v>
      </c>
      <c r="BD560" t="s">
        <v>74</v>
      </c>
      <c r="BE560" t="s">
        <v>10900</v>
      </c>
      <c r="BF560" t="str">
        <f>HYPERLINK("http://dx.doi.org/10.1016/j.scitotenv.2016.10.075","http://dx.doi.org/10.1016/j.scitotenv.2016.10.075")</f>
        <v>http://dx.doi.org/10.1016/j.scitotenv.2016.10.075</v>
      </c>
      <c r="BG560" t="s">
        <v>74</v>
      </c>
      <c r="BH560" t="s">
        <v>74</v>
      </c>
      <c r="BI560">
        <v>9</v>
      </c>
      <c r="BJ560" t="s">
        <v>567</v>
      </c>
      <c r="BK560" t="s">
        <v>102</v>
      </c>
      <c r="BL560" t="s">
        <v>568</v>
      </c>
      <c r="BM560" t="s">
        <v>10901</v>
      </c>
      <c r="BN560">
        <v>27783931</v>
      </c>
      <c r="BO560" t="s">
        <v>74</v>
      </c>
      <c r="BP560" t="s">
        <v>74</v>
      </c>
      <c r="BQ560" t="s">
        <v>74</v>
      </c>
      <c r="BR560" t="s">
        <v>106</v>
      </c>
      <c r="BS560" t="s">
        <v>10902</v>
      </c>
      <c r="BT560" t="str">
        <f>HYPERLINK("https%3A%2F%2Fwww.webofscience.com%2Fwos%2Fwoscc%2Ffull-record%2FWOS:000390964700012","View Full Record in Web of Science")</f>
        <v>View Full Record in Web of Science</v>
      </c>
    </row>
    <row r="561" spans="1:72" x14ac:dyDescent="0.2">
      <c r="A561" t="s">
        <v>72</v>
      </c>
      <c r="B561" t="s">
        <v>10903</v>
      </c>
      <c r="C561" t="s">
        <v>74</v>
      </c>
      <c r="D561" t="s">
        <v>74</v>
      </c>
      <c r="E561" t="s">
        <v>74</v>
      </c>
      <c r="F561" t="s">
        <v>10904</v>
      </c>
      <c r="G561" t="s">
        <v>74</v>
      </c>
      <c r="H561" t="s">
        <v>74</v>
      </c>
      <c r="I561" t="s">
        <v>10905</v>
      </c>
      <c r="J561" t="s">
        <v>10906</v>
      </c>
      <c r="K561" t="s">
        <v>74</v>
      </c>
      <c r="L561" t="s">
        <v>74</v>
      </c>
      <c r="M561" t="s">
        <v>78</v>
      </c>
      <c r="N561" t="s">
        <v>79</v>
      </c>
      <c r="O561" t="s">
        <v>74</v>
      </c>
      <c r="P561" t="s">
        <v>74</v>
      </c>
      <c r="Q561" t="s">
        <v>74</v>
      </c>
      <c r="R561" t="s">
        <v>74</v>
      </c>
      <c r="S561" t="s">
        <v>74</v>
      </c>
      <c r="T561" t="s">
        <v>10907</v>
      </c>
      <c r="U561" t="s">
        <v>10908</v>
      </c>
      <c r="V561" t="s">
        <v>10909</v>
      </c>
      <c r="W561" t="s">
        <v>10910</v>
      </c>
      <c r="X561" t="s">
        <v>10911</v>
      </c>
      <c r="Y561" t="s">
        <v>10912</v>
      </c>
      <c r="Z561" t="s">
        <v>10913</v>
      </c>
      <c r="AA561" t="s">
        <v>10914</v>
      </c>
      <c r="AB561" t="s">
        <v>10915</v>
      </c>
      <c r="AC561" t="s">
        <v>10916</v>
      </c>
      <c r="AD561" t="s">
        <v>10917</v>
      </c>
      <c r="AE561" t="s">
        <v>10918</v>
      </c>
      <c r="AF561" t="s">
        <v>74</v>
      </c>
      <c r="AG561">
        <v>46</v>
      </c>
      <c r="AH561">
        <v>50</v>
      </c>
      <c r="AI561">
        <v>55</v>
      </c>
      <c r="AJ561">
        <v>2</v>
      </c>
      <c r="AK561">
        <v>91</v>
      </c>
      <c r="AL561" t="s">
        <v>934</v>
      </c>
      <c r="AM561" t="s">
        <v>177</v>
      </c>
      <c r="AN561" t="s">
        <v>935</v>
      </c>
      <c r="AO561" t="s">
        <v>10919</v>
      </c>
      <c r="AP561" t="s">
        <v>74</v>
      </c>
      <c r="AQ561" t="s">
        <v>74</v>
      </c>
      <c r="AR561" t="s">
        <v>10920</v>
      </c>
      <c r="AS561" t="s">
        <v>10921</v>
      </c>
      <c r="AT561" t="s">
        <v>281</v>
      </c>
      <c r="AU561">
        <v>2014</v>
      </c>
      <c r="AV561">
        <v>66</v>
      </c>
      <c r="AW561" t="s">
        <v>74</v>
      </c>
      <c r="AX561" t="s">
        <v>74</v>
      </c>
      <c r="AY561" t="s">
        <v>74</v>
      </c>
      <c r="AZ561" t="s">
        <v>74</v>
      </c>
      <c r="BA561" t="s">
        <v>74</v>
      </c>
      <c r="BB561">
        <v>90</v>
      </c>
      <c r="BC561">
        <v>98</v>
      </c>
      <c r="BD561" t="s">
        <v>74</v>
      </c>
      <c r="BE561" t="s">
        <v>10922</v>
      </c>
      <c r="BF561" t="str">
        <f>HYPERLINK("http://dx.doi.org/10.1016/j.renene.2013.12.004","http://dx.doi.org/10.1016/j.renene.2013.12.004")</f>
        <v>http://dx.doi.org/10.1016/j.renene.2013.12.004</v>
      </c>
      <c r="BG561" t="s">
        <v>74</v>
      </c>
      <c r="BH561" t="s">
        <v>74</v>
      </c>
      <c r="BI561">
        <v>9</v>
      </c>
      <c r="BJ561" t="s">
        <v>1496</v>
      </c>
      <c r="BK561" t="s">
        <v>102</v>
      </c>
      <c r="BL561" t="s">
        <v>1497</v>
      </c>
      <c r="BM561" t="s">
        <v>10923</v>
      </c>
      <c r="BN561" t="s">
        <v>74</v>
      </c>
      <c r="BO561" t="s">
        <v>74</v>
      </c>
      <c r="BP561" t="s">
        <v>74</v>
      </c>
      <c r="BQ561" t="s">
        <v>74</v>
      </c>
      <c r="BR561" t="s">
        <v>106</v>
      </c>
      <c r="BS561" t="s">
        <v>10924</v>
      </c>
      <c r="BT561" t="str">
        <f>HYPERLINK("https%3A%2F%2Fwww.webofscience.com%2Fwos%2Fwoscc%2Ffull-record%2FWOS:000333073700011","View Full Record in Web of Science")</f>
        <v>View Full Record in Web of Science</v>
      </c>
    </row>
    <row r="562" spans="1:72" x14ac:dyDescent="0.2">
      <c r="A562" t="s">
        <v>72</v>
      </c>
      <c r="B562" t="s">
        <v>10925</v>
      </c>
      <c r="C562" t="s">
        <v>74</v>
      </c>
      <c r="D562" t="s">
        <v>74</v>
      </c>
      <c r="E562" t="s">
        <v>74</v>
      </c>
      <c r="F562" t="s">
        <v>10926</v>
      </c>
      <c r="G562" t="s">
        <v>74</v>
      </c>
      <c r="H562" t="s">
        <v>74</v>
      </c>
      <c r="I562" t="s">
        <v>10927</v>
      </c>
      <c r="J562" t="s">
        <v>4281</v>
      </c>
      <c r="K562" t="s">
        <v>74</v>
      </c>
      <c r="L562" t="s">
        <v>74</v>
      </c>
      <c r="M562" t="s">
        <v>78</v>
      </c>
      <c r="N562" t="s">
        <v>79</v>
      </c>
      <c r="O562" t="s">
        <v>74</v>
      </c>
      <c r="P562" t="s">
        <v>74</v>
      </c>
      <c r="Q562" t="s">
        <v>74</v>
      </c>
      <c r="R562" t="s">
        <v>74</v>
      </c>
      <c r="S562" t="s">
        <v>74</v>
      </c>
      <c r="T562" t="s">
        <v>74</v>
      </c>
      <c r="U562" t="s">
        <v>10928</v>
      </c>
      <c r="V562" t="s">
        <v>10929</v>
      </c>
      <c r="W562" t="s">
        <v>10930</v>
      </c>
      <c r="X562" t="s">
        <v>10931</v>
      </c>
      <c r="Y562" t="s">
        <v>10932</v>
      </c>
      <c r="Z562" t="s">
        <v>10933</v>
      </c>
      <c r="AA562" t="s">
        <v>10934</v>
      </c>
      <c r="AB562" t="s">
        <v>10935</v>
      </c>
      <c r="AC562" t="s">
        <v>10936</v>
      </c>
      <c r="AD562" t="s">
        <v>10937</v>
      </c>
      <c r="AE562" t="s">
        <v>10938</v>
      </c>
      <c r="AF562" t="s">
        <v>74</v>
      </c>
      <c r="AG562">
        <v>92</v>
      </c>
      <c r="AH562">
        <v>84</v>
      </c>
      <c r="AI562">
        <v>95</v>
      </c>
      <c r="AJ562">
        <v>19</v>
      </c>
      <c r="AK562">
        <v>332</v>
      </c>
      <c r="AL562" t="s">
        <v>274</v>
      </c>
      <c r="AM562" t="s">
        <v>275</v>
      </c>
      <c r="AN562" t="s">
        <v>276</v>
      </c>
      <c r="AO562" t="s">
        <v>74</v>
      </c>
      <c r="AP562" t="s">
        <v>4293</v>
      </c>
      <c r="AQ562" t="s">
        <v>74</v>
      </c>
      <c r="AR562" t="s">
        <v>4294</v>
      </c>
      <c r="AS562" t="s">
        <v>4295</v>
      </c>
      <c r="AT562" t="s">
        <v>10939</v>
      </c>
      <c r="AU562">
        <v>2021</v>
      </c>
      <c r="AV562">
        <v>12</v>
      </c>
      <c r="AW562">
        <v>1</v>
      </c>
      <c r="AX562" t="s">
        <v>74</v>
      </c>
      <c r="AY562" t="s">
        <v>74</v>
      </c>
      <c r="AZ562" t="s">
        <v>74</v>
      </c>
      <c r="BA562" t="s">
        <v>74</v>
      </c>
      <c r="BB562" t="s">
        <v>74</v>
      </c>
      <c r="BC562" t="s">
        <v>74</v>
      </c>
      <c r="BD562">
        <v>3159</v>
      </c>
      <c r="BE562" t="s">
        <v>10940</v>
      </c>
      <c r="BF562" t="str">
        <f>HYPERLINK("http://dx.doi.org/10.1038/s41467-021-23282-x","http://dx.doi.org/10.1038/s41467-021-23282-x")</f>
        <v>http://dx.doi.org/10.1038/s41467-021-23282-x</v>
      </c>
      <c r="BG562" t="s">
        <v>74</v>
      </c>
      <c r="BH562" t="s">
        <v>74</v>
      </c>
      <c r="BI562">
        <v>12</v>
      </c>
      <c r="BJ562" t="s">
        <v>158</v>
      </c>
      <c r="BK562" t="s">
        <v>102</v>
      </c>
      <c r="BL562" t="s">
        <v>159</v>
      </c>
      <c r="BM562" t="s">
        <v>10941</v>
      </c>
      <c r="BN562">
        <v>34039971</v>
      </c>
      <c r="BO562" t="s">
        <v>161</v>
      </c>
      <c r="BP562" t="s">
        <v>74</v>
      </c>
      <c r="BQ562" t="s">
        <v>74</v>
      </c>
      <c r="BR562" t="s">
        <v>106</v>
      </c>
      <c r="BS562" t="s">
        <v>10942</v>
      </c>
      <c r="BT562" t="str">
        <f>HYPERLINK("https%3A%2F%2Fwww.webofscience.com%2Fwos%2Fwoscc%2Ffull-record%2FWOS:000658296400007","View Full Record in Web of Science")</f>
        <v>View Full Record in Web of Science</v>
      </c>
    </row>
    <row r="563" spans="1:72" x14ac:dyDescent="0.2">
      <c r="A563" t="s">
        <v>72</v>
      </c>
      <c r="B563" t="s">
        <v>10943</v>
      </c>
      <c r="C563" t="s">
        <v>74</v>
      </c>
      <c r="D563" t="s">
        <v>74</v>
      </c>
      <c r="E563" t="s">
        <v>74</v>
      </c>
      <c r="F563" t="s">
        <v>10944</v>
      </c>
      <c r="G563" t="s">
        <v>74</v>
      </c>
      <c r="H563" t="s">
        <v>74</v>
      </c>
      <c r="I563" t="s">
        <v>10945</v>
      </c>
      <c r="J563" t="s">
        <v>1231</v>
      </c>
      <c r="K563" t="s">
        <v>74</v>
      </c>
      <c r="L563" t="s">
        <v>74</v>
      </c>
      <c r="M563" t="s">
        <v>78</v>
      </c>
      <c r="N563" t="s">
        <v>79</v>
      </c>
      <c r="O563" t="s">
        <v>74</v>
      </c>
      <c r="P563" t="s">
        <v>74</v>
      </c>
      <c r="Q563" t="s">
        <v>74</v>
      </c>
      <c r="R563" t="s">
        <v>74</v>
      </c>
      <c r="S563" t="s">
        <v>74</v>
      </c>
      <c r="T563" t="s">
        <v>10946</v>
      </c>
      <c r="U563" t="s">
        <v>10947</v>
      </c>
      <c r="V563" t="s">
        <v>10948</v>
      </c>
      <c r="W563" t="s">
        <v>10949</v>
      </c>
      <c r="X563" t="s">
        <v>10950</v>
      </c>
      <c r="Y563" t="s">
        <v>10951</v>
      </c>
      <c r="Z563" t="s">
        <v>10952</v>
      </c>
      <c r="AA563" t="s">
        <v>10953</v>
      </c>
      <c r="AB563" t="s">
        <v>10954</v>
      </c>
      <c r="AC563" t="s">
        <v>10955</v>
      </c>
      <c r="AD563" t="s">
        <v>10956</v>
      </c>
      <c r="AE563" t="s">
        <v>10957</v>
      </c>
      <c r="AF563" t="s">
        <v>74</v>
      </c>
      <c r="AG563">
        <v>64</v>
      </c>
      <c r="AH563">
        <v>14</v>
      </c>
      <c r="AI563">
        <v>14</v>
      </c>
      <c r="AJ563">
        <v>17</v>
      </c>
      <c r="AK563">
        <v>143</v>
      </c>
      <c r="AL563" t="s">
        <v>1242</v>
      </c>
      <c r="AM563" t="s">
        <v>1243</v>
      </c>
      <c r="AN563" t="s">
        <v>1244</v>
      </c>
      <c r="AO563" t="s">
        <v>1245</v>
      </c>
      <c r="AP563" t="s">
        <v>1246</v>
      </c>
      <c r="AQ563" t="s">
        <v>74</v>
      </c>
      <c r="AR563" t="s">
        <v>1247</v>
      </c>
      <c r="AS563" t="s">
        <v>1248</v>
      </c>
      <c r="AT563" t="s">
        <v>805</v>
      </c>
      <c r="AU563">
        <v>2023</v>
      </c>
      <c r="AV563">
        <v>30</v>
      </c>
      <c r="AW563">
        <v>51</v>
      </c>
      <c r="AX563" t="s">
        <v>74</v>
      </c>
      <c r="AY563" t="s">
        <v>74</v>
      </c>
      <c r="AZ563" t="s">
        <v>74</v>
      </c>
      <c r="BA563" t="s">
        <v>74</v>
      </c>
      <c r="BB563">
        <v>110913</v>
      </c>
      <c r="BC563">
        <v>110930</v>
      </c>
      <c r="BD563" t="s">
        <v>74</v>
      </c>
      <c r="BE563" t="s">
        <v>10958</v>
      </c>
      <c r="BF563" t="str">
        <f>HYPERLINK("http://dx.doi.org/10.1007/s11356-023-29969-6","http://dx.doi.org/10.1007/s11356-023-29969-6")</f>
        <v>http://dx.doi.org/10.1007/s11356-023-29969-6</v>
      </c>
      <c r="BG563" t="s">
        <v>74</v>
      </c>
      <c r="BH563" t="s">
        <v>1688</v>
      </c>
      <c r="BI563">
        <v>18</v>
      </c>
      <c r="BJ563" t="s">
        <v>567</v>
      </c>
      <c r="BK563" t="s">
        <v>102</v>
      </c>
      <c r="BL563" t="s">
        <v>568</v>
      </c>
      <c r="BM563" t="s">
        <v>10959</v>
      </c>
      <c r="BN563">
        <v>37798524</v>
      </c>
      <c r="BO563" t="s">
        <v>74</v>
      </c>
      <c r="BP563" t="s">
        <v>74</v>
      </c>
      <c r="BQ563" t="s">
        <v>74</v>
      </c>
      <c r="BR563" t="s">
        <v>106</v>
      </c>
      <c r="BS563" t="s">
        <v>10960</v>
      </c>
      <c r="BT563" t="str">
        <f>HYPERLINK("https%3A%2F%2Fwww.webofscience.com%2Fwos%2Fwoscc%2Ffull-record%2FWOS:001096330300005","View Full Record in Web of Science")</f>
        <v>View Full Record in Web of Science</v>
      </c>
    </row>
    <row r="564" spans="1:72" x14ac:dyDescent="0.2">
      <c r="A564" t="s">
        <v>72</v>
      </c>
      <c r="B564" t="s">
        <v>10961</v>
      </c>
      <c r="C564" t="s">
        <v>74</v>
      </c>
      <c r="D564" t="s">
        <v>74</v>
      </c>
      <c r="E564" t="s">
        <v>74</v>
      </c>
      <c r="F564" t="s">
        <v>10962</v>
      </c>
      <c r="G564" t="s">
        <v>74</v>
      </c>
      <c r="H564" t="s">
        <v>74</v>
      </c>
      <c r="I564" t="s">
        <v>10963</v>
      </c>
      <c r="J564" t="s">
        <v>762</v>
      </c>
      <c r="K564" t="s">
        <v>74</v>
      </c>
      <c r="L564" t="s">
        <v>74</v>
      </c>
      <c r="M564" t="s">
        <v>78</v>
      </c>
      <c r="N564" t="s">
        <v>79</v>
      </c>
      <c r="O564" t="s">
        <v>74</v>
      </c>
      <c r="P564" t="s">
        <v>74</v>
      </c>
      <c r="Q564" t="s">
        <v>74</v>
      </c>
      <c r="R564" t="s">
        <v>74</v>
      </c>
      <c r="S564" t="s">
        <v>74</v>
      </c>
      <c r="T564" t="s">
        <v>10964</v>
      </c>
      <c r="U564" t="s">
        <v>10965</v>
      </c>
      <c r="V564" t="s">
        <v>10966</v>
      </c>
      <c r="W564" t="s">
        <v>10967</v>
      </c>
      <c r="X564" t="s">
        <v>10968</v>
      </c>
      <c r="Y564" t="s">
        <v>10969</v>
      </c>
      <c r="Z564" t="s">
        <v>10970</v>
      </c>
      <c r="AA564" t="s">
        <v>10971</v>
      </c>
      <c r="AB564" t="s">
        <v>10972</v>
      </c>
      <c r="AC564" t="s">
        <v>10973</v>
      </c>
      <c r="AD564" t="s">
        <v>10974</v>
      </c>
      <c r="AE564" t="s">
        <v>10975</v>
      </c>
      <c r="AF564" t="s">
        <v>74</v>
      </c>
      <c r="AG564">
        <v>70</v>
      </c>
      <c r="AH564">
        <v>84</v>
      </c>
      <c r="AI564">
        <v>93</v>
      </c>
      <c r="AJ564">
        <v>2</v>
      </c>
      <c r="AK564">
        <v>82</v>
      </c>
      <c r="AL564" t="s">
        <v>1631</v>
      </c>
      <c r="AM564" t="s">
        <v>776</v>
      </c>
      <c r="AN564" t="s">
        <v>777</v>
      </c>
      <c r="AO564" t="s">
        <v>778</v>
      </c>
      <c r="AP564" t="s">
        <v>74</v>
      </c>
      <c r="AQ564" t="s">
        <v>74</v>
      </c>
      <c r="AR564" t="s">
        <v>779</v>
      </c>
      <c r="AS564" t="s">
        <v>780</v>
      </c>
      <c r="AT564" t="s">
        <v>636</v>
      </c>
      <c r="AU564">
        <v>2018</v>
      </c>
      <c r="AV564">
        <v>13</v>
      </c>
      <c r="AW564">
        <v>4</v>
      </c>
      <c r="AX564" t="s">
        <v>74</v>
      </c>
      <c r="AY564" t="s">
        <v>74</v>
      </c>
      <c r="AZ564" t="s">
        <v>74</v>
      </c>
      <c r="BA564" t="s">
        <v>74</v>
      </c>
      <c r="BB564" t="s">
        <v>74</v>
      </c>
      <c r="BC564" t="s">
        <v>74</v>
      </c>
      <c r="BD564">
        <v>44014</v>
      </c>
      <c r="BE564" t="s">
        <v>10976</v>
      </c>
      <c r="BF564" t="str">
        <f>HYPERLINK("http://dx.doi.org/10.1088/1748-9326/aaaa02","http://dx.doi.org/10.1088/1748-9326/aaaa02")</f>
        <v>http://dx.doi.org/10.1088/1748-9326/aaaa02</v>
      </c>
      <c r="BG564" t="s">
        <v>74</v>
      </c>
      <c r="BH564" t="s">
        <v>74</v>
      </c>
      <c r="BI564">
        <v>11</v>
      </c>
      <c r="BJ564" t="s">
        <v>782</v>
      </c>
      <c r="BK564" t="s">
        <v>186</v>
      </c>
      <c r="BL564" t="s">
        <v>783</v>
      </c>
      <c r="BM564" t="s">
        <v>10977</v>
      </c>
      <c r="BN564" t="s">
        <v>74</v>
      </c>
      <c r="BO564" t="s">
        <v>161</v>
      </c>
      <c r="BP564" t="s">
        <v>74</v>
      </c>
      <c r="BQ564" t="s">
        <v>74</v>
      </c>
      <c r="BR564" t="s">
        <v>106</v>
      </c>
      <c r="BS564" t="s">
        <v>10978</v>
      </c>
      <c r="BT564" t="str">
        <f>HYPERLINK("https%3A%2F%2Fwww.webofscience.com%2Fwos%2Fwoscc%2Ffull-record%2FWOS:000428767000001","View Full Record in Web of Science")</f>
        <v>View Full Record in Web of Science</v>
      </c>
    </row>
    <row r="565" spans="1:72" x14ac:dyDescent="0.2">
      <c r="A565" t="s">
        <v>72</v>
      </c>
      <c r="B565" t="s">
        <v>10979</v>
      </c>
      <c r="C565" t="s">
        <v>74</v>
      </c>
      <c r="D565" t="s">
        <v>74</v>
      </c>
      <c r="E565" t="s">
        <v>74</v>
      </c>
      <c r="F565" t="s">
        <v>10980</v>
      </c>
      <c r="G565" t="s">
        <v>74</v>
      </c>
      <c r="H565" t="s">
        <v>74</v>
      </c>
      <c r="I565" t="s">
        <v>10981</v>
      </c>
      <c r="J565" t="s">
        <v>347</v>
      </c>
      <c r="K565" t="s">
        <v>74</v>
      </c>
      <c r="L565" t="s">
        <v>74</v>
      </c>
      <c r="M565" t="s">
        <v>78</v>
      </c>
      <c r="N565" t="s">
        <v>79</v>
      </c>
      <c r="O565" t="s">
        <v>74</v>
      </c>
      <c r="P565" t="s">
        <v>74</v>
      </c>
      <c r="Q565" t="s">
        <v>74</v>
      </c>
      <c r="R565" t="s">
        <v>74</v>
      </c>
      <c r="S565" t="s">
        <v>74</v>
      </c>
      <c r="T565" t="s">
        <v>10982</v>
      </c>
      <c r="U565" t="s">
        <v>10983</v>
      </c>
      <c r="V565" t="s">
        <v>10984</v>
      </c>
      <c r="W565" t="s">
        <v>10985</v>
      </c>
      <c r="X565" t="s">
        <v>10986</v>
      </c>
      <c r="Y565" t="s">
        <v>10987</v>
      </c>
      <c r="Z565" t="s">
        <v>10988</v>
      </c>
      <c r="AA565" t="s">
        <v>10989</v>
      </c>
      <c r="AB565" t="s">
        <v>74</v>
      </c>
      <c r="AC565" t="s">
        <v>10990</v>
      </c>
      <c r="AD565" t="s">
        <v>10990</v>
      </c>
      <c r="AE565" t="s">
        <v>10991</v>
      </c>
      <c r="AF565" t="s">
        <v>74</v>
      </c>
      <c r="AG565">
        <v>63</v>
      </c>
      <c r="AH565">
        <v>0</v>
      </c>
      <c r="AI565">
        <v>0</v>
      </c>
      <c r="AJ565">
        <v>8</v>
      </c>
      <c r="AK565">
        <v>8</v>
      </c>
      <c r="AL565" t="s">
        <v>274</v>
      </c>
      <c r="AM565" t="s">
        <v>275</v>
      </c>
      <c r="AN565" t="s">
        <v>276</v>
      </c>
      <c r="AO565" t="s">
        <v>357</v>
      </c>
      <c r="AP565" t="s">
        <v>74</v>
      </c>
      <c r="AQ565" t="s">
        <v>74</v>
      </c>
      <c r="AR565" t="s">
        <v>358</v>
      </c>
      <c r="AS565" t="s">
        <v>359</v>
      </c>
      <c r="AT565" t="s">
        <v>1012</v>
      </c>
      <c r="AU565">
        <v>2025</v>
      </c>
      <c r="AV565">
        <v>15</v>
      </c>
      <c r="AW565">
        <v>1</v>
      </c>
      <c r="AX565" t="s">
        <v>74</v>
      </c>
      <c r="AY565" t="s">
        <v>74</v>
      </c>
      <c r="AZ565" t="s">
        <v>74</v>
      </c>
      <c r="BA565" t="s">
        <v>74</v>
      </c>
      <c r="BB565" t="s">
        <v>74</v>
      </c>
      <c r="BC565" t="s">
        <v>74</v>
      </c>
      <c r="BD565">
        <v>39195</v>
      </c>
      <c r="BE565" t="s">
        <v>10992</v>
      </c>
      <c r="BF565" t="str">
        <f>HYPERLINK("http://dx.doi.org/10.1038/s41598-025-96054-y","http://dx.doi.org/10.1038/s41598-025-96054-y")</f>
        <v>http://dx.doi.org/10.1038/s41598-025-96054-y</v>
      </c>
      <c r="BG565" t="s">
        <v>74</v>
      </c>
      <c r="BH565" t="s">
        <v>74</v>
      </c>
      <c r="BI565">
        <v>11</v>
      </c>
      <c r="BJ565" t="s">
        <v>158</v>
      </c>
      <c r="BK565" t="s">
        <v>102</v>
      </c>
      <c r="BL565" t="s">
        <v>159</v>
      </c>
      <c r="BM565" t="s">
        <v>10993</v>
      </c>
      <c r="BN565">
        <v>41214146</v>
      </c>
      <c r="BO565" t="s">
        <v>161</v>
      </c>
      <c r="BP565" t="s">
        <v>74</v>
      </c>
      <c r="BQ565" t="s">
        <v>74</v>
      </c>
      <c r="BR565" t="s">
        <v>106</v>
      </c>
      <c r="BS565" t="s">
        <v>10994</v>
      </c>
      <c r="BT565" t="str">
        <f>HYPERLINK("https%3A%2F%2Fwww.webofscience.com%2Fwos%2Fwoscc%2Ffull-record%2FWOS:001611467400004","View Full Record in Web of Science")</f>
        <v>View Full Record in Web of Science</v>
      </c>
    </row>
    <row r="566" spans="1:72" x14ac:dyDescent="0.2">
      <c r="A566" t="s">
        <v>72</v>
      </c>
      <c r="B566" t="s">
        <v>10995</v>
      </c>
      <c r="C566" t="s">
        <v>74</v>
      </c>
      <c r="D566" t="s">
        <v>74</v>
      </c>
      <c r="E566" t="s">
        <v>74</v>
      </c>
      <c r="F566" t="s">
        <v>10996</v>
      </c>
      <c r="G566" t="s">
        <v>74</v>
      </c>
      <c r="H566" t="s">
        <v>74</v>
      </c>
      <c r="I566" t="s">
        <v>10997</v>
      </c>
      <c r="J566" t="s">
        <v>546</v>
      </c>
      <c r="K566" t="s">
        <v>74</v>
      </c>
      <c r="L566" t="s">
        <v>74</v>
      </c>
      <c r="M566" t="s">
        <v>78</v>
      </c>
      <c r="N566" t="s">
        <v>79</v>
      </c>
      <c r="O566" t="s">
        <v>74</v>
      </c>
      <c r="P566" t="s">
        <v>74</v>
      </c>
      <c r="Q566" t="s">
        <v>74</v>
      </c>
      <c r="R566" t="s">
        <v>74</v>
      </c>
      <c r="S566" t="s">
        <v>74</v>
      </c>
      <c r="T566" t="s">
        <v>10998</v>
      </c>
      <c r="U566" t="s">
        <v>10999</v>
      </c>
      <c r="V566" t="s">
        <v>11000</v>
      </c>
      <c r="W566" t="s">
        <v>11001</v>
      </c>
      <c r="X566" t="s">
        <v>11002</v>
      </c>
      <c r="Y566" t="s">
        <v>11003</v>
      </c>
      <c r="Z566" t="s">
        <v>11004</v>
      </c>
      <c r="AA566" t="s">
        <v>11005</v>
      </c>
      <c r="AB566" t="s">
        <v>11006</v>
      </c>
      <c r="AC566" t="s">
        <v>11007</v>
      </c>
      <c r="AD566" t="s">
        <v>11008</v>
      </c>
      <c r="AE566" t="s">
        <v>11009</v>
      </c>
      <c r="AF566" t="s">
        <v>74</v>
      </c>
      <c r="AG566">
        <v>60</v>
      </c>
      <c r="AH566">
        <v>7</v>
      </c>
      <c r="AI566">
        <v>7</v>
      </c>
      <c r="AJ566">
        <v>26</v>
      </c>
      <c r="AK566">
        <v>93</v>
      </c>
      <c r="AL566" t="s">
        <v>559</v>
      </c>
      <c r="AM566" t="s">
        <v>93</v>
      </c>
      <c r="AN566" t="s">
        <v>560</v>
      </c>
      <c r="AO566" t="s">
        <v>561</v>
      </c>
      <c r="AP566" t="s">
        <v>562</v>
      </c>
      <c r="AQ566" t="s">
        <v>74</v>
      </c>
      <c r="AR566" t="s">
        <v>563</v>
      </c>
      <c r="AS566" t="s">
        <v>564</v>
      </c>
      <c r="AT566" t="s">
        <v>1752</v>
      </c>
      <c r="AU566">
        <v>2024</v>
      </c>
      <c r="AV566">
        <v>365</v>
      </c>
      <c r="AW566" t="s">
        <v>74</v>
      </c>
      <c r="AX566" t="s">
        <v>74</v>
      </c>
      <c r="AY566" t="s">
        <v>74</v>
      </c>
      <c r="AZ566" t="s">
        <v>74</v>
      </c>
      <c r="BA566" t="s">
        <v>74</v>
      </c>
      <c r="BB566" t="s">
        <v>74</v>
      </c>
      <c r="BC566" t="s">
        <v>74</v>
      </c>
      <c r="BD566">
        <v>121506</v>
      </c>
      <c r="BE566" t="s">
        <v>11010</v>
      </c>
      <c r="BF566" t="str">
        <f>HYPERLINK("http://dx.doi.org/10.1016/j.jenvman.2024.121506","http://dx.doi.org/10.1016/j.jenvman.2024.121506")</f>
        <v>http://dx.doi.org/10.1016/j.jenvman.2024.121506</v>
      </c>
      <c r="BG566" t="s">
        <v>74</v>
      </c>
      <c r="BH566" t="s">
        <v>4236</v>
      </c>
      <c r="BI566">
        <v>12</v>
      </c>
      <c r="BJ566" t="s">
        <v>567</v>
      </c>
      <c r="BK566" t="s">
        <v>102</v>
      </c>
      <c r="BL566" t="s">
        <v>568</v>
      </c>
      <c r="BM566" t="s">
        <v>11011</v>
      </c>
      <c r="BN566">
        <v>38901319</v>
      </c>
      <c r="BO566" t="s">
        <v>74</v>
      </c>
      <c r="BP566" t="s">
        <v>74</v>
      </c>
      <c r="BQ566" t="s">
        <v>74</v>
      </c>
      <c r="BR566" t="s">
        <v>106</v>
      </c>
      <c r="BS566" t="s">
        <v>11012</v>
      </c>
      <c r="BT566" t="str">
        <f>HYPERLINK("https%3A%2F%2Fwww.webofscience.com%2Fwos%2Fwoscc%2Ffull-record%2FWOS:001325433500001","View Full Record in Web of Science")</f>
        <v>View Full Record in Web of Science</v>
      </c>
    </row>
    <row r="567" spans="1:72" x14ac:dyDescent="0.2">
      <c r="A567" t="s">
        <v>72</v>
      </c>
      <c r="B567" t="s">
        <v>11013</v>
      </c>
      <c r="C567" t="s">
        <v>74</v>
      </c>
      <c r="D567" t="s">
        <v>74</v>
      </c>
      <c r="E567" t="s">
        <v>74</v>
      </c>
      <c r="F567" t="s">
        <v>11014</v>
      </c>
      <c r="G567" t="s">
        <v>74</v>
      </c>
      <c r="H567" t="s">
        <v>74</v>
      </c>
      <c r="I567" t="s">
        <v>11015</v>
      </c>
      <c r="J567" t="s">
        <v>645</v>
      </c>
      <c r="K567" t="s">
        <v>74</v>
      </c>
      <c r="L567" t="s">
        <v>74</v>
      </c>
      <c r="M567" t="s">
        <v>78</v>
      </c>
      <c r="N567" t="s">
        <v>79</v>
      </c>
      <c r="O567" t="s">
        <v>74</v>
      </c>
      <c r="P567" t="s">
        <v>74</v>
      </c>
      <c r="Q567" t="s">
        <v>74</v>
      </c>
      <c r="R567" t="s">
        <v>74</v>
      </c>
      <c r="S567" t="s">
        <v>74</v>
      </c>
      <c r="T567" t="s">
        <v>11016</v>
      </c>
      <c r="U567" t="s">
        <v>11017</v>
      </c>
      <c r="V567" t="s">
        <v>11018</v>
      </c>
      <c r="W567" t="s">
        <v>11019</v>
      </c>
      <c r="X567" t="s">
        <v>11020</v>
      </c>
      <c r="Y567" t="s">
        <v>11021</v>
      </c>
      <c r="Z567" t="s">
        <v>11022</v>
      </c>
      <c r="AA567" t="s">
        <v>11023</v>
      </c>
      <c r="AB567" t="s">
        <v>11024</v>
      </c>
      <c r="AC567" t="s">
        <v>11025</v>
      </c>
      <c r="AD567" t="s">
        <v>11026</v>
      </c>
      <c r="AE567" t="s">
        <v>11027</v>
      </c>
      <c r="AF567" t="s">
        <v>74</v>
      </c>
      <c r="AG567">
        <v>94</v>
      </c>
      <c r="AH567">
        <v>10</v>
      </c>
      <c r="AI567">
        <v>12</v>
      </c>
      <c r="AJ567">
        <v>5</v>
      </c>
      <c r="AK567">
        <v>67</v>
      </c>
      <c r="AL567" t="s">
        <v>655</v>
      </c>
      <c r="AM567" t="s">
        <v>405</v>
      </c>
      <c r="AN567" t="s">
        <v>656</v>
      </c>
      <c r="AO567" t="s">
        <v>74</v>
      </c>
      <c r="AP567" t="s">
        <v>657</v>
      </c>
      <c r="AQ567" t="s">
        <v>74</v>
      </c>
      <c r="AR567" t="s">
        <v>658</v>
      </c>
      <c r="AS567" t="s">
        <v>659</v>
      </c>
      <c r="AT567" t="s">
        <v>3677</v>
      </c>
      <c r="AU567">
        <v>2022</v>
      </c>
      <c r="AV567">
        <v>10</v>
      </c>
      <c r="AW567" t="s">
        <v>74</v>
      </c>
      <c r="AX567" t="s">
        <v>74</v>
      </c>
      <c r="AY567" t="s">
        <v>74</v>
      </c>
      <c r="AZ567" t="s">
        <v>74</v>
      </c>
      <c r="BA567" t="s">
        <v>74</v>
      </c>
      <c r="BB567" t="s">
        <v>74</v>
      </c>
      <c r="BC567" t="s">
        <v>74</v>
      </c>
      <c r="BD567">
        <v>1044928</v>
      </c>
      <c r="BE567" t="s">
        <v>11028</v>
      </c>
      <c r="BF567" t="str">
        <f>HYPERLINK("http://dx.doi.org/10.3389/fenvs.2022.1044928","http://dx.doi.org/10.3389/fenvs.2022.1044928")</f>
        <v>http://dx.doi.org/10.3389/fenvs.2022.1044928</v>
      </c>
      <c r="BG567" t="s">
        <v>74</v>
      </c>
      <c r="BH567" t="s">
        <v>74</v>
      </c>
      <c r="BI567">
        <v>15</v>
      </c>
      <c r="BJ567" t="s">
        <v>567</v>
      </c>
      <c r="BK567" t="s">
        <v>102</v>
      </c>
      <c r="BL567" t="s">
        <v>568</v>
      </c>
      <c r="BM567" t="s">
        <v>11029</v>
      </c>
      <c r="BN567" t="s">
        <v>74</v>
      </c>
      <c r="BO567" t="s">
        <v>161</v>
      </c>
      <c r="BP567" t="s">
        <v>74</v>
      </c>
      <c r="BQ567" t="s">
        <v>74</v>
      </c>
      <c r="BR567" t="s">
        <v>106</v>
      </c>
      <c r="BS567" t="s">
        <v>11030</v>
      </c>
      <c r="BT567" t="str">
        <f>HYPERLINK("https%3A%2F%2Fwww.webofscience.com%2Fwos%2Fwoscc%2Ffull-record%2FWOS:000886917000001","View Full Record in Web of Science")</f>
        <v>View Full Record in Web of Science</v>
      </c>
    </row>
    <row r="568" spans="1:72" x14ac:dyDescent="0.2">
      <c r="A568" t="s">
        <v>72</v>
      </c>
      <c r="B568" t="s">
        <v>11031</v>
      </c>
      <c r="C568" t="s">
        <v>74</v>
      </c>
      <c r="D568" t="s">
        <v>74</v>
      </c>
      <c r="E568" t="s">
        <v>74</v>
      </c>
      <c r="F568" t="s">
        <v>11032</v>
      </c>
      <c r="G568" t="s">
        <v>74</v>
      </c>
      <c r="H568" t="s">
        <v>74</v>
      </c>
      <c r="I568" t="s">
        <v>11033</v>
      </c>
      <c r="J568" t="s">
        <v>1526</v>
      </c>
      <c r="K568" t="s">
        <v>74</v>
      </c>
      <c r="L568" t="s">
        <v>74</v>
      </c>
      <c r="M568" t="s">
        <v>78</v>
      </c>
      <c r="N568" t="s">
        <v>79</v>
      </c>
      <c r="O568" t="s">
        <v>74</v>
      </c>
      <c r="P568" t="s">
        <v>74</v>
      </c>
      <c r="Q568" t="s">
        <v>74</v>
      </c>
      <c r="R568" t="s">
        <v>74</v>
      </c>
      <c r="S568" t="s">
        <v>74</v>
      </c>
      <c r="T568" t="s">
        <v>11034</v>
      </c>
      <c r="U568" t="s">
        <v>11035</v>
      </c>
      <c r="V568" t="s">
        <v>11036</v>
      </c>
      <c r="W568" t="s">
        <v>11037</v>
      </c>
      <c r="X568" t="s">
        <v>10950</v>
      </c>
      <c r="Y568" t="s">
        <v>11038</v>
      </c>
      <c r="Z568" t="s">
        <v>11039</v>
      </c>
      <c r="AA568" t="s">
        <v>11040</v>
      </c>
      <c r="AB568" t="s">
        <v>74</v>
      </c>
      <c r="AC568" t="s">
        <v>11041</v>
      </c>
      <c r="AD568" t="s">
        <v>11042</v>
      </c>
      <c r="AE568" t="s">
        <v>11043</v>
      </c>
      <c r="AF568" t="s">
        <v>74</v>
      </c>
      <c r="AG568">
        <v>59</v>
      </c>
      <c r="AH568">
        <v>64</v>
      </c>
      <c r="AI568">
        <v>67</v>
      </c>
      <c r="AJ568">
        <v>31</v>
      </c>
      <c r="AK568">
        <v>298</v>
      </c>
      <c r="AL568" t="s">
        <v>176</v>
      </c>
      <c r="AM568" t="s">
        <v>1610</v>
      </c>
      <c r="AN568" t="s">
        <v>1611</v>
      </c>
      <c r="AO568" t="s">
        <v>1538</v>
      </c>
      <c r="AP568" t="s">
        <v>1539</v>
      </c>
      <c r="AQ568" t="s">
        <v>74</v>
      </c>
      <c r="AR568" t="s">
        <v>1540</v>
      </c>
      <c r="AS568" t="s">
        <v>1541</v>
      </c>
      <c r="AT568" t="s">
        <v>10317</v>
      </c>
      <c r="AU568">
        <v>2021</v>
      </c>
      <c r="AV568">
        <v>280</v>
      </c>
      <c r="AW568" t="s">
        <v>74</v>
      </c>
      <c r="AX568">
        <v>2</v>
      </c>
      <c r="AY568" t="s">
        <v>74</v>
      </c>
      <c r="AZ568" t="s">
        <v>74</v>
      </c>
      <c r="BA568" t="s">
        <v>74</v>
      </c>
      <c r="BB568" t="s">
        <v>74</v>
      </c>
      <c r="BC568" t="s">
        <v>74</v>
      </c>
      <c r="BD568">
        <v>124478</v>
      </c>
      <c r="BE568" t="s">
        <v>11044</v>
      </c>
      <c r="BF568" t="str">
        <f>HYPERLINK("http://dx.doi.org/10.1016/j.jclepro.2020.124478","http://dx.doi.org/10.1016/j.jclepro.2020.124478")</f>
        <v>http://dx.doi.org/10.1016/j.jclepro.2020.124478</v>
      </c>
      <c r="BG568" t="s">
        <v>74</v>
      </c>
      <c r="BH568" t="s">
        <v>74</v>
      </c>
      <c r="BI568">
        <v>10</v>
      </c>
      <c r="BJ568" t="s">
        <v>1543</v>
      </c>
      <c r="BK568" t="s">
        <v>102</v>
      </c>
      <c r="BL568" t="s">
        <v>1544</v>
      </c>
      <c r="BM568" t="s">
        <v>11045</v>
      </c>
      <c r="BN568" t="s">
        <v>74</v>
      </c>
      <c r="BO568" t="s">
        <v>74</v>
      </c>
      <c r="BP568" t="s">
        <v>74</v>
      </c>
      <c r="BQ568" t="s">
        <v>74</v>
      </c>
      <c r="BR568" t="s">
        <v>106</v>
      </c>
      <c r="BS568" t="s">
        <v>11046</v>
      </c>
      <c r="BT568" t="str">
        <f>HYPERLINK("https%3A%2F%2Fwww.webofscience.com%2Fwos%2Fwoscc%2Ffull-record%2FWOS:000608741500020","View Full Record in Web of Science")</f>
        <v>View Full Record in Web of Science</v>
      </c>
    </row>
    <row r="569" spans="1:72" x14ac:dyDescent="0.2">
      <c r="A569" t="s">
        <v>72</v>
      </c>
      <c r="B569" t="s">
        <v>11047</v>
      </c>
      <c r="C569" t="s">
        <v>74</v>
      </c>
      <c r="D569" t="s">
        <v>74</v>
      </c>
      <c r="E569" t="s">
        <v>74</v>
      </c>
      <c r="F569" t="s">
        <v>11048</v>
      </c>
      <c r="G569" t="s">
        <v>74</v>
      </c>
      <c r="H569" t="s">
        <v>74</v>
      </c>
      <c r="I569" t="s">
        <v>11049</v>
      </c>
      <c r="J569" t="s">
        <v>11050</v>
      </c>
      <c r="K569" t="s">
        <v>74</v>
      </c>
      <c r="L569" t="s">
        <v>74</v>
      </c>
      <c r="M569" t="s">
        <v>78</v>
      </c>
      <c r="N569" t="s">
        <v>79</v>
      </c>
      <c r="O569" t="s">
        <v>74</v>
      </c>
      <c r="P569" t="s">
        <v>74</v>
      </c>
      <c r="Q569" t="s">
        <v>74</v>
      </c>
      <c r="R569" t="s">
        <v>74</v>
      </c>
      <c r="S569" t="s">
        <v>74</v>
      </c>
      <c r="T569" t="s">
        <v>11051</v>
      </c>
      <c r="U569" t="s">
        <v>74</v>
      </c>
      <c r="V569" t="s">
        <v>11052</v>
      </c>
      <c r="W569" t="s">
        <v>11053</v>
      </c>
      <c r="X569" t="s">
        <v>11054</v>
      </c>
      <c r="Y569" t="s">
        <v>11055</v>
      </c>
      <c r="Z569" t="s">
        <v>11056</v>
      </c>
      <c r="AA569" t="s">
        <v>11057</v>
      </c>
      <c r="AB569" t="s">
        <v>74</v>
      </c>
      <c r="AC569" t="s">
        <v>74</v>
      </c>
      <c r="AD569" t="s">
        <v>74</v>
      </c>
      <c r="AE569" t="s">
        <v>74</v>
      </c>
      <c r="AF569" t="s">
        <v>74</v>
      </c>
      <c r="AG569">
        <v>13</v>
      </c>
      <c r="AH569">
        <v>5</v>
      </c>
      <c r="AI569">
        <v>6</v>
      </c>
      <c r="AJ569">
        <v>0</v>
      </c>
      <c r="AK569">
        <v>58</v>
      </c>
      <c r="AL569" t="s">
        <v>11058</v>
      </c>
      <c r="AM569" t="s">
        <v>11059</v>
      </c>
      <c r="AN569" t="s">
        <v>11060</v>
      </c>
      <c r="AO569" t="s">
        <v>11061</v>
      </c>
      <c r="AP569" t="s">
        <v>11062</v>
      </c>
      <c r="AQ569" t="s">
        <v>74</v>
      </c>
      <c r="AR569" t="s">
        <v>11063</v>
      </c>
      <c r="AS569" t="s">
        <v>11064</v>
      </c>
      <c r="AT569" t="s">
        <v>99</v>
      </c>
      <c r="AU569">
        <v>2021</v>
      </c>
      <c r="AV569">
        <v>497</v>
      </c>
      <c r="AW569">
        <v>1</v>
      </c>
      <c r="AX569" t="s">
        <v>74</v>
      </c>
      <c r="AY569" t="s">
        <v>74</v>
      </c>
      <c r="AZ569" t="s">
        <v>74</v>
      </c>
      <c r="BA569" t="s">
        <v>74</v>
      </c>
      <c r="BB569">
        <v>266</v>
      </c>
      <c r="BC569">
        <v>271</v>
      </c>
      <c r="BD569" t="s">
        <v>74</v>
      </c>
      <c r="BE569" t="s">
        <v>11065</v>
      </c>
      <c r="BF569" t="str">
        <f>HYPERLINK("http://dx.doi.org/10.1134/S1028334X21030119","http://dx.doi.org/10.1134/S1028334X21030119")</f>
        <v>http://dx.doi.org/10.1134/S1028334X21030119</v>
      </c>
      <c r="BG569" t="s">
        <v>74</v>
      </c>
      <c r="BH569" t="s">
        <v>74</v>
      </c>
      <c r="BI569">
        <v>6</v>
      </c>
      <c r="BJ569" t="s">
        <v>285</v>
      </c>
      <c r="BK569" t="s">
        <v>102</v>
      </c>
      <c r="BL569" t="s">
        <v>286</v>
      </c>
      <c r="BM569" t="s">
        <v>11066</v>
      </c>
      <c r="BN569" t="s">
        <v>74</v>
      </c>
      <c r="BO569" t="s">
        <v>74</v>
      </c>
      <c r="BP569" t="s">
        <v>74</v>
      </c>
      <c r="BQ569" t="s">
        <v>74</v>
      </c>
      <c r="BR569" t="s">
        <v>106</v>
      </c>
      <c r="BS569" t="s">
        <v>11067</v>
      </c>
      <c r="BT569" t="str">
        <f>HYPERLINK("https%3A%2F%2Fwww.webofscience.com%2Fwos%2Fwoscc%2Ffull-record%2FWOS:000639844000016","View Full Record in Web of Science")</f>
        <v>View Full Record in Web of Science</v>
      </c>
    </row>
    <row r="570" spans="1:72" x14ac:dyDescent="0.2">
      <c r="A570" t="s">
        <v>72</v>
      </c>
      <c r="B570" t="s">
        <v>11068</v>
      </c>
      <c r="C570" t="s">
        <v>74</v>
      </c>
      <c r="D570" t="s">
        <v>74</v>
      </c>
      <c r="E570" t="s">
        <v>74</v>
      </c>
      <c r="F570" t="s">
        <v>11069</v>
      </c>
      <c r="G570" t="s">
        <v>74</v>
      </c>
      <c r="H570" t="s">
        <v>74</v>
      </c>
      <c r="I570" t="s">
        <v>11070</v>
      </c>
      <c r="J570" t="s">
        <v>11071</v>
      </c>
      <c r="K570" t="s">
        <v>74</v>
      </c>
      <c r="L570" t="s">
        <v>74</v>
      </c>
      <c r="M570" t="s">
        <v>78</v>
      </c>
      <c r="N570" t="s">
        <v>4673</v>
      </c>
      <c r="O570" t="s">
        <v>11072</v>
      </c>
      <c r="P570" t="s">
        <v>11073</v>
      </c>
      <c r="Q570" t="s">
        <v>11074</v>
      </c>
      <c r="R570" t="s">
        <v>74</v>
      </c>
      <c r="S570" t="s">
        <v>74</v>
      </c>
      <c r="T570" t="s">
        <v>11075</v>
      </c>
      <c r="U570" t="s">
        <v>74</v>
      </c>
      <c r="V570" t="s">
        <v>11076</v>
      </c>
      <c r="W570" t="s">
        <v>11077</v>
      </c>
      <c r="X570" t="s">
        <v>11078</v>
      </c>
      <c r="Y570" t="s">
        <v>11079</v>
      </c>
      <c r="Z570" t="s">
        <v>11080</v>
      </c>
      <c r="AA570" t="s">
        <v>11081</v>
      </c>
      <c r="AB570" t="s">
        <v>74</v>
      </c>
      <c r="AC570" t="s">
        <v>11082</v>
      </c>
      <c r="AD570" t="s">
        <v>11083</v>
      </c>
      <c r="AE570" t="s">
        <v>11084</v>
      </c>
      <c r="AF570" t="s">
        <v>74</v>
      </c>
      <c r="AG570">
        <v>12</v>
      </c>
      <c r="AH570">
        <v>16</v>
      </c>
      <c r="AI570">
        <v>19</v>
      </c>
      <c r="AJ570">
        <v>1</v>
      </c>
      <c r="AK570">
        <v>42</v>
      </c>
      <c r="AL570" t="s">
        <v>176</v>
      </c>
      <c r="AM570" t="s">
        <v>177</v>
      </c>
      <c r="AN570" t="s">
        <v>178</v>
      </c>
      <c r="AO570" t="s">
        <v>11085</v>
      </c>
      <c r="AP570" t="s">
        <v>11086</v>
      </c>
      <c r="AQ570" t="s">
        <v>74</v>
      </c>
      <c r="AR570" t="s">
        <v>11087</v>
      </c>
      <c r="AS570" t="s">
        <v>11088</v>
      </c>
      <c r="AT570" t="s">
        <v>1752</v>
      </c>
      <c r="AU570">
        <v>2019</v>
      </c>
      <c r="AV570">
        <v>87</v>
      </c>
      <c r="AW570" t="s">
        <v>74</v>
      </c>
      <c r="AX570" t="s">
        <v>74</v>
      </c>
      <c r="AY570" t="s">
        <v>74</v>
      </c>
      <c r="AZ570" t="s">
        <v>74</v>
      </c>
      <c r="BA570" t="s">
        <v>74</v>
      </c>
      <c r="BB570">
        <v>27</v>
      </c>
      <c r="BC570">
        <v>33</v>
      </c>
      <c r="BD570" t="s">
        <v>74</v>
      </c>
      <c r="BE570" t="s">
        <v>11089</v>
      </c>
      <c r="BF570" t="str">
        <f>HYPERLINK("http://dx.doi.org/10.1016/j.ijggc.2019.04.022","http://dx.doi.org/10.1016/j.ijggc.2019.04.022")</f>
        <v>http://dx.doi.org/10.1016/j.ijggc.2019.04.022</v>
      </c>
      <c r="BG570" t="s">
        <v>74</v>
      </c>
      <c r="BH570" t="s">
        <v>74</v>
      </c>
      <c r="BI570">
        <v>7</v>
      </c>
      <c r="BJ570" t="s">
        <v>11090</v>
      </c>
      <c r="BK570" t="s">
        <v>4693</v>
      </c>
      <c r="BL570" t="s">
        <v>11091</v>
      </c>
      <c r="BM570" t="s">
        <v>11092</v>
      </c>
      <c r="BN570" t="s">
        <v>74</v>
      </c>
      <c r="BO570" t="s">
        <v>541</v>
      </c>
      <c r="BP570" t="s">
        <v>74</v>
      </c>
      <c r="BQ570" t="s">
        <v>74</v>
      </c>
      <c r="BR570" t="s">
        <v>106</v>
      </c>
      <c r="BS570" t="s">
        <v>11093</v>
      </c>
      <c r="BT570" t="str">
        <f>HYPERLINK("https%3A%2F%2Fwww.webofscience.com%2Fwos%2Fwoscc%2Ffull-record%2FWOS:000474239200003","View Full Record in Web of Science")</f>
        <v>View Full Record in Web of Science</v>
      </c>
    </row>
    <row r="571" spans="1:72" x14ac:dyDescent="0.2">
      <c r="A571" t="s">
        <v>72</v>
      </c>
      <c r="B571" t="s">
        <v>11094</v>
      </c>
      <c r="C571" t="s">
        <v>74</v>
      </c>
      <c r="D571" t="s">
        <v>74</v>
      </c>
      <c r="E571" t="s">
        <v>74</v>
      </c>
      <c r="F571" t="s">
        <v>11095</v>
      </c>
      <c r="G571" t="s">
        <v>74</v>
      </c>
      <c r="H571" t="s">
        <v>74</v>
      </c>
      <c r="I571" t="s">
        <v>11096</v>
      </c>
      <c r="J571" t="s">
        <v>11097</v>
      </c>
      <c r="K571" t="s">
        <v>74</v>
      </c>
      <c r="L571" t="s">
        <v>74</v>
      </c>
      <c r="M571" t="s">
        <v>78</v>
      </c>
      <c r="N571" t="s">
        <v>79</v>
      </c>
      <c r="O571" t="s">
        <v>74</v>
      </c>
      <c r="P571" t="s">
        <v>74</v>
      </c>
      <c r="Q571" t="s">
        <v>74</v>
      </c>
      <c r="R571" t="s">
        <v>74</v>
      </c>
      <c r="S571" t="s">
        <v>74</v>
      </c>
      <c r="T571" t="s">
        <v>11098</v>
      </c>
      <c r="U571" t="s">
        <v>11099</v>
      </c>
      <c r="V571" t="s">
        <v>11100</v>
      </c>
      <c r="W571" t="s">
        <v>11101</v>
      </c>
      <c r="X571" t="s">
        <v>11102</v>
      </c>
      <c r="Y571" t="s">
        <v>11103</v>
      </c>
      <c r="Z571" t="s">
        <v>11104</v>
      </c>
      <c r="AA571" t="s">
        <v>11105</v>
      </c>
      <c r="AB571" t="s">
        <v>11106</v>
      </c>
      <c r="AC571" t="s">
        <v>11107</v>
      </c>
      <c r="AD571" t="s">
        <v>11108</v>
      </c>
      <c r="AE571" t="s">
        <v>11109</v>
      </c>
      <c r="AF571" t="s">
        <v>74</v>
      </c>
      <c r="AG571">
        <v>78</v>
      </c>
      <c r="AH571">
        <v>4</v>
      </c>
      <c r="AI571">
        <v>4</v>
      </c>
      <c r="AJ571">
        <v>7</v>
      </c>
      <c r="AK571">
        <v>74</v>
      </c>
      <c r="AL571" t="s">
        <v>585</v>
      </c>
      <c r="AM571" t="s">
        <v>306</v>
      </c>
      <c r="AN571" t="s">
        <v>586</v>
      </c>
      <c r="AO571" t="s">
        <v>11110</v>
      </c>
      <c r="AP571" t="s">
        <v>11111</v>
      </c>
      <c r="AQ571" t="s">
        <v>74</v>
      </c>
      <c r="AR571" t="s">
        <v>11112</v>
      </c>
      <c r="AS571" t="s">
        <v>11113</v>
      </c>
      <c r="AT571" t="s">
        <v>9369</v>
      </c>
      <c r="AU571">
        <v>2022</v>
      </c>
      <c r="AV571">
        <v>68</v>
      </c>
      <c r="AW571">
        <v>4</v>
      </c>
      <c r="AX571" t="s">
        <v>74</v>
      </c>
      <c r="AY571" t="s">
        <v>74</v>
      </c>
      <c r="AZ571" t="s">
        <v>74</v>
      </c>
      <c r="BA571" t="s">
        <v>74</v>
      </c>
      <c r="BB571">
        <v>491</v>
      </c>
      <c r="BC571">
        <v>504</v>
      </c>
      <c r="BD571" t="s">
        <v>74</v>
      </c>
      <c r="BE571" t="s">
        <v>11114</v>
      </c>
      <c r="BF571" t="str">
        <f>HYPERLINK("http://dx.doi.org/10.1080/00380768.2022.2095669","http://dx.doi.org/10.1080/00380768.2022.2095669")</f>
        <v>http://dx.doi.org/10.1080/00380768.2022.2095669</v>
      </c>
      <c r="BG571" t="s">
        <v>74</v>
      </c>
      <c r="BH571" t="s">
        <v>1014</v>
      </c>
      <c r="BI571">
        <v>14</v>
      </c>
      <c r="BJ571" t="s">
        <v>11115</v>
      </c>
      <c r="BK571" t="s">
        <v>102</v>
      </c>
      <c r="BL571" t="s">
        <v>11116</v>
      </c>
      <c r="BM571" t="s">
        <v>11117</v>
      </c>
      <c r="BN571" t="s">
        <v>74</v>
      </c>
      <c r="BO571" t="s">
        <v>74</v>
      </c>
      <c r="BP571" t="s">
        <v>74</v>
      </c>
      <c r="BQ571" t="s">
        <v>74</v>
      </c>
      <c r="BR571" t="s">
        <v>106</v>
      </c>
      <c r="BS571" t="s">
        <v>11118</v>
      </c>
      <c r="BT571" t="str">
        <f>HYPERLINK("https%3A%2F%2Fwww.webofscience.com%2Fwos%2Fwoscc%2Ffull-record%2FWOS:000825514700001","View Full Record in Web of Science")</f>
        <v>View Full Record in Web of Science</v>
      </c>
    </row>
    <row r="572" spans="1:72" x14ac:dyDescent="0.2">
      <c r="A572" t="s">
        <v>72</v>
      </c>
      <c r="B572" t="s">
        <v>11119</v>
      </c>
      <c r="C572" t="s">
        <v>74</v>
      </c>
      <c r="D572" t="s">
        <v>74</v>
      </c>
      <c r="E572" t="s">
        <v>74</v>
      </c>
      <c r="F572" t="s">
        <v>11120</v>
      </c>
      <c r="G572" t="s">
        <v>74</v>
      </c>
      <c r="H572" t="s">
        <v>74</v>
      </c>
      <c r="I572" t="s">
        <v>11121</v>
      </c>
      <c r="J572" t="s">
        <v>828</v>
      </c>
      <c r="K572" t="s">
        <v>74</v>
      </c>
      <c r="L572" t="s">
        <v>74</v>
      </c>
      <c r="M572" t="s">
        <v>78</v>
      </c>
      <c r="N572" t="s">
        <v>79</v>
      </c>
      <c r="O572" t="s">
        <v>74</v>
      </c>
      <c r="P572" t="s">
        <v>74</v>
      </c>
      <c r="Q572" t="s">
        <v>74</v>
      </c>
      <c r="R572" t="s">
        <v>74</v>
      </c>
      <c r="S572" t="s">
        <v>74</v>
      </c>
      <c r="T572" t="s">
        <v>11122</v>
      </c>
      <c r="U572" t="s">
        <v>11123</v>
      </c>
      <c r="V572" t="s">
        <v>11124</v>
      </c>
      <c r="W572" t="s">
        <v>11125</v>
      </c>
      <c r="X572" t="s">
        <v>11126</v>
      </c>
      <c r="Y572" t="s">
        <v>11127</v>
      </c>
      <c r="Z572" t="s">
        <v>11128</v>
      </c>
      <c r="AA572" t="s">
        <v>11129</v>
      </c>
      <c r="AB572" t="s">
        <v>74</v>
      </c>
      <c r="AC572" t="s">
        <v>74</v>
      </c>
      <c r="AD572" t="s">
        <v>74</v>
      </c>
      <c r="AE572" t="s">
        <v>74</v>
      </c>
      <c r="AF572" t="s">
        <v>74</v>
      </c>
      <c r="AG572">
        <v>28</v>
      </c>
      <c r="AH572">
        <v>0</v>
      </c>
      <c r="AI572">
        <v>0</v>
      </c>
      <c r="AJ572">
        <v>0</v>
      </c>
      <c r="AK572">
        <v>0</v>
      </c>
      <c r="AL572" t="s">
        <v>835</v>
      </c>
      <c r="AM572" t="s">
        <v>836</v>
      </c>
      <c r="AN572" t="s">
        <v>837</v>
      </c>
      <c r="AO572" t="s">
        <v>838</v>
      </c>
      <c r="AP572" t="s">
        <v>74</v>
      </c>
      <c r="AQ572" t="s">
        <v>74</v>
      </c>
      <c r="AR572" t="s">
        <v>839</v>
      </c>
      <c r="AS572" t="s">
        <v>840</v>
      </c>
      <c r="AT572" t="s">
        <v>5300</v>
      </c>
      <c r="AU572">
        <v>2023</v>
      </c>
      <c r="AV572">
        <v>53</v>
      </c>
      <c r="AW572">
        <v>4</v>
      </c>
      <c r="AX572" t="s">
        <v>74</v>
      </c>
      <c r="AY572" t="s">
        <v>74</v>
      </c>
      <c r="AZ572" t="s">
        <v>74</v>
      </c>
      <c r="BA572" t="s">
        <v>74</v>
      </c>
      <c r="BB572">
        <v>25</v>
      </c>
      <c r="BC572">
        <v>32</v>
      </c>
      <c r="BD572" t="s">
        <v>74</v>
      </c>
      <c r="BE572" t="s">
        <v>74</v>
      </c>
      <c r="BF572" t="s">
        <v>74</v>
      </c>
      <c r="BG572" t="s">
        <v>74</v>
      </c>
      <c r="BH572" t="s">
        <v>74</v>
      </c>
      <c r="BI572">
        <v>8</v>
      </c>
      <c r="BJ572" t="s">
        <v>842</v>
      </c>
      <c r="BK572" t="s">
        <v>102</v>
      </c>
      <c r="BL572" t="s">
        <v>103</v>
      </c>
      <c r="BM572" t="s">
        <v>11130</v>
      </c>
      <c r="BN572" t="s">
        <v>74</v>
      </c>
      <c r="BO572" t="s">
        <v>74</v>
      </c>
      <c r="BP572" t="s">
        <v>74</v>
      </c>
      <c r="BQ572" t="s">
        <v>74</v>
      </c>
      <c r="BR572" t="s">
        <v>106</v>
      </c>
      <c r="BS572" t="s">
        <v>11131</v>
      </c>
      <c r="BT572" t="str">
        <f>HYPERLINK("https%3A%2F%2Fwww.webofscience.com%2Fwos%2Fwoscc%2Ffull-record%2FWOS:001060258400005","View Full Record in Web of Science")</f>
        <v>View Full Record in Web of Science</v>
      </c>
    </row>
    <row r="573" spans="1:72" x14ac:dyDescent="0.2">
      <c r="A573" t="s">
        <v>72</v>
      </c>
      <c r="B573" t="s">
        <v>11132</v>
      </c>
      <c r="C573" t="s">
        <v>74</v>
      </c>
      <c r="D573" t="s">
        <v>74</v>
      </c>
      <c r="E573" t="s">
        <v>74</v>
      </c>
      <c r="F573" t="s">
        <v>11133</v>
      </c>
      <c r="G573" t="s">
        <v>74</v>
      </c>
      <c r="H573" t="s">
        <v>74</v>
      </c>
      <c r="I573" t="s">
        <v>11134</v>
      </c>
      <c r="J573" t="s">
        <v>2149</v>
      </c>
      <c r="K573" t="s">
        <v>74</v>
      </c>
      <c r="L573" t="s">
        <v>74</v>
      </c>
      <c r="M573" t="s">
        <v>78</v>
      </c>
      <c r="N573" t="s">
        <v>79</v>
      </c>
      <c r="O573" t="s">
        <v>74</v>
      </c>
      <c r="P573" t="s">
        <v>74</v>
      </c>
      <c r="Q573" t="s">
        <v>74</v>
      </c>
      <c r="R573" t="s">
        <v>74</v>
      </c>
      <c r="S573" t="s">
        <v>74</v>
      </c>
      <c r="T573" t="s">
        <v>11135</v>
      </c>
      <c r="U573" t="s">
        <v>11136</v>
      </c>
      <c r="V573" t="s">
        <v>11137</v>
      </c>
      <c r="W573" t="s">
        <v>11138</v>
      </c>
      <c r="X573" t="s">
        <v>11139</v>
      </c>
      <c r="Y573" t="s">
        <v>11140</v>
      </c>
      <c r="Z573" t="s">
        <v>11141</v>
      </c>
      <c r="AA573" t="s">
        <v>11142</v>
      </c>
      <c r="AB573" t="s">
        <v>11143</v>
      </c>
      <c r="AC573" t="s">
        <v>11144</v>
      </c>
      <c r="AD573" t="s">
        <v>11144</v>
      </c>
      <c r="AE573" t="s">
        <v>11145</v>
      </c>
      <c r="AF573" t="s">
        <v>74</v>
      </c>
      <c r="AG573">
        <v>75</v>
      </c>
      <c r="AH573">
        <v>1</v>
      </c>
      <c r="AI573">
        <v>1</v>
      </c>
      <c r="AJ573">
        <v>20</v>
      </c>
      <c r="AK573">
        <v>35</v>
      </c>
      <c r="AL573" t="s">
        <v>123</v>
      </c>
      <c r="AM573" t="s">
        <v>124</v>
      </c>
      <c r="AN573" t="s">
        <v>125</v>
      </c>
      <c r="AO573" t="s">
        <v>2164</v>
      </c>
      <c r="AP573" t="s">
        <v>2165</v>
      </c>
      <c r="AQ573" t="s">
        <v>74</v>
      </c>
      <c r="AR573" t="s">
        <v>2166</v>
      </c>
      <c r="AS573" t="s">
        <v>2167</v>
      </c>
      <c r="AT573" t="s">
        <v>1963</v>
      </c>
      <c r="AU573">
        <v>2025</v>
      </c>
      <c r="AV573">
        <v>251</v>
      </c>
      <c r="AW573" t="s">
        <v>74</v>
      </c>
      <c r="AX573" t="s">
        <v>74</v>
      </c>
      <c r="AY573" t="s">
        <v>74</v>
      </c>
      <c r="AZ573" t="s">
        <v>74</v>
      </c>
      <c r="BA573" t="s">
        <v>74</v>
      </c>
      <c r="BB573" t="s">
        <v>74</v>
      </c>
      <c r="BC573" t="s">
        <v>74</v>
      </c>
      <c r="BD573">
        <v>106556</v>
      </c>
      <c r="BE573" t="s">
        <v>11146</v>
      </c>
      <c r="BF573" t="str">
        <f>HYPERLINK("http://dx.doi.org/10.1016/j.still.2025.106556","http://dx.doi.org/10.1016/j.still.2025.106556")</f>
        <v>http://dx.doi.org/10.1016/j.still.2025.106556</v>
      </c>
      <c r="BG573" t="s">
        <v>74</v>
      </c>
      <c r="BH573" t="s">
        <v>7812</v>
      </c>
      <c r="BI573">
        <v>12</v>
      </c>
      <c r="BJ573" t="s">
        <v>256</v>
      </c>
      <c r="BK573" t="s">
        <v>102</v>
      </c>
      <c r="BL573" t="s">
        <v>103</v>
      </c>
      <c r="BM573" t="s">
        <v>11147</v>
      </c>
      <c r="BN573" t="s">
        <v>74</v>
      </c>
      <c r="BO573" t="s">
        <v>541</v>
      </c>
      <c r="BP573" t="s">
        <v>74</v>
      </c>
      <c r="BQ573" t="s">
        <v>74</v>
      </c>
      <c r="BR573" t="s">
        <v>106</v>
      </c>
      <c r="BS573" t="s">
        <v>11148</v>
      </c>
      <c r="BT573" t="str">
        <f>HYPERLINK("https%3A%2F%2Fwww.webofscience.com%2Fwos%2Fwoscc%2Ffull-record%2FWOS:001456769400001","View Full Record in Web of Science")</f>
        <v>View Full Record in Web of Science</v>
      </c>
    </row>
    <row r="574" spans="1:72" x14ac:dyDescent="0.2">
      <c r="A574" t="s">
        <v>72</v>
      </c>
      <c r="B574" t="s">
        <v>11149</v>
      </c>
      <c r="C574" t="s">
        <v>74</v>
      </c>
      <c r="D574" t="s">
        <v>74</v>
      </c>
      <c r="E574" t="s">
        <v>74</v>
      </c>
      <c r="F574" t="s">
        <v>11150</v>
      </c>
      <c r="G574" t="s">
        <v>74</v>
      </c>
      <c r="H574" t="s">
        <v>74</v>
      </c>
      <c r="I574" t="s">
        <v>11151</v>
      </c>
      <c r="J574" t="s">
        <v>2412</v>
      </c>
      <c r="K574" t="s">
        <v>74</v>
      </c>
      <c r="L574" t="s">
        <v>74</v>
      </c>
      <c r="M574" t="s">
        <v>78</v>
      </c>
      <c r="N574" t="s">
        <v>79</v>
      </c>
      <c r="O574" t="s">
        <v>74</v>
      </c>
      <c r="P574" t="s">
        <v>74</v>
      </c>
      <c r="Q574" t="s">
        <v>74</v>
      </c>
      <c r="R574" t="s">
        <v>74</v>
      </c>
      <c r="S574" t="s">
        <v>74</v>
      </c>
      <c r="T574" t="s">
        <v>11152</v>
      </c>
      <c r="U574" t="s">
        <v>11153</v>
      </c>
      <c r="V574" t="s">
        <v>11154</v>
      </c>
      <c r="W574" t="s">
        <v>11155</v>
      </c>
      <c r="X574" t="s">
        <v>11156</v>
      </c>
      <c r="Y574" t="s">
        <v>11157</v>
      </c>
      <c r="Z574" t="s">
        <v>11158</v>
      </c>
      <c r="AA574" t="s">
        <v>11159</v>
      </c>
      <c r="AB574" t="s">
        <v>11160</v>
      </c>
      <c r="AC574" t="s">
        <v>11161</v>
      </c>
      <c r="AD574" t="s">
        <v>11162</v>
      </c>
      <c r="AE574" t="s">
        <v>11163</v>
      </c>
      <c r="AF574" t="s">
        <v>74</v>
      </c>
      <c r="AG574">
        <v>52</v>
      </c>
      <c r="AH574">
        <v>32</v>
      </c>
      <c r="AI574">
        <v>34</v>
      </c>
      <c r="AJ574">
        <v>6</v>
      </c>
      <c r="AK574">
        <v>67</v>
      </c>
      <c r="AL574" t="s">
        <v>1033</v>
      </c>
      <c r="AM574" t="s">
        <v>1034</v>
      </c>
      <c r="AN574" t="s">
        <v>1035</v>
      </c>
      <c r="AO574" t="s">
        <v>2425</v>
      </c>
      <c r="AP574" t="s">
        <v>2426</v>
      </c>
      <c r="AQ574" t="s">
        <v>74</v>
      </c>
      <c r="AR574" t="s">
        <v>2427</v>
      </c>
      <c r="AS574" t="s">
        <v>2428</v>
      </c>
      <c r="AT574" t="s">
        <v>1612</v>
      </c>
      <c r="AU574">
        <v>2020</v>
      </c>
      <c r="AV574">
        <v>202</v>
      </c>
      <c r="AW574" t="s">
        <v>74</v>
      </c>
      <c r="AX574" t="s">
        <v>74</v>
      </c>
      <c r="AY574" t="s">
        <v>74</v>
      </c>
      <c r="AZ574" t="s">
        <v>74</v>
      </c>
      <c r="BA574" t="s">
        <v>74</v>
      </c>
      <c r="BB574" t="s">
        <v>74</v>
      </c>
      <c r="BC574" t="s">
        <v>74</v>
      </c>
      <c r="BD574">
        <v>110875</v>
      </c>
      <c r="BE574" t="s">
        <v>11164</v>
      </c>
      <c r="BF574" t="str">
        <f>HYPERLINK("http://dx.doi.org/10.1016/j.ecoenv.2020.110875","http://dx.doi.org/10.1016/j.ecoenv.2020.110875")</f>
        <v>http://dx.doi.org/10.1016/j.ecoenv.2020.110875</v>
      </c>
      <c r="BG574" t="s">
        <v>74</v>
      </c>
      <c r="BH574" t="s">
        <v>74</v>
      </c>
      <c r="BI574">
        <v>9</v>
      </c>
      <c r="BJ574" t="s">
        <v>2431</v>
      </c>
      <c r="BK574" t="s">
        <v>102</v>
      </c>
      <c r="BL574" t="s">
        <v>2432</v>
      </c>
      <c r="BM574" t="s">
        <v>11165</v>
      </c>
      <c r="BN574">
        <v>32580081</v>
      </c>
      <c r="BO574" t="s">
        <v>74</v>
      </c>
      <c r="BP574" t="s">
        <v>74</v>
      </c>
      <c r="BQ574" t="s">
        <v>74</v>
      </c>
      <c r="BR574" t="s">
        <v>106</v>
      </c>
      <c r="BS574" t="s">
        <v>11166</v>
      </c>
      <c r="BT574" t="str">
        <f>HYPERLINK("https%3A%2F%2Fwww.webofscience.com%2Fwos%2Fwoscc%2Ffull-record%2FWOS:000564485300006","View Full Record in Web of Science")</f>
        <v>View Full Record in Web of Science</v>
      </c>
    </row>
    <row r="575" spans="1:72" x14ac:dyDescent="0.2">
      <c r="A575" t="s">
        <v>72</v>
      </c>
      <c r="B575" t="s">
        <v>11167</v>
      </c>
      <c r="C575" t="s">
        <v>74</v>
      </c>
      <c r="D575" t="s">
        <v>74</v>
      </c>
      <c r="E575" t="s">
        <v>74</v>
      </c>
      <c r="F575" t="s">
        <v>11168</v>
      </c>
      <c r="G575" t="s">
        <v>74</v>
      </c>
      <c r="H575" t="s">
        <v>74</v>
      </c>
      <c r="I575" t="s">
        <v>11169</v>
      </c>
      <c r="J575" t="s">
        <v>2236</v>
      </c>
      <c r="K575" t="s">
        <v>74</v>
      </c>
      <c r="L575" t="s">
        <v>74</v>
      </c>
      <c r="M575" t="s">
        <v>78</v>
      </c>
      <c r="N575" t="s">
        <v>79</v>
      </c>
      <c r="O575" t="s">
        <v>74</v>
      </c>
      <c r="P575" t="s">
        <v>74</v>
      </c>
      <c r="Q575" t="s">
        <v>74</v>
      </c>
      <c r="R575" t="s">
        <v>74</v>
      </c>
      <c r="S575" t="s">
        <v>74</v>
      </c>
      <c r="T575" t="s">
        <v>11170</v>
      </c>
      <c r="U575" t="s">
        <v>11171</v>
      </c>
      <c r="V575" t="s">
        <v>11172</v>
      </c>
      <c r="W575" t="s">
        <v>11173</v>
      </c>
      <c r="X575" t="s">
        <v>74</v>
      </c>
      <c r="Y575" t="s">
        <v>11174</v>
      </c>
      <c r="Z575" t="s">
        <v>11175</v>
      </c>
      <c r="AA575" t="s">
        <v>11176</v>
      </c>
      <c r="AB575" t="s">
        <v>11177</v>
      </c>
      <c r="AC575" t="s">
        <v>74</v>
      </c>
      <c r="AD575" t="s">
        <v>74</v>
      </c>
      <c r="AE575" t="s">
        <v>74</v>
      </c>
      <c r="AF575" t="s">
        <v>74</v>
      </c>
      <c r="AG575">
        <v>98</v>
      </c>
      <c r="AH575">
        <v>19</v>
      </c>
      <c r="AI575">
        <v>21</v>
      </c>
      <c r="AJ575">
        <v>0</v>
      </c>
      <c r="AK575">
        <v>37</v>
      </c>
      <c r="AL575" t="s">
        <v>176</v>
      </c>
      <c r="AM575" t="s">
        <v>177</v>
      </c>
      <c r="AN575" t="s">
        <v>178</v>
      </c>
      <c r="AO575" t="s">
        <v>2248</v>
      </c>
      <c r="AP575" t="s">
        <v>2249</v>
      </c>
      <c r="AQ575" t="s">
        <v>74</v>
      </c>
      <c r="AR575" t="s">
        <v>2250</v>
      </c>
      <c r="AS575" t="s">
        <v>2251</v>
      </c>
      <c r="AT575" t="s">
        <v>2017</v>
      </c>
      <c r="AU575">
        <v>2015</v>
      </c>
      <c r="AV575">
        <v>139</v>
      </c>
      <c r="AW575" t="s">
        <v>74</v>
      </c>
      <c r="AX575" t="s">
        <v>74</v>
      </c>
      <c r="AY575" t="s">
        <v>74</v>
      </c>
      <c r="AZ575" t="s">
        <v>74</v>
      </c>
      <c r="BA575" t="s">
        <v>74</v>
      </c>
      <c r="BB575">
        <v>238</v>
      </c>
      <c r="BC575">
        <v>249</v>
      </c>
      <c r="BD575" t="s">
        <v>74</v>
      </c>
      <c r="BE575" t="s">
        <v>11178</v>
      </c>
      <c r="BF575" t="str">
        <f>HYPERLINK("http://dx.doi.org/10.1016/j.agsy.2015.08.001","http://dx.doi.org/10.1016/j.agsy.2015.08.001")</f>
        <v>http://dx.doi.org/10.1016/j.agsy.2015.08.001</v>
      </c>
      <c r="BG575" t="s">
        <v>74</v>
      </c>
      <c r="BH575" t="s">
        <v>74</v>
      </c>
      <c r="BI575">
        <v>12</v>
      </c>
      <c r="BJ575" t="s">
        <v>101</v>
      </c>
      <c r="BK575" t="s">
        <v>102</v>
      </c>
      <c r="BL575" t="s">
        <v>103</v>
      </c>
      <c r="BM575" t="s">
        <v>11179</v>
      </c>
      <c r="BN575" t="s">
        <v>74</v>
      </c>
      <c r="BO575" t="s">
        <v>74</v>
      </c>
      <c r="BP575" t="s">
        <v>74</v>
      </c>
      <c r="BQ575" t="s">
        <v>74</v>
      </c>
      <c r="BR575" t="s">
        <v>106</v>
      </c>
      <c r="BS575" t="s">
        <v>11180</v>
      </c>
      <c r="BT575" t="str">
        <f>HYPERLINK("https%3A%2F%2Fwww.webofscience.com%2Fwos%2Fwoscc%2Ffull-record%2FWOS:000361779500020","View Full Record in Web of Science")</f>
        <v>View Full Record in Web of Science</v>
      </c>
    </row>
    <row r="576" spans="1:72" x14ac:dyDescent="0.2">
      <c r="A576" t="s">
        <v>72</v>
      </c>
      <c r="B576" t="s">
        <v>11181</v>
      </c>
      <c r="C576" t="s">
        <v>74</v>
      </c>
      <c r="D576" t="s">
        <v>74</v>
      </c>
      <c r="E576" t="s">
        <v>74</v>
      </c>
      <c r="F576" t="s">
        <v>11182</v>
      </c>
      <c r="G576" t="s">
        <v>74</v>
      </c>
      <c r="H576" t="s">
        <v>74</v>
      </c>
      <c r="I576" t="s">
        <v>11183</v>
      </c>
      <c r="J576" t="s">
        <v>11184</v>
      </c>
      <c r="K576" t="s">
        <v>74</v>
      </c>
      <c r="L576" t="s">
        <v>74</v>
      </c>
      <c r="M576" t="s">
        <v>78</v>
      </c>
      <c r="N576" t="s">
        <v>79</v>
      </c>
      <c r="O576" t="s">
        <v>74</v>
      </c>
      <c r="P576" t="s">
        <v>74</v>
      </c>
      <c r="Q576" t="s">
        <v>74</v>
      </c>
      <c r="R576" t="s">
        <v>74</v>
      </c>
      <c r="S576" t="s">
        <v>74</v>
      </c>
      <c r="T576" t="s">
        <v>11185</v>
      </c>
      <c r="U576" t="s">
        <v>11186</v>
      </c>
      <c r="V576" t="s">
        <v>11187</v>
      </c>
      <c r="W576" t="s">
        <v>11188</v>
      </c>
      <c r="X576" t="s">
        <v>11189</v>
      </c>
      <c r="Y576" t="s">
        <v>11190</v>
      </c>
      <c r="Z576" t="s">
        <v>11191</v>
      </c>
      <c r="AA576" t="s">
        <v>11192</v>
      </c>
      <c r="AB576" t="s">
        <v>11193</v>
      </c>
      <c r="AC576" t="s">
        <v>11194</v>
      </c>
      <c r="AD576" t="s">
        <v>11195</v>
      </c>
      <c r="AE576" t="s">
        <v>11196</v>
      </c>
      <c r="AF576" t="s">
        <v>74</v>
      </c>
      <c r="AG576">
        <v>170</v>
      </c>
      <c r="AH576">
        <v>5</v>
      </c>
      <c r="AI576">
        <v>6</v>
      </c>
      <c r="AJ576">
        <v>17</v>
      </c>
      <c r="AK576">
        <v>109</v>
      </c>
      <c r="AL576" t="s">
        <v>3169</v>
      </c>
      <c r="AM576" t="s">
        <v>531</v>
      </c>
      <c r="AN576" t="s">
        <v>3170</v>
      </c>
      <c r="AO576" t="s">
        <v>74</v>
      </c>
      <c r="AP576" t="s">
        <v>11197</v>
      </c>
      <c r="AQ576" t="s">
        <v>74</v>
      </c>
      <c r="AR576" t="s">
        <v>11198</v>
      </c>
      <c r="AS576" t="s">
        <v>11199</v>
      </c>
      <c r="AT576" t="s">
        <v>459</v>
      </c>
      <c r="AU576">
        <v>2024</v>
      </c>
      <c r="AV576">
        <v>5</v>
      </c>
      <c r="AW576">
        <v>1</v>
      </c>
      <c r="AX576" t="s">
        <v>74</v>
      </c>
      <c r="AY576" t="s">
        <v>74</v>
      </c>
      <c r="AZ576" t="s">
        <v>74</v>
      </c>
      <c r="BA576" t="s">
        <v>74</v>
      </c>
      <c r="BB576" t="s">
        <v>74</v>
      </c>
      <c r="BC576" t="s">
        <v>74</v>
      </c>
      <c r="BD576" t="s">
        <v>11200</v>
      </c>
      <c r="BE576" t="s">
        <v>11201</v>
      </c>
      <c r="BF576" t="str">
        <f>HYPERLINK("http://dx.doi.org/10.1029/2023AV001052","http://dx.doi.org/10.1029/2023AV001052")</f>
        <v>http://dx.doi.org/10.1029/2023AV001052</v>
      </c>
      <c r="BG576" t="s">
        <v>74</v>
      </c>
      <c r="BH576" t="s">
        <v>74</v>
      </c>
      <c r="BI576">
        <v>28</v>
      </c>
      <c r="BJ576" t="s">
        <v>285</v>
      </c>
      <c r="BK576" t="s">
        <v>102</v>
      </c>
      <c r="BL576" t="s">
        <v>286</v>
      </c>
      <c r="BM576" t="s">
        <v>11202</v>
      </c>
      <c r="BN576" t="s">
        <v>74</v>
      </c>
      <c r="BO576" t="s">
        <v>231</v>
      </c>
      <c r="BP576" t="s">
        <v>74</v>
      </c>
      <c r="BQ576" t="s">
        <v>74</v>
      </c>
      <c r="BR576" t="s">
        <v>106</v>
      </c>
      <c r="BS576" t="s">
        <v>11203</v>
      </c>
      <c r="BT576" t="str">
        <f>HYPERLINK("https%3A%2F%2Fwww.webofscience.com%2Fwos%2Fwoscc%2Ffull-record%2FWOS:001155671000001","View Full Record in Web of Science")</f>
        <v>View Full Record in Web of Science</v>
      </c>
    </row>
    <row r="577" spans="1:72" x14ac:dyDescent="0.2">
      <c r="A577" t="s">
        <v>72</v>
      </c>
      <c r="B577" t="s">
        <v>11204</v>
      </c>
      <c r="C577" t="s">
        <v>74</v>
      </c>
      <c r="D577" t="s">
        <v>74</v>
      </c>
      <c r="E577" t="s">
        <v>74</v>
      </c>
      <c r="F577" t="s">
        <v>11205</v>
      </c>
      <c r="G577" t="s">
        <v>74</v>
      </c>
      <c r="H577" t="s">
        <v>74</v>
      </c>
      <c r="I577" t="s">
        <v>11206</v>
      </c>
      <c r="J577" t="s">
        <v>320</v>
      </c>
      <c r="K577" t="s">
        <v>74</v>
      </c>
      <c r="L577" t="s">
        <v>74</v>
      </c>
      <c r="M577" t="s">
        <v>78</v>
      </c>
      <c r="N577" t="s">
        <v>79</v>
      </c>
      <c r="O577" t="s">
        <v>74</v>
      </c>
      <c r="P577" t="s">
        <v>74</v>
      </c>
      <c r="Q577" t="s">
        <v>74</v>
      </c>
      <c r="R577" t="s">
        <v>74</v>
      </c>
      <c r="S577" t="s">
        <v>74</v>
      </c>
      <c r="T577" t="s">
        <v>11207</v>
      </c>
      <c r="U577" t="s">
        <v>11208</v>
      </c>
      <c r="V577" t="s">
        <v>11209</v>
      </c>
      <c r="W577" t="s">
        <v>11210</v>
      </c>
      <c r="X577" t="s">
        <v>11211</v>
      </c>
      <c r="Y577" t="s">
        <v>11212</v>
      </c>
      <c r="Z577" t="s">
        <v>11213</v>
      </c>
      <c r="AA577" t="s">
        <v>11214</v>
      </c>
      <c r="AB577" t="s">
        <v>11215</v>
      </c>
      <c r="AC577" t="s">
        <v>11216</v>
      </c>
      <c r="AD577" t="s">
        <v>1591</v>
      </c>
      <c r="AE577" t="s">
        <v>11217</v>
      </c>
      <c r="AF577" t="s">
        <v>74</v>
      </c>
      <c r="AG577">
        <v>66</v>
      </c>
      <c r="AH577">
        <v>25</v>
      </c>
      <c r="AI577">
        <v>25</v>
      </c>
      <c r="AJ577">
        <v>2</v>
      </c>
      <c r="AK577">
        <v>72</v>
      </c>
      <c r="AL577" t="s">
        <v>123</v>
      </c>
      <c r="AM577" t="s">
        <v>124</v>
      </c>
      <c r="AN577" t="s">
        <v>125</v>
      </c>
      <c r="AO577" t="s">
        <v>333</v>
      </c>
      <c r="AP577" t="s">
        <v>334</v>
      </c>
      <c r="AQ577" t="s">
        <v>74</v>
      </c>
      <c r="AR577" t="s">
        <v>335</v>
      </c>
      <c r="AS577" t="s">
        <v>336</v>
      </c>
      <c r="AT577" t="s">
        <v>227</v>
      </c>
      <c r="AU577">
        <v>2022</v>
      </c>
      <c r="AV577">
        <v>176</v>
      </c>
      <c r="AW577" t="s">
        <v>74</v>
      </c>
      <c r="AX577" t="s">
        <v>74</v>
      </c>
      <c r="AY577" t="s">
        <v>74</v>
      </c>
      <c r="AZ577" t="s">
        <v>74</v>
      </c>
      <c r="BA577" t="s">
        <v>74</v>
      </c>
      <c r="BB577" t="s">
        <v>74</v>
      </c>
      <c r="BC577" t="s">
        <v>74</v>
      </c>
      <c r="BD577">
        <v>105910</v>
      </c>
      <c r="BE577" t="s">
        <v>11218</v>
      </c>
      <c r="BF577" t="str">
        <f>HYPERLINK("http://dx.doi.org/10.1016/j.resconrec.2021.105910","http://dx.doi.org/10.1016/j.resconrec.2021.105910")</f>
        <v>http://dx.doi.org/10.1016/j.resconrec.2021.105910</v>
      </c>
      <c r="BG577" t="s">
        <v>74</v>
      </c>
      <c r="BH577" t="s">
        <v>10157</v>
      </c>
      <c r="BI577">
        <v>11</v>
      </c>
      <c r="BJ577" t="s">
        <v>340</v>
      </c>
      <c r="BK577" t="s">
        <v>102</v>
      </c>
      <c r="BL577" t="s">
        <v>341</v>
      </c>
      <c r="BM577" t="s">
        <v>11219</v>
      </c>
      <c r="BN577" t="s">
        <v>74</v>
      </c>
      <c r="BO577" t="s">
        <v>74</v>
      </c>
      <c r="BP577" t="s">
        <v>74</v>
      </c>
      <c r="BQ577" t="s">
        <v>74</v>
      </c>
      <c r="BR577" t="s">
        <v>106</v>
      </c>
      <c r="BS577" t="s">
        <v>11220</v>
      </c>
      <c r="BT577" t="str">
        <f>HYPERLINK("https%3A%2F%2Fwww.webofscience.com%2Fwos%2Fwoscc%2Ffull-record%2FWOS:000700397600013","View Full Record in Web of Science")</f>
        <v>View Full Record in Web of Science</v>
      </c>
    </row>
    <row r="578" spans="1:72" x14ac:dyDescent="0.2">
      <c r="A578" t="s">
        <v>72</v>
      </c>
      <c r="B578" t="s">
        <v>11221</v>
      </c>
      <c r="C578" t="s">
        <v>74</v>
      </c>
      <c r="D578" t="s">
        <v>74</v>
      </c>
      <c r="E578" t="s">
        <v>74</v>
      </c>
      <c r="F578" t="s">
        <v>11222</v>
      </c>
      <c r="G578" t="s">
        <v>74</v>
      </c>
      <c r="H578" t="s">
        <v>74</v>
      </c>
      <c r="I578" t="s">
        <v>11223</v>
      </c>
      <c r="J578" t="s">
        <v>2149</v>
      </c>
      <c r="K578" t="s">
        <v>74</v>
      </c>
      <c r="L578" t="s">
        <v>74</v>
      </c>
      <c r="M578" t="s">
        <v>78</v>
      </c>
      <c r="N578" t="s">
        <v>79</v>
      </c>
      <c r="O578" t="s">
        <v>74</v>
      </c>
      <c r="P578" t="s">
        <v>74</v>
      </c>
      <c r="Q578" t="s">
        <v>74</v>
      </c>
      <c r="R578" t="s">
        <v>74</v>
      </c>
      <c r="S578" t="s">
        <v>74</v>
      </c>
      <c r="T578" t="s">
        <v>11224</v>
      </c>
      <c r="U578" t="s">
        <v>11225</v>
      </c>
      <c r="V578" t="s">
        <v>11226</v>
      </c>
      <c r="W578" t="s">
        <v>11227</v>
      </c>
      <c r="X578" t="s">
        <v>11228</v>
      </c>
      <c r="Y578" t="s">
        <v>11229</v>
      </c>
      <c r="Z578" t="s">
        <v>11230</v>
      </c>
      <c r="AA578" t="s">
        <v>11231</v>
      </c>
      <c r="AB578" t="s">
        <v>11232</v>
      </c>
      <c r="AC578" t="s">
        <v>11233</v>
      </c>
      <c r="AD578" t="s">
        <v>11233</v>
      </c>
      <c r="AE578" t="s">
        <v>11234</v>
      </c>
      <c r="AF578" t="s">
        <v>74</v>
      </c>
      <c r="AG578">
        <v>28</v>
      </c>
      <c r="AH578">
        <v>87</v>
      </c>
      <c r="AI578">
        <v>105</v>
      </c>
      <c r="AJ578">
        <v>1</v>
      </c>
      <c r="AK578">
        <v>173</v>
      </c>
      <c r="AL578" t="s">
        <v>2162</v>
      </c>
      <c r="AM578" t="s">
        <v>124</v>
      </c>
      <c r="AN578" t="s">
        <v>2163</v>
      </c>
      <c r="AO578" t="s">
        <v>2164</v>
      </c>
      <c r="AP578" t="s">
        <v>2165</v>
      </c>
      <c r="AQ578" t="s">
        <v>74</v>
      </c>
      <c r="AR578" t="s">
        <v>2166</v>
      </c>
      <c r="AS578" t="s">
        <v>2167</v>
      </c>
      <c r="AT578" t="s">
        <v>99</v>
      </c>
      <c r="AU578">
        <v>2015</v>
      </c>
      <c r="AV578">
        <v>146</v>
      </c>
      <c r="AW578" t="s">
        <v>74</v>
      </c>
      <c r="AX578" t="s">
        <v>4712</v>
      </c>
      <c r="AY578" t="s">
        <v>74</v>
      </c>
      <c r="AZ578" t="s">
        <v>74</v>
      </c>
      <c r="BA578" t="s">
        <v>74</v>
      </c>
      <c r="BB578">
        <v>296</v>
      </c>
      <c r="BC578">
        <v>302</v>
      </c>
      <c r="BD578" t="s">
        <v>74</v>
      </c>
      <c r="BE578" t="s">
        <v>11235</v>
      </c>
      <c r="BF578" t="str">
        <f>HYPERLINK("http://dx.doi.org/10.1016/j.still.2014.10.003","http://dx.doi.org/10.1016/j.still.2014.10.003")</f>
        <v>http://dx.doi.org/10.1016/j.still.2014.10.003</v>
      </c>
      <c r="BG578" t="s">
        <v>74</v>
      </c>
      <c r="BH578" t="s">
        <v>74</v>
      </c>
      <c r="BI578">
        <v>7</v>
      </c>
      <c r="BJ578" t="s">
        <v>256</v>
      </c>
      <c r="BK578" t="s">
        <v>102</v>
      </c>
      <c r="BL578" t="s">
        <v>103</v>
      </c>
      <c r="BM578" t="s">
        <v>11236</v>
      </c>
      <c r="BN578" t="s">
        <v>74</v>
      </c>
      <c r="BO578" t="s">
        <v>74</v>
      </c>
      <c r="BP578" t="s">
        <v>74</v>
      </c>
      <c r="BQ578" t="s">
        <v>74</v>
      </c>
      <c r="BR578" t="s">
        <v>106</v>
      </c>
      <c r="BS578" t="s">
        <v>11237</v>
      </c>
      <c r="BT578" t="str">
        <f>HYPERLINK("https%3A%2F%2Fwww.webofscience.com%2Fwos%2Fwoscc%2Ffull-record%2FWOS:000347499100019","View Full Record in Web of Science")</f>
        <v>View Full Record in Web of Science</v>
      </c>
    </row>
    <row r="579" spans="1:72" x14ac:dyDescent="0.2">
      <c r="A579" t="s">
        <v>72</v>
      </c>
      <c r="B579" t="s">
        <v>11238</v>
      </c>
      <c r="C579" t="s">
        <v>74</v>
      </c>
      <c r="D579" t="s">
        <v>74</v>
      </c>
      <c r="E579" t="s">
        <v>74</v>
      </c>
      <c r="F579" t="s">
        <v>11239</v>
      </c>
      <c r="G579" t="s">
        <v>74</v>
      </c>
      <c r="H579" t="s">
        <v>74</v>
      </c>
      <c r="I579" t="s">
        <v>11240</v>
      </c>
      <c r="J579" t="s">
        <v>2104</v>
      </c>
      <c r="K579" t="s">
        <v>74</v>
      </c>
      <c r="L579" t="s">
        <v>74</v>
      </c>
      <c r="M579" t="s">
        <v>78</v>
      </c>
      <c r="N579" t="s">
        <v>79</v>
      </c>
      <c r="O579" t="s">
        <v>74</v>
      </c>
      <c r="P579" t="s">
        <v>74</v>
      </c>
      <c r="Q579" t="s">
        <v>74</v>
      </c>
      <c r="R579" t="s">
        <v>74</v>
      </c>
      <c r="S579" t="s">
        <v>74</v>
      </c>
      <c r="T579" t="s">
        <v>11241</v>
      </c>
      <c r="U579" t="s">
        <v>11242</v>
      </c>
      <c r="V579" t="s">
        <v>11243</v>
      </c>
      <c r="W579" t="s">
        <v>11244</v>
      </c>
      <c r="X579" t="s">
        <v>11245</v>
      </c>
      <c r="Y579" t="s">
        <v>11246</v>
      </c>
      <c r="Z579" t="s">
        <v>11247</v>
      </c>
      <c r="AA579" t="s">
        <v>11248</v>
      </c>
      <c r="AB579" t="s">
        <v>11249</v>
      </c>
      <c r="AC579" t="s">
        <v>11250</v>
      </c>
      <c r="AD579" t="s">
        <v>11251</v>
      </c>
      <c r="AE579" t="s">
        <v>11252</v>
      </c>
      <c r="AF579" t="s">
        <v>74</v>
      </c>
      <c r="AG579">
        <v>44</v>
      </c>
      <c r="AH579">
        <v>49</v>
      </c>
      <c r="AI579">
        <v>55</v>
      </c>
      <c r="AJ579">
        <v>2</v>
      </c>
      <c r="AK579">
        <v>92</v>
      </c>
      <c r="AL579" t="s">
        <v>1242</v>
      </c>
      <c r="AM579" t="s">
        <v>1243</v>
      </c>
      <c r="AN579" t="s">
        <v>1244</v>
      </c>
      <c r="AO579" t="s">
        <v>2116</v>
      </c>
      <c r="AP579" t="s">
        <v>2117</v>
      </c>
      <c r="AQ579" t="s">
        <v>74</v>
      </c>
      <c r="AR579" t="s">
        <v>2118</v>
      </c>
      <c r="AS579" t="s">
        <v>2119</v>
      </c>
      <c r="AT579" t="s">
        <v>281</v>
      </c>
      <c r="AU579">
        <v>2016</v>
      </c>
      <c r="AV579">
        <v>21</v>
      </c>
      <c r="AW579">
        <v>6</v>
      </c>
      <c r="AX579" t="s">
        <v>74</v>
      </c>
      <c r="AY579" t="s">
        <v>74</v>
      </c>
      <c r="AZ579" t="s">
        <v>74</v>
      </c>
      <c r="BA579" t="s">
        <v>74</v>
      </c>
      <c r="BB579">
        <v>791</v>
      </c>
      <c r="BC579">
        <v>805</v>
      </c>
      <c r="BD579" t="s">
        <v>74</v>
      </c>
      <c r="BE579" t="s">
        <v>11253</v>
      </c>
      <c r="BF579" t="str">
        <f>HYPERLINK("http://dx.doi.org/10.1007/s11367-016-1056-2","http://dx.doi.org/10.1007/s11367-016-1056-2")</f>
        <v>http://dx.doi.org/10.1007/s11367-016-1056-2</v>
      </c>
      <c r="BG579" t="s">
        <v>74</v>
      </c>
      <c r="BH579" t="s">
        <v>74</v>
      </c>
      <c r="BI579">
        <v>15</v>
      </c>
      <c r="BJ579" t="s">
        <v>340</v>
      </c>
      <c r="BK579" t="s">
        <v>102</v>
      </c>
      <c r="BL579" t="s">
        <v>341</v>
      </c>
      <c r="BM579" t="s">
        <v>11254</v>
      </c>
      <c r="BN579" t="s">
        <v>74</v>
      </c>
      <c r="BO579" t="s">
        <v>2296</v>
      </c>
      <c r="BP579" t="s">
        <v>74</v>
      </c>
      <c r="BQ579" t="s">
        <v>74</v>
      </c>
      <c r="BR579" t="s">
        <v>106</v>
      </c>
      <c r="BS579" t="s">
        <v>11255</v>
      </c>
      <c r="BT579" t="str">
        <f>HYPERLINK("https%3A%2F%2Fwww.webofscience.com%2Fwos%2Fwoscc%2Ffull-record%2FWOS:000376036600001","View Full Record in Web of Science")</f>
        <v>View Full Record in Web of Science</v>
      </c>
    </row>
    <row r="580" spans="1:72" x14ac:dyDescent="0.2">
      <c r="A580" t="s">
        <v>72</v>
      </c>
      <c r="B580" t="s">
        <v>11256</v>
      </c>
      <c r="C580" t="s">
        <v>74</v>
      </c>
      <c r="D580" t="s">
        <v>74</v>
      </c>
      <c r="E580" t="s">
        <v>74</v>
      </c>
      <c r="F580" t="s">
        <v>11257</v>
      </c>
      <c r="G580" t="s">
        <v>74</v>
      </c>
      <c r="H580" t="s">
        <v>74</v>
      </c>
      <c r="I580" t="s">
        <v>11258</v>
      </c>
      <c r="J580" t="s">
        <v>2044</v>
      </c>
      <c r="K580" t="s">
        <v>74</v>
      </c>
      <c r="L580" t="s">
        <v>74</v>
      </c>
      <c r="M580" t="s">
        <v>78</v>
      </c>
      <c r="N580" t="s">
        <v>79</v>
      </c>
      <c r="O580" t="s">
        <v>74</v>
      </c>
      <c r="P580" t="s">
        <v>74</v>
      </c>
      <c r="Q580" t="s">
        <v>74</v>
      </c>
      <c r="R580" t="s">
        <v>74</v>
      </c>
      <c r="S580" t="s">
        <v>74</v>
      </c>
      <c r="T580" t="s">
        <v>11259</v>
      </c>
      <c r="U580" t="s">
        <v>74</v>
      </c>
      <c r="V580" t="s">
        <v>11260</v>
      </c>
      <c r="W580" t="s">
        <v>11261</v>
      </c>
      <c r="X580" t="s">
        <v>11262</v>
      </c>
      <c r="Y580" t="s">
        <v>11263</v>
      </c>
      <c r="Z580" t="s">
        <v>11264</v>
      </c>
      <c r="AA580" t="s">
        <v>11265</v>
      </c>
      <c r="AB580" t="s">
        <v>11266</v>
      </c>
      <c r="AC580" t="s">
        <v>11267</v>
      </c>
      <c r="AD580" t="s">
        <v>11267</v>
      </c>
      <c r="AE580" t="s">
        <v>11268</v>
      </c>
      <c r="AF580" t="s">
        <v>74</v>
      </c>
      <c r="AG580">
        <v>34</v>
      </c>
      <c r="AH580">
        <v>8</v>
      </c>
      <c r="AI580">
        <v>10</v>
      </c>
      <c r="AJ580">
        <v>0</v>
      </c>
      <c r="AK580">
        <v>9</v>
      </c>
      <c r="AL580" t="s">
        <v>176</v>
      </c>
      <c r="AM580" t="s">
        <v>177</v>
      </c>
      <c r="AN580" t="s">
        <v>178</v>
      </c>
      <c r="AO580" t="s">
        <v>74</v>
      </c>
      <c r="AP580" t="s">
        <v>2057</v>
      </c>
      <c r="AQ580" t="s">
        <v>74</v>
      </c>
      <c r="AR580" t="s">
        <v>2044</v>
      </c>
      <c r="AS580" t="s">
        <v>2058</v>
      </c>
      <c r="AT580" t="s">
        <v>2017</v>
      </c>
      <c r="AU580">
        <v>2020</v>
      </c>
      <c r="AV580">
        <v>6</v>
      </c>
      <c r="AW580">
        <v>10</v>
      </c>
      <c r="AX580" t="s">
        <v>74</v>
      </c>
      <c r="AY580" t="s">
        <v>74</v>
      </c>
      <c r="AZ580" t="s">
        <v>74</v>
      </c>
      <c r="BA580" t="s">
        <v>74</v>
      </c>
      <c r="BB580" t="s">
        <v>74</v>
      </c>
      <c r="BC580" t="s">
        <v>74</v>
      </c>
      <c r="BD580" t="s">
        <v>11269</v>
      </c>
      <c r="BE580" t="s">
        <v>11270</v>
      </c>
      <c r="BF580" t="str">
        <f>HYPERLINK("http://dx.doi.org/10.1016/j.heliyon.2020.e04791","http://dx.doi.org/10.1016/j.heliyon.2020.e04791")</f>
        <v>http://dx.doi.org/10.1016/j.heliyon.2020.e04791</v>
      </c>
      <c r="BG580" t="s">
        <v>74</v>
      </c>
      <c r="BH580" t="s">
        <v>74</v>
      </c>
      <c r="BI580">
        <v>7</v>
      </c>
      <c r="BJ580" t="s">
        <v>158</v>
      </c>
      <c r="BK580" t="s">
        <v>102</v>
      </c>
      <c r="BL580" t="s">
        <v>159</v>
      </c>
      <c r="BM580" t="s">
        <v>11271</v>
      </c>
      <c r="BN580">
        <v>33102830</v>
      </c>
      <c r="BO580" t="s">
        <v>161</v>
      </c>
      <c r="BP580" t="s">
        <v>74</v>
      </c>
      <c r="BQ580" t="s">
        <v>74</v>
      </c>
      <c r="BR580" t="s">
        <v>106</v>
      </c>
      <c r="BS580" t="s">
        <v>11272</v>
      </c>
      <c r="BT580" t="str">
        <f>HYPERLINK("https%3A%2F%2Fwww.webofscience.com%2Fwos%2Fwoscc%2Ffull-record%2FWOS:000584392300004","View Full Record in Web of Science")</f>
        <v>View Full Record in Web of Science</v>
      </c>
    </row>
    <row r="581" spans="1:72" x14ac:dyDescent="0.2">
      <c r="A581" t="s">
        <v>72</v>
      </c>
      <c r="B581" t="s">
        <v>11273</v>
      </c>
      <c r="C581" t="s">
        <v>74</v>
      </c>
      <c r="D581" t="s">
        <v>74</v>
      </c>
      <c r="E581" t="s">
        <v>74</v>
      </c>
      <c r="F581" t="s">
        <v>11274</v>
      </c>
      <c r="G581" t="s">
        <v>74</v>
      </c>
      <c r="H581" t="s">
        <v>74</v>
      </c>
      <c r="I581" t="s">
        <v>11275</v>
      </c>
      <c r="J581" t="s">
        <v>546</v>
      </c>
      <c r="K581" t="s">
        <v>74</v>
      </c>
      <c r="L581" t="s">
        <v>74</v>
      </c>
      <c r="M581" t="s">
        <v>78</v>
      </c>
      <c r="N581" t="s">
        <v>79</v>
      </c>
      <c r="O581" t="s">
        <v>74</v>
      </c>
      <c r="P581" t="s">
        <v>74</v>
      </c>
      <c r="Q581" t="s">
        <v>74</v>
      </c>
      <c r="R581" t="s">
        <v>74</v>
      </c>
      <c r="S581" t="s">
        <v>74</v>
      </c>
      <c r="T581" t="s">
        <v>11276</v>
      </c>
      <c r="U581" t="s">
        <v>11277</v>
      </c>
      <c r="V581" t="s">
        <v>11278</v>
      </c>
      <c r="W581" t="s">
        <v>11279</v>
      </c>
      <c r="X581" t="s">
        <v>11280</v>
      </c>
      <c r="Y581" t="s">
        <v>11281</v>
      </c>
      <c r="Z581" t="s">
        <v>11282</v>
      </c>
      <c r="AA581" t="s">
        <v>11283</v>
      </c>
      <c r="AB581" t="s">
        <v>11284</v>
      </c>
      <c r="AC581" t="s">
        <v>11285</v>
      </c>
      <c r="AD581" t="s">
        <v>11286</v>
      </c>
      <c r="AE581" t="s">
        <v>11287</v>
      </c>
      <c r="AF581" t="s">
        <v>74</v>
      </c>
      <c r="AG581">
        <v>55</v>
      </c>
      <c r="AH581">
        <v>53</v>
      </c>
      <c r="AI581">
        <v>58</v>
      </c>
      <c r="AJ581">
        <v>8</v>
      </c>
      <c r="AK581">
        <v>132</v>
      </c>
      <c r="AL581" t="s">
        <v>559</v>
      </c>
      <c r="AM581" t="s">
        <v>93</v>
      </c>
      <c r="AN581" t="s">
        <v>560</v>
      </c>
      <c r="AO581" t="s">
        <v>561</v>
      </c>
      <c r="AP581" t="s">
        <v>562</v>
      </c>
      <c r="AQ581" t="s">
        <v>74</v>
      </c>
      <c r="AR581" t="s">
        <v>563</v>
      </c>
      <c r="AS581" t="s">
        <v>564</v>
      </c>
      <c r="AT581" t="s">
        <v>4711</v>
      </c>
      <c r="AU581">
        <v>2021</v>
      </c>
      <c r="AV581">
        <v>296</v>
      </c>
      <c r="AW581" t="s">
        <v>74</v>
      </c>
      <c r="AX581" t="s">
        <v>74</v>
      </c>
      <c r="AY581" t="s">
        <v>74</v>
      </c>
      <c r="AZ581" t="s">
        <v>74</v>
      </c>
      <c r="BA581" t="s">
        <v>74</v>
      </c>
      <c r="BB581" t="s">
        <v>74</v>
      </c>
      <c r="BC581" t="s">
        <v>74</v>
      </c>
      <c r="BD581">
        <v>113190</v>
      </c>
      <c r="BE581" t="s">
        <v>11288</v>
      </c>
      <c r="BF581" t="str">
        <f>HYPERLINK("http://dx.doi.org/10.1016/j.jenvman.2021.113190","http://dx.doi.org/10.1016/j.jenvman.2021.113190")</f>
        <v>http://dx.doi.org/10.1016/j.jenvman.2021.113190</v>
      </c>
      <c r="BG581" t="s">
        <v>74</v>
      </c>
      <c r="BH581" t="s">
        <v>1225</v>
      </c>
      <c r="BI581">
        <v>10</v>
      </c>
      <c r="BJ581" t="s">
        <v>567</v>
      </c>
      <c r="BK581" t="s">
        <v>186</v>
      </c>
      <c r="BL581" t="s">
        <v>568</v>
      </c>
      <c r="BM581" t="s">
        <v>11289</v>
      </c>
      <c r="BN581">
        <v>34271354</v>
      </c>
      <c r="BO581" t="s">
        <v>74</v>
      </c>
      <c r="BP581" t="s">
        <v>74</v>
      </c>
      <c r="BQ581" t="s">
        <v>74</v>
      </c>
      <c r="BR581" t="s">
        <v>106</v>
      </c>
      <c r="BS581" t="s">
        <v>11290</v>
      </c>
      <c r="BT581" t="str">
        <f>HYPERLINK("https%3A%2F%2Fwww.webofscience.com%2Fwos%2Fwoscc%2Ffull-record%2FWOS:000685498300004","View Full Record in Web of Science")</f>
        <v>View Full Record in Web of Science</v>
      </c>
    </row>
    <row r="582" spans="1:72" x14ac:dyDescent="0.2">
      <c r="A582" t="s">
        <v>72</v>
      </c>
      <c r="B582" t="s">
        <v>11291</v>
      </c>
      <c r="C582" t="s">
        <v>74</v>
      </c>
      <c r="D582" t="s">
        <v>74</v>
      </c>
      <c r="E582" t="s">
        <v>74</v>
      </c>
      <c r="F582" t="s">
        <v>11292</v>
      </c>
      <c r="G582" t="s">
        <v>74</v>
      </c>
      <c r="H582" t="s">
        <v>74</v>
      </c>
      <c r="I582" t="s">
        <v>11293</v>
      </c>
      <c r="J582" t="s">
        <v>5809</v>
      </c>
      <c r="K582" t="s">
        <v>74</v>
      </c>
      <c r="L582" t="s">
        <v>74</v>
      </c>
      <c r="M582" t="s">
        <v>78</v>
      </c>
      <c r="N582" t="s">
        <v>79</v>
      </c>
      <c r="O582" t="s">
        <v>74</v>
      </c>
      <c r="P582" t="s">
        <v>74</v>
      </c>
      <c r="Q582" t="s">
        <v>74</v>
      </c>
      <c r="R582" t="s">
        <v>74</v>
      </c>
      <c r="S582" t="s">
        <v>74</v>
      </c>
      <c r="T582" t="s">
        <v>11294</v>
      </c>
      <c r="U582" t="s">
        <v>11295</v>
      </c>
      <c r="V582" t="s">
        <v>11296</v>
      </c>
      <c r="W582" t="s">
        <v>11297</v>
      </c>
      <c r="X582" t="s">
        <v>11298</v>
      </c>
      <c r="Y582" t="s">
        <v>11299</v>
      </c>
      <c r="Z582" t="s">
        <v>11300</v>
      </c>
      <c r="AA582" t="s">
        <v>11301</v>
      </c>
      <c r="AB582" t="s">
        <v>11302</v>
      </c>
      <c r="AC582" t="s">
        <v>11303</v>
      </c>
      <c r="AD582" t="s">
        <v>11304</v>
      </c>
      <c r="AE582" t="s">
        <v>11305</v>
      </c>
      <c r="AF582" t="s">
        <v>74</v>
      </c>
      <c r="AG582">
        <v>39</v>
      </c>
      <c r="AH582">
        <v>41</v>
      </c>
      <c r="AI582">
        <v>44</v>
      </c>
      <c r="AJ582">
        <v>1</v>
      </c>
      <c r="AK582">
        <v>77</v>
      </c>
      <c r="AL582" t="s">
        <v>123</v>
      </c>
      <c r="AM582" t="s">
        <v>124</v>
      </c>
      <c r="AN582" t="s">
        <v>125</v>
      </c>
      <c r="AO582" t="s">
        <v>5822</v>
      </c>
      <c r="AP582" t="s">
        <v>5823</v>
      </c>
      <c r="AQ582" t="s">
        <v>74</v>
      </c>
      <c r="AR582" t="s">
        <v>5824</v>
      </c>
      <c r="AS582" t="s">
        <v>5825</v>
      </c>
      <c r="AT582" t="s">
        <v>281</v>
      </c>
      <c r="AU582">
        <v>2016</v>
      </c>
      <c r="AV582">
        <v>126</v>
      </c>
      <c r="AW582" t="s">
        <v>74</v>
      </c>
      <c r="AX582" t="s">
        <v>74</v>
      </c>
      <c r="AY582" t="s">
        <v>74</v>
      </c>
      <c r="AZ582" t="s">
        <v>74</v>
      </c>
      <c r="BA582" t="s">
        <v>74</v>
      </c>
      <c r="BB582">
        <v>125</v>
      </c>
      <c r="BC582">
        <v>131</v>
      </c>
      <c r="BD582" t="s">
        <v>74</v>
      </c>
      <c r="BE582" t="s">
        <v>11306</v>
      </c>
      <c r="BF582" t="str">
        <f>HYPERLINK("http://dx.doi.org/10.1016/j.ecolecon.2016.02.018","http://dx.doi.org/10.1016/j.ecolecon.2016.02.018")</f>
        <v>http://dx.doi.org/10.1016/j.ecolecon.2016.02.018</v>
      </c>
      <c r="BG582" t="s">
        <v>74</v>
      </c>
      <c r="BH582" t="s">
        <v>74</v>
      </c>
      <c r="BI582">
        <v>7</v>
      </c>
      <c r="BJ582" t="s">
        <v>5827</v>
      </c>
      <c r="BK582" t="s">
        <v>186</v>
      </c>
      <c r="BL582" t="s">
        <v>5828</v>
      </c>
      <c r="BM582" t="s">
        <v>11307</v>
      </c>
      <c r="BN582" t="s">
        <v>74</v>
      </c>
      <c r="BO582" t="s">
        <v>541</v>
      </c>
      <c r="BP582" t="s">
        <v>74</v>
      </c>
      <c r="BQ582" t="s">
        <v>74</v>
      </c>
      <c r="BR582" t="s">
        <v>106</v>
      </c>
      <c r="BS582" t="s">
        <v>11308</v>
      </c>
      <c r="BT582" t="str">
        <f>HYPERLINK("https%3A%2F%2Fwww.webofscience.com%2Fwos%2Fwoscc%2Ffull-record%2FWOS:000376215400012","View Full Record in Web of Science")</f>
        <v>View Full Record in Web of Science</v>
      </c>
    </row>
    <row r="583" spans="1:72" x14ac:dyDescent="0.2">
      <c r="A583" t="s">
        <v>72</v>
      </c>
      <c r="B583" t="s">
        <v>11309</v>
      </c>
      <c r="C583" t="s">
        <v>74</v>
      </c>
      <c r="D583" t="s">
        <v>74</v>
      </c>
      <c r="E583" t="s">
        <v>74</v>
      </c>
      <c r="F583" t="s">
        <v>11310</v>
      </c>
      <c r="G583" t="s">
        <v>74</v>
      </c>
      <c r="H583" t="s">
        <v>74</v>
      </c>
      <c r="I583" t="s">
        <v>11311</v>
      </c>
      <c r="J583" t="s">
        <v>11312</v>
      </c>
      <c r="K583" t="s">
        <v>74</v>
      </c>
      <c r="L583" t="s">
        <v>74</v>
      </c>
      <c r="M583" t="s">
        <v>78</v>
      </c>
      <c r="N583" t="s">
        <v>79</v>
      </c>
      <c r="O583" t="s">
        <v>74</v>
      </c>
      <c r="P583" t="s">
        <v>74</v>
      </c>
      <c r="Q583" t="s">
        <v>74</v>
      </c>
      <c r="R583" t="s">
        <v>74</v>
      </c>
      <c r="S583" t="s">
        <v>74</v>
      </c>
      <c r="T583" t="s">
        <v>11313</v>
      </c>
      <c r="U583" t="s">
        <v>11314</v>
      </c>
      <c r="V583" t="s">
        <v>11315</v>
      </c>
      <c r="W583" t="s">
        <v>11316</v>
      </c>
      <c r="X583" t="s">
        <v>1456</v>
      </c>
      <c r="Y583" t="s">
        <v>11317</v>
      </c>
      <c r="Z583" t="s">
        <v>11318</v>
      </c>
      <c r="AA583" t="s">
        <v>11319</v>
      </c>
      <c r="AB583" t="s">
        <v>11320</v>
      </c>
      <c r="AC583" t="s">
        <v>11321</v>
      </c>
      <c r="AD583" t="s">
        <v>11322</v>
      </c>
      <c r="AE583" t="s">
        <v>11323</v>
      </c>
      <c r="AF583" t="s">
        <v>74</v>
      </c>
      <c r="AG583">
        <v>38</v>
      </c>
      <c r="AH583">
        <v>89</v>
      </c>
      <c r="AI583">
        <v>94</v>
      </c>
      <c r="AJ583">
        <v>8</v>
      </c>
      <c r="AK583">
        <v>204</v>
      </c>
      <c r="AL583" t="s">
        <v>176</v>
      </c>
      <c r="AM583" t="s">
        <v>177</v>
      </c>
      <c r="AN583" t="s">
        <v>178</v>
      </c>
      <c r="AO583" t="s">
        <v>11324</v>
      </c>
      <c r="AP583" t="s">
        <v>11325</v>
      </c>
      <c r="AQ583" t="s">
        <v>74</v>
      </c>
      <c r="AR583" t="s">
        <v>11326</v>
      </c>
      <c r="AS583" t="s">
        <v>11327</v>
      </c>
      <c r="AT583" t="s">
        <v>8106</v>
      </c>
      <c r="AU583">
        <v>2016</v>
      </c>
      <c r="AV583">
        <v>151</v>
      </c>
      <c r="AW583" t="s">
        <v>74</v>
      </c>
      <c r="AX583" t="s">
        <v>74</v>
      </c>
      <c r="AY583" t="s">
        <v>74</v>
      </c>
      <c r="AZ583" t="s">
        <v>74</v>
      </c>
      <c r="BA583" t="s">
        <v>74</v>
      </c>
      <c r="BB583">
        <v>245</v>
      </c>
      <c r="BC583">
        <v>250</v>
      </c>
      <c r="BD583" t="s">
        <v>74</v>
      </c>
      <c r="BE583" t="s">
        <v>11328</v>
      </c>
      <c r="BF583" t="str">
        <f>HYPERLINK("http://dx.doi.org/10.1016/j.carbpol.2016.05.063","http://dx.doi.org/10.1016/j.carbpol.2016.05.063")</f>
        <v>http://dx.doi.org/10.1016/j.carbpol.2016.05.063</v>
      </c>
      <c r="BG583" t="s">
        <v>74</v>
      </c>
      <c r="BH583" t="s">
        <v>74</v>
      </c>
      <c r="BI583">
        <v>6</v>
      </c>
      <c r="BJ583" t="s">
        <v>11329</v>
      </c>
      <c r="BK583" t="s">
        <v>102</v>
      </c>
      <c r="BL583" t="s">
        <v>11330</v>
      </c>
      <c r="BM583" t="s">
        <v>11331</v>
      </c>
      <c r="BN583">
        <v>27474564</v>
      </c>
      <c r="BO583" t="s">
        <v>74</v>
      </c>
      <c r="BP583" t="s">
        <v>74</v>
      </c>
      <c r="BQ583" t="s">
        <v>74</v>
      </c>
      <c r="BR583" t="s">
        <v>106</v>
      </c>
      <c r="BS583" t="s">
        <v>11332</v>
      </c>
      <c r="BT583" t="str">
        <f>HYPERLINK("https%3A%2F%2Fwww.webofscience.com%2Fwos%2Fwoscc%2Ffull-record%2FWOS:000380943900028","View Full Record in Web of Science")</f>
        <v>View Full Record in Web of Science</v>
      </c>
    </row>
    <row r="584" spans="1:72" x14ac:dyDescent="0.2">
      <c r="A584" t="s">
        <v>72</v>
      </c>
      <c r="B584" t="s">
        <v>11333</v>
      </c>
      <c r="C584" t="s">
        <v>74</v>
      </c>
      <c r="D584" t="s">
        <v>74</v>
      </c>
      <c r="E584" t="s">
        <v>74</v>
      </c>
      <c r="F584" t="s">
        <v>11334</v>
      </c>
      <c r="G584" t="s">
        <v>74</v>
      </c>
      <c r="H584" t="s">
        <v>74</v>
      </c>
      <c r="I584" t="s">
        <v>11335</v>
      </c>
      <c r="J584" t="s">
        <v>1526</v>
      </c>
      <c r="K584" t="s">
        <v>74</v>
      </c>
      <c r="L584" t="s">
        <v>74</v>
      </c>
      <c r="M584" t="s">
        <v>78</v>
      </c>
      <c r="N584" t="s">
        <v>79</v>
      </c>
      <c r="O584" t="s">
        <v>74</v>
      </c>
      <c r="P584" t="s">
        <v>74</v>
      </c>
      <c r="Q584" t="s">
        <v>74</v>
      </c>
      <c r="R584" t="s">
        <v>74</v>
      </c>
      <c r="S584" t="s">
        <v>74</v>
      </c>
      <c r="T584" t="s">
        <v>11336</v>
      </c>
      <c r="U584" t="s">
        <v>11337</v>
      </c>
      <c r="V584" t="s">
        <v>11338</v>
      </c>
      <c r="W584" t="s">
        <v>11339</v>
      </c>
      <c r="X584" t="s">
        <v>11340</v>
      </c>
      <c r="Y584" t="s">
        <v>11341</v>
      </c>
      <c r="Z584" t="s">
        <v>11342</v>
      </c>
      <c r="AA584" t="s">
        <v>11343</v>
      </c>
      <c r="AB584" t="s">
        <v>11344</v>
      </c>
      <c r="AC584" t="s">
        <v>74</v>
      </c>
      <c r="AD584" t="s">
        <v>74</v>
      </c>
      <c r="AE584" t="s">
        <v>74</v>
      </c>
      <c r="AF584" t="s">
        <v>74</v>
      </c>
      <c r="AG584">
        <v>92</v>
      </c>
      <c r="AH584">
        <v>409</v>
      </c>
      <c r="AI584">
        <v>449</v>
      </c>
      <c r="AJ584">
        <v>22</v>
      </c>
      <c r="AK584">
        <v>755</v>
      </c>
      <c r="AL584" t="s">
        <v>176</v>
      </c>
      <c r="AM584" t="s">
        <v>177</v>
      </c>
      <c r="AN584" t="s">
        <v>178</v>
      </c>
      <c r="AO584" t="s">
        <v>1538</v>
      </c>
      <c r="AP584" t="s">
        <v>1539</v>
      </c>
      <c r="AQ584" t="s">
        <v>74</v>
      </c>
      <c r="AR584" t="s">
        <v>1540</v>
      </c>
      <c r="AS584" t="s">
        <v>1541</v>
      </c>
      <c r="AT584" t="s">
        <v>411</v>
      </c>
      <c r="AU584">
        <v>2015</v>
      </c>
      <c r="AV584">
        <v>103</v>
      </c>
      <c r="AW584" t="s">
        <v>74</v>
      </c>
      <c r="AX584" t="s">
        <v>74</v>
      </c>
      <c r="AY584" t="s">
        <v>74</v>
      </c>
      <c r="AZ584" t="s">
        <v>74</v>
      </c>
      <c r="BA584" t="s">
        <v>74</v>
      </c>
      <c r="BB584">
        <v>1</v>
      </c>
      <c r="BC584">
        <v>12</v>
      </c>
      <c r="BD584" t="s">
        <v>74</v>
      </c>
      <c r="BE584" t="s">
        <v>11345</v>
      </c>
      <c r="BF584" t="str">
        <f>HYPERLINK("http://dx.doi.org/10.1016/j.jclepro.2015.04.098","http://dx.doi.org/10.1016/j.jclepro.2015.04.098")</f>
        <v>http://dx.doi.org/10.1016/j.jclepro.2015.04.098</v>
      </c>
      <c r="BG584" t="s">
        <v>74</v>
      </c>
      <c r="BH584" t="s">
        <v>74</v>
      </c>
      <c r="BI584">
        <v>12</v>
      </c>
      <c r="BJ584" t="s">
        <v>1543</v>
      </c>
      <c r="BK584" t="s">
        <v>102</v>
      </c>
      <c r="BL584" t="s">
        <v>1544</v>
      </c>
      <c r="BM584" t="s">
        <v>11346</v>
      </c>
      <c r="BN584" t="s">
        <v>74</v>
      </c>
      <c r="BO584" t="s">
        <v>74</v>
      </c>
      <c r="BP584" t="s">
        <v>4815</v>
      </c>
      <c r="BQ584" t="s">
        <v>4816</v>
      </c>
      <c r="BR584" t="s">
        <v>106</v>
      </c>
      <c r="BS584" t="s">
        <v>11347</v>
      </c>
      <c r="BT584" t="str">
        <f>HYPERLINK("https%3A%2F%2Fwww.webofscience.com%2Fwos%2Fwoscc%2Ffull-record%2FWOS:000356990800001","View Full Record in Web of Science")</f>
        <v>View Full Record in Web of Science</v>
      </c>
    </row>
    <row r="585" spans="1:72" x14ac:dyDescent="0.2">
      <c r="A585" t="s">
        <v>72</v>
      </c>
      <c r="B585" t="s">
        <v>11348</v>
      </c>
      <c r="C585" t="s">
        <v>74</v>
      </c>
      <c r="D585" t="s">
        <v>74</v>
      </c>
      <c r="E585" t="s">
        <v>74</v>
      </c>
      <c r="F585" t="s">
        <v>11349</v>
      </c>
      <c r="G585" t="s">
        <v>74</v>
      </c>
      <c r="H585" t="s">
        <v>74</v>
      </c>
      <c r="I585" t="s">
        <v>11350</v>
      </c>
      <c r="J585" t="s">
        <v>1912</v>
      </c>
      <c r="K585" t="s">
        <v>74</v>
      </c>
      <c r="L585" t="s">
        <v>74</v>
      </c>
      <c r="M585" t="s">
        <v>78</v>
      </c>
      <c r="N585" t="s">
        <v>79</v>
      </c>
      <c r="O585" t="s">
        <v>74</v>
      </c>
      <c r="P585" t="s">
        <v>74</v>
      </c>
      <c r="Q585" t="s">
        <v>74</v>
      </c>
      <c r="R585" t="s">
        <v>74</v>
      </c>
      <c r="S585" t="s">
        <v>74</v>
      </c>
      <c r="T585" t="s">
        <v>11351</v>
      </c>
      <c r="U585" t="s">
        <v>74</v>
      </c>
      <c r="V585" t="s">
        <v>11352</v>
      </c>
      <c r="W585" t="s">
        <v>11353</v>
      </c>
      <c r="X585" t="s">
        <v>74</v>
      </c>
      <c r="Y585" t="s">
        <v>11354</v>
      </c>
      <c r="Z585" t="s">
        <v>11355</v>
      </c>
      <c r="AA585" t="s">
        <v>11356</v>
      </c>
      <c r="AB585" t="s">
        <v>74</v>
      </c>
      <c r="AC585" t="s">
        <v>11357</v>
      </c>
      <c r="AD585" t="s">
        <v>11358</v>
      </c>
      <c r="AE585" t="s">
        <v>11359</v>
      </c>
      <c r="AF585" t="s">
        <v>74</v>
      </c>
      <c r="AG585">
        <v>20</v>
      </c>
      <c r="AH585">
        <v>3</v>
      </c>
      <c r="AI585">
        <v>3</v>
      </c>
      <c r="AJ585">
        <v>3</v>
      </c>
      <c r="AK585">
        <v>63</v>
      </c>
      <c r="AL585" t="s">
        <v>1921</v>
      </c>
      <c r="AM585" t="s">
        <v>1922</v>
      </c>
      <c r="AN585" t="s">
        <v>1923</v>
      </c>
      <c r="AO585" t="s">
        <v>1924</v>
      </c>
      <c r="AP585" t="s">
        <v>1925</v>
      </c>
      <c r="AQ585" t="s">
        <v>74</v>
      </c>
      <c r="AR585" t="s">
        <v>1926</v>
      </c>
      <c r="AS585" t="s">
        <v>1927</v>
      </c>
      <c r="AT585" t="s">
        <v>74</v>
      </c>
      <c r="AU585">
        <v>2022</v>
      </c>
      <c r="AV585">
        <v>31</v>
      </c>
      <c r="AW585">
        <v>8</v>
      </c>
      <c r="AX585" t="s">
        <v>74</v>
      </c>
      <c r="AY585" t="s">
        <v>74</v>
      </c>
      <c r="AZ585" t="s">
        <v>74</v>
      </c>
      <c r="BA585" t="s">
        <v>74</v>
      </c>
      <c r="BB585">
        <v>7949</v>
      </c>
      <c r="BC585">
        <v>7955</v>
      </c>
      <c r="BD585" t="s">
        <v>74</v>
      </c>
      <c r="BE585" t="s">
        <v>74</v>
      </c>
      <c r="BF585" t="s">
        <v>74</v>
      </c>
      <c r="BG585" t="s">
        <v>74</v>
      </c>
      <c r="BH585" t="s">
        <v>74</v>
      </c>
      <c r="BI585">
        <v>7</v>
      </c>
      <c r="BJ585" t="s">
        <v>567</v>
      </c>
      <c r="BK585" t="s">
        <v>102</v>
      </c>
      <c r="BL585" t="s">
        <v>568</v>
      </c>
      <c r="BM585" t="s">
        <v>11360</v>
      </c>
      <c r="BN585" t="s">
        <v>74</v>
      </c>
      <c r="BO585" t="s">
        <v>74</v>
      </c>
      <c r="BP585" t="s">
        <v>74</v>
      </c>
      <c r="BQ585" t="s">
        <v>74</v>
      </c>
      <c r="BR585" t="s">
        <v>106</v>
      </c>
      <c r="BS585" t="s">
        <v>11361</v>
      </c>
      <c r="BT585" t="str">
        <f>HYPERLINK("https%3A%2F%2Fwww.webofscience.com%2Fwos%2Fwoscc%2Ffull-record%2FWOS:000845078600055","View Full Record in Web of Science")</f>
        <v>View Full Record in Web of Science</v>
      </c>
    </row>
    <row r="586" spans="1:72" x14ac:dyDescent="0.2">
      <c r="A586" t="s">
        <v>72</v>
      </c>
      <c r="B586" t="s">
        <v>11362</v>
      </c>
      <c r="C586" t="s">
        <v>74</v>
      </c>
      <c r="D586" t="s">
        <v>74</v>
      </c>
      <c r="E586" t="s">
        <v>74</v>
      </c>
      <c r="F586" t="s">
        <v>11363</v>
      </c>
      <c r="G586" t="s">
        <v>74</v>
      </c>
      <c r="H586" t="s">
        <v>74</v>
      </c>
      <c r="I586" t="s">
        <v>11364</v>
      </c>
      <c r="J586" t="s">
        <v>11365</v>
      </c>
      <c r="K586" t="s">
        <v>74</v>
      </c>
      <c r="L586" t="s">
        <v>74</v>
      </c>
      <c r="M586" t="s">
        <v>78</v>
      </c>
      <c r="N586" t="s">
        <v>79</v>
      </c>
      <c r="O586" t="s">
        <v>74</v>
      </c>
      <c r="P586" t="s">
        <v>74</v>
      </c>
      <c r="Q586" t="s">
        <v>74</v>
      </c>
      <c r="R586" t="s">
        <v>74</v>
      </c>
      <c r="S586" t="s">
        <v>74</v>
      </c>
      <c r="T586" t="s">
        <v>11366</v>
      </c>
      <c r="U586" t="s">
        <v>74</v>
      </c>
      <c r="V586" t="s">
        <v>11367</v>
      </c>
      <c r="W586" t="s">
        <v>11368</v>
      </c>
      <c r="X586" t="s">
        <v>11369</v>
      </c>
      <c r="Y586" t="s">
        <v>11370</v>
      </c>
      <c r="Z586" t="s">
        <v>11371</v>
      </c>
      <c r="AA586" t="s">
        <v>11372</v>
      </c>
      <c r="AB586" t="s">
        <v>11373</v>
      </c>
      <c r="AC586" t="s">
        <v>11374</v>
      </c>
      <c r="AD586" t="s">
        <v>11375</v>
      </c>
      <c r="AE586" t="s">
        <v>11376</v>
      </c>
      <c r="AF586" t="s">
        <v>74</v>
      </c>
      <c r="AG586">
        <v>29</v>
      </c>
      <c r="AH586">
        <v>1</v>
      </c>
      <c r="AI586">
        <v>1</v>
      </c>
      <c r="AJ586">
        <v>6</v>
      </c>
      <c r="AK586">
        <v>6</v>
      </c>
      <c r="AL586" t="s">
        <v>11377</v>
      </c>
      <c r="AM586" t="s">
        <v>11378</v>
      </c>
      <c r="AN586" t="s">
        <v>11379</v>
      </c>
      <c r="AO586" t="s">
        <v>11380</v>
      </c>
      <c r="AP586" t="s">
        <v>11381</v>
      </c>
      <c r="AQ586" t="s">
        <v>74</v>
      </c>
      <c r="AR586" t="s">
        <v>11382</v>
      </c>
      <c r="AS586" t="s">
        <v>11383</v>
      </c>
      <c r="AT586" t="s">
        <v>74</v>
      </c>
      <c r="AU586">
        <v>2025</v>
      </c>
      <c r="AV586">
        <v>56</v>
      </c>
      <c r="AW586">
        <v>2</v>
      </c>
      <c r="AX586" t="s">
        <v>74</v>
      </c>
      <c r="AY586" t="s">
        <v>74</v>
      </c>
      <c r="AZ586" t="s">
        <v>74</v>
      </c>
      <c r="BA586" t="s">
        <v>74</v>
      </c>
      <c r="BB586" t="s">
        <v>74</v>
      </c>
      <c r="BC586" t="s">
        <v>74</v>
      </c>
      <c r="BD586">
        <v>1636</v>
      </c>
      <c r="BE586" t="s">
        <v>11384</v>
      </c>
      <c r="BF586" t="str">
        <f>HYPERLINK("http://dx.doi.org/10.4081/jae.2025.1636","http://dx.doi.org/10.4081/jae.2025.1636")</f>
        <v>http://dx.doi.org/10.4081/jae.2025.1636</v>
      </c>
      <c r="BG586" t="s">
        <v>74</v>
      </c>
      <c r="BH586" t="s">
        <v>74</v>
      </c>
      <c r="BI586">
        <v>12</v>
      </c>
      <c r="BJ586" t="s">
        <v>842</v>
      </c>
      <c r="BK586" t="s">
        <v>102</v>
      </c>
      <c r="BL586" t="s">
        <v>103</v>
      </c>
      <c r="BM586" t="s">
        <v>11385</v>
      </c>
      <c r="BN586" t="s">
        <v>74</v>
      </c>
      <c r="BO586" t="s">
        <v>231</v>
      </c>
      <c r="BP586" t="s">
        <v>74</v>
      </c>
      <c r="BQ586" t="s">
        <v>74</v>
      </c>
      <c r="BR586" t="s">
        <v>106</v>
      </c>
      <c r="BS586" t="s">
        <v>11386</v>
      </c>
      <c r="BT586" t="str">
        <f>HYPERLINK("https%3A%2F%2Fwww.webofscience.com%2Fwos%2Fwoscc%2Ffull-record%2FWOS:001499022200002","View Full Record in Web of Science")</f>
        <v>View Full Record in Web of Science</v>
      </c>
    </row>
    <row r="587" spans="1:72" x14ac:dyDescent="0.2">
      <c r="A587" t="s">
        <v>72</v>
      </c>
      <c r="B587" t="s">
        <v>11387</v>
      </c>
      <c r="C587" t="s">
        <v>74</v>
      </c>
      <c r="D587" t="s">
        <v>74</v>
      </c>
      <c r="E587" t="s">
        <v>74</v>
      </c>
      <c r="F587" t="s">
        <v>11388</v>
      </c>
      <c r="G587" t="s">
        <v>74</v>
      </c>
      <c r="H587" t="s">
        <v>74</v>
      </c>
      <c r="I587" t="s">
        <v>11389</v>
      </c>
      <c r="J587" t="s">
        <v>11390</v>
      </c>
      <c r="K587" t="s">
        <v>74</v>
      </c>
      <c r="L587" t="s">
        <v>74</v>
      </c>
      <c r="M587" t="s">
        <v>78</v>
      </c>
      <c r="N587" t="s">
        <v>79</v>
      </c>
      <c r="O587" t="s">
        <v>74</v>
      </c>
      <c r="P587" t="s">
        <v>74</v>
      </c>
      <c r="Q587" t="s">
        <v>74</v>
      </c>
      <c r="R587" t="s">
        <v>74</v>
      </c>
      <c r="S587" t="s">
        <v>74</v>
      </c>
      <c r="T587" t="s">
        <v>11391</v>
      </c>
      <c r="U587" t="s">
        <v>11392</v>
      </c>
      <c r="V587" t="s">
        <v>11393</v>
      </c>
      <c r="W587" t="s">
        <v>11394</v>
      </c>
      <c r="X587" t="s">
        <v>11395</v>
      </c>
      <c r="Y587" t="s">
        <v>11396</v>
      </c>
      <c r="Z587" t="s">
        <v>11397</v>
      </c>
      <c r="AA587" t="s">
        <v>74</v>
      </c>
      <c r="AB587" t="s">
        <v>11398</v>
      </c>
      <c r="AC587" t="s">
        <v>11399</v>
      </c>
      <c r="AD587" t="s">
        <v>11400</v>
      </c>
      <c r="AE587" t="s">
        <v>11401</v>
      </c>
      <c r="AF587" t="s">
        <v>74</v>
      </c>
      <c r="AG587">
        <v>29</v>
      </c>
      <c r="AH587">
        <v>7</v>
      </c>
      <c r="AI587">
        <v>8</v>
      </c>
      <c r="AJ587">
        <v>1</v>
      </c>
      <c r="AK587">
        <v>68</v>
      </c>
      <c r="AL587" t="s">
        <v>504</v>
      </c>
      <c r="AM587" t="s">
        <v>676</v>
      </c>
      <c r="AN587" t="s">
        <v>677</v>
      </c>
      <c r="AO587" t="s">
        <v>11402</v>
      </c>
      <c r="AP587" t="s">
        <v>11403</v>
      </c>
      <c r="AQ587" t="s">
        <v>74</v>
      </c>
      <c r="AR587" t="s">
        <v>11404</v>
      </c>
      <c r="AS587" t="s">
        <v>11405</v>
      </c>
      <c r="AT587" t="s">
        <v>227</v>
      </c>
      <c r="AU587">
        <v>2016</v>
      </c>
      <c r="AV587">
        <v>13</v>
      </c>
      <c r="AW587">
        <v>1</v>
      </c>
      <c r="AX587" t="s">
        <v>74</v>
      </c>
      <c r="AY587" t="s">
        <v>74</v>
      </c>
      <c r="AZ587" t="s">
        <v>74</v>
      </c>
      <c r="BA587" t="s">
        <v>74</v>
      </c>
      <c r="BB587">
        <v>97</v>
      </c>
      <c r="BC587">
        <v>112</v>
      </c>
      <c r="BD587" t="s">
        <v>74</v>
      </c>
      <c r="BE587" t="s">
        <v>11406</v>
      </c>
      <c r="BF587" t="str">
        <f>HYPERLINK("http://dx.doi.org/10.1007/s13762-015-0788-z","http://dx.doi.org/10.1007/s13762-015-0788-z")</f>
        <v>http://dx.doi.org/10.1007/s13762-015-0788-z</v>
      </c>
      <c r="BG587" t="s">
        <v>74</v>
      </c>
      <c r="BH587" t="s">
        <v>74</v>
      </c>
      <c r="BI587">
        <v>16</v>
      </c>
      <c r="BJ587" t="s">
        <v>567</v>
      </c>
      <c r="BK587" t="s">
        <v>102</v>
      </c>
      <c r="BL587" t="s">
        <v>568</v>
      </c>
      <c r="BM587" t="s">
        <v>11407</v>
      </c>
      <c r="BN587" t="s">
        <v>74</v>
      </c>
      <c r="BO587" t="s">
        <v>541</v>
      </c>
      <c r="BP587" t="s">
        <v>74</v>
      </c>
      <c r="BQ587" t="s">
        <v>74</v>
      </c>
      <c r="BR587" t="s">
        <v>106</v>
      </c>
      <c r="BS587" t="s">
        <v>11408</v>
      </c>
      <c r="BT587" t="str">
        <f>HYPERLINK("https%3A%2F%2Fwww.webofscience.com%2Fwos%2Fwoscc%2Ffull-record%2FWOS:000367457000011","View Full Record in Web of Science")</f>
        <v>View Full Record in Web of Science</v>
      </c>
    </row>
    <row r="588" spans="1:72" x14ac:dyDescent="0.2">
      <c r="A588" t="s">
        <v>72</v>
      </c>
      <c r="B588" t="s">
        <v>11409</v>
      </c>
      <c r="C588" t="s">
        <v>74</v>
      </c>
      <c r="D588" t="s">
        <v>74</v>
      </c>
      <c r="E588" t="s">
        <v>74</v>
      </c>
      <c r="F588" t="s">
        <v>11410</v>
      </c>
      <c r="G588" t="s">
        <v>74</v>
      </c>
      <c r="H588" t="s">
        <v>74</v>
      </c>
      <c r="I588" t="s">
        <v>11411</v>
      </c>
      <c r="J588" t="s">
        <v>468</v>
      </c>
      <c r="K588" t="s">
        <v>74</v>
      </c>
      <c r="L588" t="s">
        <v>74</v>
      </c>
      <c r="M588" t="s">
        <v>78</v>
      </c>
      <c r="N588" t="s">
        <v>79</v>
      </c>
      <c r="O588" t="s">
        <v>74</v>
      </c>
      <c r="P588" t="s">
        <v>74</v>
      </c>
      <c r="Q588" t="s">
        <v>74</v>
      </c>
      <c r="R588" t="s">
        <v>74</v>
      </c>
      <c r="S588" t="s">
        <v>74</v>
      </c>
      <c r="T588" t="s">
        <v>11412</v>
      </c>
      <c r="U588" t="s">
        <v>11413</v>
      </c>
      <c r="V588" t="s">
        <v>11414</v>
      </c>
      <c r="W588" t="s">
        <v>11415</v>
      </c>
      <c r="X588" t="s">
        <v>11416</v>
      </c>
      <c r="Y588" t="s">
        <v>11417</v>
      </c>
      <c r="Z588" t="s">
        <v>11418</v>
      </c>
      <c r="AA588" t="s">
        <v>74</v>
      </c>
      <c r="AB588" t="s">
        <v>74</v>
      </c>
      <c r="AC588" t="s">
        <v>11419</v>
      </c>
      <c r="AD588" t="s">
        <v>11420</v>
      </c>
      <c r="AE588" t="s">
        <v>11421</v>
      </c>
      <c r="AF588" t="s">
        <v>74</v>
      </c>
      <c r="AG588">
        <v>42</v>
      </c>
      <c r="AH588">
        <v>1</v>
      </c>
      <c r="AI588">
        <v>1</v>
      </c>
      <c r="AJ588">
        <v>3</v>
      </c>
      <c r="AK588">
        <v>16</v>
      </c>
      <c r="AL588" t="s">
        <v>222</v>
      </c>
      <c r="AM588" t="s">
        <v>223</v>
      </c>
      <c r="AN588" t="s">
        <v>224</v>
      </c>
      <c r="AO588" t="s">
        <v>74</v>
      </c>
      <c r="AP588" t="s">
        <v>479</v>
      </c>
      <c r="AQ588" t="s">
        <v>74</v>
      </c>
      <c r="AR588" t="s">
        <v>480</v>
      </c>
      <c r="AS588" t="s">
        <v>481</v>
      </c>
      <c r="AT588" t="s">
        <v>805</v>
      </c>
      <c r="AU588">
        <v>2024</v>
      </c>
      <c r="AV588">
        <v>16</v>
      </c>
      <c r="AW588">
        <v>22</v>
      </c>
      <c r="AX588" t="s">
        <v>74</v>
      </c>
      <c r="AY588" t="s">
        <v>74</v>
      </c>
      <c r="AZ588" t="s">
        <v>74</v>
      </c>
      <c r="BA588" t="s">
        <v>74</v>
      </c>
      <c r="BB588" t="s">
        <v>74</v>
      </c>
      <c r="BC588" t="s">
        <v>74</v>
      </c>
      <c r="BD588">
        <v>9920</v>
      </c>
      <c r="BE588" t="s">
        <v>11422</v>
      </c>
      <c r="BF588" t="str">
        <f>HYPERLINK("http://dx.doi.org/10.3390/su16229920","http://dx.doi.org/10.3390/su16229920")</f>
        <v>http://dx.doi.org/10.3390/su16229920</v>
      </c>
      <c r="BG588" t="s">
        <v>74</v>
      </c>
      <c r="BH588" t="s">
        <v>74</v>
      </c>
      <c r="BI588">
        <v>17</v>
      </c>
      <c r="BJ588" t="s">
        <v>484</v>
      </c>
      <c r="BK588" t="s">
        <v>186</v>
      </c>
      <c r="BL588" t="s">
        <v>485</v>
      </c>
      <c r="BM588" t="s">
        <v>11423</v>
      </c>
      <c r="BN588" t="s">
        <v>74</v>
      </c>
      <c r="BO588" t="s">
        <v>231</v>
      </c>
      <c r="BP588" t="s">
        <v>74</v>
      </c>
      <c r="BQ588" t="s">
        <v>74</v>
      </c>
      <c r="BR588" t="s">
        <v>106</v>
      </c>
      <c r="BS588" t="s">
        <v>11424</v>
      </c>
      <c r="BT588" t="str">
        <f>HYPERLINK("https%3A%2F%2Fwww.webofscience.com%2Fwos%2Fwoscc%2Ffull-record%2FWOS:001366526600001","View Full Record in Web of Science")</f>
        <v>View Full Record in Web of Science</v>
      </c>
    </row>
    <row r="589" spans="1:72" x14ac:dyDescent="0.2">
      <c r="A589" t="s">
        <v>72</v>
      </c>
      <c r="B589" t="s">
        <v>11425</v>
      </c>
      <c r="C589" t="s">
        <v>74</v>
      </c>
      <c r="D589" t="s">
        <v>74</v>
      </c>
      <c r="E589" t="s">
        <v>74</v>
      </c>
      <c r="F589" t="s">
        <v>11426</v>
      </c>
      <c r="G589" t="s">
        <v>74</v>
      </c>
      <c r="H589" t="s">
        <v>74</v>
      </c>
      <c r="I589" t="s">
        <v>11427</v>
      </c>
      <c r="J589" t="s">
        <v>11428</v>
      </c>
      <c r="K589" t="s">
        <v>74</v>
      </c>
      <c r="L589" t="s">
        <v>74</v>
      </c>
      <c r="M589" t="s">
        <v>78</v>
      </c>
      <c r="N589" t="s">
        <v>79</v>
      </c>
      <c r="O589" t="s">
        <v>74</v>
      </c>
      <c r="P589" t="s">
        <v>74</v>
      </c>
      <c r="Q589" t="s">
        <v>74</v>
      </c>
      <c r="R589" t="s">
        <v>74</v>
      </c>
      <c r="S589" t="s">
        <v>74</v>
      </c>
      <c r="T589" t="s">
        <v>11429</v>
      </c>
      <c r="U589" t="s">
        <v>11430</v>
      </c>
      <c r="V589" t="s">
        <v>11431</v>
      </c>
      <c r="W589" t="s">
        <v>11432</v>
      </c>
      <c r="X589" t="s">
        <v>11433</v>
      </c>
      <c r="Y589" t="s">
        <v>11434</v>
      </c>
      <c r="Z589" t="s">
        <v>11435</v>
      </c>
      <c r="AA589" t="s">
        <v>11436</v>
      </c>
      <c r="AB589" t="s">
        <v>74</v>
      </c>
      <c r="AC589" t="s">
        <v>11437</v>
      </c>
      <c r="AD589" t="s">
        <v>11437</v>
      </c>
      <c r="AE589" t="s">
        <v>11438</v>
      </c>
      <c r="AF589" t="s">
        <v>74</v>
      </c>
      <c r="AG589">
        <v>55</v>
      </c>
      <c r="AH589">
        <v>8</v>
      </c>
      <c r="AI589">
        <v>10</v>
      </c>
      <c r="AJ589">
        <v>0</v>
      </c>
      <c r="AK589">
        <v>87</v>
      </c>
      <c r="AL589" t="s">
        <v>11439</v>
      </c>
      <c r="AM589" t="s">
        <v>11440</v>
      </c>
      <c r="AN589" t="s">
        <v>11441</v>
      </c>
      <c r="AO589" t="s">
        <v>11442</v>
      </c>
      <c r="AP589" t="s">
        <v>11443</v>
      </c>
      <c r="AQ589" t="s">
        <v>74</v>
      </c>
      <c r="AR589" t="s">
        <v>11444</v>
      </c>
      <c r="AS589" t="s">
        <v>11445</v>
      </c>
      <c r="AT589" t="s">
        <v>11446</v>
      </c>
      <c r="AU589">
        <v>2015</v>
      </c>
      <c r="AV589">
        <v>65</v>
      </c>
      <c r="AW589">
        <v>4</v>
      </c>
      <c r="AX589" t="s">
        <v>74</v>
      </c>
      <c r="AY589" t="s">
        <v>74</v>
      </c>
      <c r="AZ589" t="s">
        <v>74</v>
      </c>
      <c r="BA589" t="s">
        <v>74</v>
      </c>
      <c r="BB589">
        <v>310</v>
      </c>
      <c r="BC589">
        <v>320</v>
      </c>
      <c r="BD589" t="s">
        <v>74</v>
      </c>
      <c r="BE589" t="s">
        <v>11447</v>
      </c>
      <c r="BF589" t="str">
        <f>HYPERLINK("http://dx.doi.org/10.1080/09064710.2015.1008563","http://dx.doi.org/10.1080/09064710.2015.1008563")</f>
        <v>http://dx.doi.org/10.1080/09064710.2015.1008563</v>
      </c>
      <c r="BG589" t="s">
        <v>74</v>
      </c>
      <c r="BH589" t="s">
        <v>74</v>
      </c>
      <c r="BI589">
        <v>11</v>
      </c>
      <c r="BJ589" t="s">
        <v>4030</v>
      </c>
      <c r="BK589" t="s">
        <v>102</v>
      </c>
      <c r="BL589" t="s">
        <v>103</v>
      </c>
      <c r="BM589" t="s">
        <v>11448</v>
      </c>
      <c r="BN589" t="s">
        <v>74</v>
      </c>
      <c r="BO589" t="s">
        <v>74</v>
      </c>
      <c r="BP589" t="s">
        <v>74</v>
      </c>
      <c r="BQ589" t="s">
        <v>74</v>
      </c>
      <c r="BR589" t="s">
        <v>106</v>
      </c>
      <c r="BS589" t="s">
        <v>11449</v>
      </c>
      <c r="BT589" t="str">
        <f>HYPERLINK("https%3A%2F%2Fwww.webofscience.com%2Fwos%2Fwoscc%2Ffull-record%2FWOS:000350459700003","View Full Record in Web of Science")</f>
        <v>View Full Record in Web of Science</v>
      </c>
    </row>
    <row r="590" spans="1:72" x14ac:dyDescent="0.2">
      <c r="A590" t="s">
        <v>72</v>
      </c>
      <c r="B590" t="s">
        <v>11450</v>
      </c>
      <c r="C590" t="s">
        <v>74</v>
      </c>
      <c r="D590" t="s">
        <v>74</v>
      </c>
      <c r="E590" t="s">
        <v>74</v>
      </c>
      <c r="F590" t="s">
        <v>11451</v>
      </c>
      <c r="G590" t="s">
        <v>74</v>
      </c>
      <c r="H590" t="s">
        <v>74</v>
      </c>
      <c r="I590" t="s">
        <v>11452</v>
      </c>
      <c r="J590" t="s">
        <v>9322</v>
      </c>
      <c r="K590" t="s">
        <v>74</v>
      </c>
      <c r="L590" t="s">
        <v>74</v>
      </c>
      <c r="M590" t="s">
        <v>78</v>
      </c>
      <c r="N590" t="s">
        <v>79</v>
      </c>
      <c r="O590" t="s">
        <v>74</v>
      </c>
      <c r="P590" t="s">
        <v>74</v>
      </c>
      <c r="Q590" t="s">
        <v>74</v>
      </c>
      <c r="R590" t="s">
        <v>74</v>
      </c>
      <c r="S590" t="s">
        <v>74</v>
      </c>
      <c r="T590" t="s">
        <v>11453</v>
      </c>
      <c r="U590" t="s">
        <v>11454</v>
      </c>
      <c r="V590" t="s">
        <v>11455</v>
      </c>
      <c r="W590" t="s">
        <v>11456</v>
      </c>
      <c r="X590" t="s">
        <v>11457</v>
      </c>
      <c r="Y590" t="s">
        <v>11458</v>
      </c>
      <c r="Z590" t="s">
        <v>11459</v>
      </c>
      <c r="AA590" t="s">
        <v>11460</v>
      </c>
      <c r="AB590" t="s">
        <v>11461</v>
      </c>
      <c r="AC590" t="s">
        <v>74</v>
      </c>
      <c r="AD590" t="s">
        <v>74</v>
      </c>
      <c r="AE590" t="s">
        <v>74</v>
      </c>
      <c r="AF590" t="s">
        <v>74</v>
      </c>
      <c r="AG590">
        <v>66</v>
      </c>
      <c r="AH590">
        <v>19</v>
      </c>
      <c r="AI590">
        <v>21</v>
      </c>
      <c r="AJ590">
        <v>9</v>
      </c>
      <c r="AK590">
        <v>44</v>
      </c>
      <c r="AL590" t="s">
        <v>1242</v>
      </c>
      <c r="AM590" t="s">
        <v>1243</v>
      </c>
      <c r="AN590" t="s">
        <v>1244</v>
      </c>
      <c r="AO590" t="s">
        <v>9332</v>
      </c>
      <c r="AP590" t="s">
        <v>9333</v>
      </c>
      <c r="AQ590" t="s">
        <v>74</v>
      </c>
      <c r="AR590" t="s">
        <v>9334</v>
      </c>
      <c r="AS590" t="s">
        <v>9335</v>
      </c>
      <c r="AT590" t="s">
        <v>183</v>
      </c>
      <c r="AU590">
        <v>2023</v>
      </c>
      <c r="AV590">
        <v>13</v>
      </c>
      <c r="AW590">
        <v>10</v>
      </c>
      <c r="AX590" t="s">
        <v>74</v>
      </c>
      <c r="AY590" t="s">
        <v>74</v>
      </c>
      <c r="AZ590" t="s">
        <v>1070</v>
      </c>
      <c r="BA590" t="s">
        <v>74</v>
      </c>
      <c r="BB590">
        <v>8685</v>
      </c>
      <c r="BC590">
        <v>8699</v>
      </c>
      <c r="BD590" t="s">
        <v>74</v>
      </c>
      <c r="BE590" t="s">
        <v>11462</v>
      </c>
      <c r="BF590" t="str">
        <f>HYPERLINK("http://dx.doi.org/10.1007/s13399-020-01151-9","http://dx.doi.org/10.1007/s13399-020-01151-9")</f>
        <v>http://dx.doi.org/10.1007/s13399-020-01151-9</v>
      </c>
      <c r="BG590" t="s">
        <v>74</v>
      </c>
      <c r="BH590" t="s">
        <v>11463</v>
      </c>
      <c r="BI590">
        <v>15</v>
      </c>
      <c r="BJ590" t="s">
        <v>2979</v>
      </c>
      <c r="BK590" t="s">
        <v>102</v>
      </c>
      <c r="BL590" t="s">
        <v>2980</v>
      </c>
      <c r="BM590" t="s">
        <v>11464</v>
      </c>
      <c r="BN590" t="s">
        <v>74</v>
      </c>
      <c r="BO590" t="s">
        <v>74</v>
      </c>
      <c r="BP590" t="s">
        <v>74</v>
      </c>
      <c r="BQ590" t="s">
        <v>74</v>
      </c>
      <c r="BR590" t="s">
        <v>106</v>
      </c>
      <c r="BS590" t="s">
        <v>11465</v>
      </c>
      <c r="BT590" t="str">
        <f>HYPERLINK("https%3A%2F%2Fwww.webofscience.com%2Fwos%2Fwoscc%2Ffull-record%2FWOS:000590896100001","View Full Record in Web of Science")</f>
        <v>View Full Record in Web of Science</v>
      </c>
    </row>
    <row r="591" spans="1:72" x14ac:dyDescent="0.2">
      <c r="A591" t="s">
        <v>72</v>
      </c>
      <c r="B591" t="s">
        <v>11466</v>
      </c>
      <c r="C591" t="s">
        <v>74</v>
      </c>
      <c r="D591" t="s">
        <v>74</v>
      </c>
      <c r="E591" t="s">
        <v>74</v>
      </c>
      <c r="F591" t="s">
        <v>11467</v>
      </c>
      <c r="G591" t="s">
        <v>74</v>
      </c>
      <c r="H591" t="s">
        <v>74</v>
      </c>
      <c r="I591" t="s">
        <v>11468</v>
      </c>
      <c r="J591" t="s">
        <v>1526</v>
      </c>
      <c r="K591" t="s">
        <v>74</v>
      </c>
      <c r="L591" t="s">
        <v>74</v>
      </c>
      <c r="M591" t="s">
        <v>78</v>
      </c>
      <c r="N591" t="s">
        <v>79</v>
      </c>
      <c r="O591" t="s">
        <v>74</v>
      </c>
      <c r="P591" t="s">
        <v>74</v>
      </c>
      <c r="Q591" t="s">
        <v>74</v>
      </c>
      <c r="R591" t="s">
        <v>74</v>
      </c>
      <c r="S591" t="s">
        <v>74</v>
      </c>
      <c r="T591" t="s">
        <v>11469</v>
      </c>
      <c r="U591" t="s">
        <v>11470</v>
      </c>
      <c r="V591" t="s">
        <v>11471</v>
      </c>
      <c r="W591" t="s">
        <v>11472</v>
      </c>
      <c r="X591" t="s">
        <v>7823</v>
      </c>
      <c r="Y591" t="s">
        <v>11473</v>
      </c>
      <c r="Z591" t="s">
        <v>11474</v>
      </c>
      <c r="AA591" t="s">
        <v>11475</v>
      </c>
      <c r="AB591" t="s">
        <v>74</v>
      </c>
      <c r="AC591" t="s">
        <v>11476</v>
      </c>
      <c r="AD591" t="s">
        <v>11477</v>
      </c>
      <c r="AE591" t="s">
        <v>11478</v>
      </c>
      <c r="AF591" t="s">
        <v>74</v>
      </c>
      <c r="AG591">
        <v>47</v>
      </c>
      <c r="AH591">
        <v>58</v>
      </c>
      <c r="AI591">
        <v>73</v>
      </c>
      <c r="AJ591">
        <v>8</v>
      </c>
      <c r="AK591">
        <v>356</v>
      </c>
      <c r="AL591" t="s">
        <v>176</v>
      </c>
      <c r="AM591" t="s">
        <v>1610</v>
      </c>
      <c r="AN591" t="s">
        <v>1611</v>
      </c>
      <c r="AO591" t="s">
        <v>1538</v>
      </c>
      <c r="AP591" t="s">
        <v>1539</v>
      </c>
      <c r="AQ591" t="s">
        <v>74</v>
      </c>
      <c r="AR591" t="s">
        <v>1540</v>
      </c>
      <c r="AS591" t="s">
        <v>1541</v>
      </c>
      <c r="AT591" t="s">
        <v>1632</v>
      </c>
      <c r="AU591">
        <v>2021</v>
      </c>
      <c r="AV591">
        <v>278</v>
      </c>
      <c r="AW591" t="s">
        <v>74</v>
      </c>
      <c r="AX591" t="s">
        <v>74</v>
      </c>
      <c r="AY591" t="s">
        <v>74</v>
      </c>
      <c r="AZ591" t="s">
        <v>74</v>
      </c>
      <c r="BA591" t="s">
        <v>74</v>
      </c>
      <c r="BB591" t="s">
        <v>74</v>
      </c>
      <c r="BC591" t="s">
        <v>74</v>
      </c>
      <c r="BD591">
        <v>123963</v>
      </c>
      <c r="BE591" t="s">
        <v>11479</v>
      </c>
      <c r="BF591" t="str">
        <f>HYPERLINK("http://dx.doi.org/10.1016/j.jclepro.2020.123963","http://dx.doi.org/10.1016/j.jclepro.2020.123963")</f>
        <v>http://dx.doi.org/10.1016/j.jclepro.2020.123963</v>
      </c>
      <c r="BG591" t="s">
        <v>74</v>
      </c>
      <c r="BH591" t="s">
        <v>74</v>
      </c>
      <c r="BI591">
        <v>15</v>
      </c>
      <c r="BJ591" t="s">
        <v>1543</v>
      </c>
      <c r="BK591" t="s">
        <v>102</v>
      </c>
      <c r="BL591" t="s">
        <v>1544</v>
      </c>
      <c r="BM591" t="s">
        <v>11480</v>
      </c>
      <c r="BN591" t="s">
        <v>74</v>
      </c>
      <c r="BO591" t="s">
        <v>74</v>
      </c>
      <c r="BP591" t="s">
        <v>74</v>
      </c>
      <c r="BQ591" t="s">
        <v>74</v>
      </c>
      <c r="BR591" t="s">
        <v>106</v>
      </c>
      <c r="BS591" t="s">
        <v>11481</v>
      </c>
      <c r="BT591" t="str">
        <f>HYPERLINK("https%3A%2F%2Fwww.webofscience.com%2Fwos%2Fwoscc%2Ffull-record%2FWOS:000595260600032","View Full Record in Web of Science")</f>
        <v>View Full Record in Web of Science</v>
      </c>
    </row>
    <row r="592" spans="1:72" x14ac:dyDescent="0.2">
      <c r="A592" t="s">
        <v>72</v>
      </c>
      <c r="B592" t="s">
        <v>11482</v>
      </c>
      <c r="C592" t="s">
        <v>74</v>
      </c>
      <c r="D592" t="s">
        <v>74</v>
      </c>
      <c r="E592" t="s">
        <v>74</v>
      </c>
      <c r="F592" t="s">
        <v>11483</v>
      </c>
      <c r="G592" t="s">
        <v>74</v>
      </c>
      <c r="H592" t="s">
        <v>74</v>
      </c>
      <c r="I592" t="s">
        <v>11484</v>
      </c>
      <c r="J592" t="s">
        <v>995</v>
      </c>
      <c r="K592" t="s">
        <v>74</v>
      </c>
      <c r="L592" t="s">
        <v>74</v>
      </c>
      <c r="M592" t="s">
        <v>78</v>
      </c>
      <c r="N592" t="s">
        <v>79</v>
      </c>
      <c r="O592" t="s">
        <v>74</v>
      </c>
      <c r="P592" t="s">
        <v>74</v>
      </c>
      <c r="Q592" t="s">
        <v>74</v>
      </c>
      <c r="R592" t="s">
        <v>74</v>
      </c>
      <c r="S592" t="s">
        <v>74</v>
      </c>
      <c r="T592" t="s">
        <v>11485</v>
      </c>
      <c r="U592" t="s">
        <v>11486</v>
      </c>
      <c r="V592" t="s">
        <v>11487</v>
      </c>
      <c r="W592" t="s">
        <v>11488</v>
      </c>
      <c r="X592" t="s">
        <v>11489</v>
      </c>
      <c r="Y592" t="s">
        <v>11490</v>
      </c>
      <c r="Z592" t="s">
        <v>11491</v>
      </c>
      <c r="AA592" t="s">
        <v>74</v>
      </c>
      <c r="AB592" t="s">
        <v>11492</v>
      </c>
      <c r="AC592" t="s">
        <v>11493</v>
      </c>
      <c r="AD592" t="s">
        <v>3385</v>
      </c>
      <c r="AE592" t="s">
        <v>11494</v>
      </c>
      <c r="AF592" t="s">
        <v>74</v>
      </c>
      <c r="AG592">
        <v>60</v>
      </c>
      <c r="AH592">
        <v>25</v>
      </c>
      <c r="AI592">
        <v>28</v>
      </c>
      <c r="AJ592">
        <v>4</v>
      </c>
      <c r="AK592">
        <v>191</v>
      </c>
      <c r="AL592" t="s">
        <v>123</v>
      </c>
      <c r="AM592" t="s">
        <v>124</v>
      </c>
      <c r="AN592" t="s">
        <v>125</v>
      </c>
      <c r="AO592" t="s">
        <v>1008</v>
      </c>
      <c r="AP592" t="s">
        <v>1009</v>
      </c>
      <c r="AQ592" t="s">
        <v>74</v>
      </c>
      <c r="AR592" t="s">
        <v>1010</v>
      </c>
      <c r="AS592" t="s">
        <v>1011</v>
      </c>
      <c r="AT592" t="s">
        <v>411</v>
      </c>
      <c r="AU592">
        <v>2020</v>
      </c>
      <c r="AV592">
        <v>735</v>
      </c>
      <c r="AW592" t="s">
        <v>74</v>
      </c>
      <c r="AX592" t="s">
        <v>74</v>
      </c>
      <c r="AY592" t="s">
        <v>74</v>
      </c>
      <c r="AZ592" t="s">
        <v>74</v>
      </c>
      <c r="BA592" t="s">
        <v>74</v>
      </c>
      <c r="BB592" t="s">
        <v>74</v>
      </c>
      <c r="BC592" t="s">
        <v>74</v>
      </c>
      <c r="BD592">
        <v>139506</v>
      </c>
      <c r="BE592" t="s">
        <v>11495</v>
      </c>
      <c r="BF592" t="str">
        <f>HYPERLINK("http://dx.doi.org/10.1016/j.scitotenv.2020.139506","http://dx.doi.org/10.1016/j.scitotenv.2020.139506")</f>
        <v>http://dx.doi.org/10.1016/j.scitotenv.2020.139506</v>
      </c>
      <c r="BG592" t="s">
        <v>74</v>
      </c>
      <c r="BH592" t="s">
        <v>74</v>
      </c>
      <c r="BI592">
        <v>11</v>
      </c>
      <c r="BJ592" t="s">
        <v>567</v>
      </c>
      <c r="BK592" t="s">
        <v>102</v>
      </c>
      <c r="BL592" t="s">
        <v>568</v>
      </c>
      <c r="BM592" t="s">
        <v>11496</v>
      </c>
      <c r="BN592">
        <v>32470674</v>
      </c>
      <c r="BO592" t="s">
        <v>74</v>
      </c>
      <c r="BP592" t="s">
        <v>74</v>
      </c>
      <c r="BQ592" t="s">
        <v>74</v>
      </c>
      <c r="BR592" t="s">
        <v>106</v>
      </c>
      <c r="BS592" t="s">
        <v>11497</v>
      </c>
      <c r="BT592" t="str">
        <f>HYPERLINK("https%3A%2F%2Fwww.webofscience.com%2Fwos%2Fwoscc%2Ffull-record%2FWOS:000542562600002","View Full Record in Web of Science")</f>
        <v>View Full Record in Web of Science</v>
      </c>
    </row>
    <row r="593" spans="1:72" x14ac:dyDescent="0.2">
      <c r="A593" t="s">
        <v>72</v>
      </c>
      <c r="B593" t="s">
        <v>11498</v>
      </c>
      <c r="C593" t="s">
        <v>74</v>
      </c>
      <c r="D593" t="s">
        <v>74</v>
      </c>
      <c r="E593" t="s">
        <v>74</v>
      </c>
      <c r="F593" t="s">
        <v>11499</v>
      </c>
      <c r="G593" t="s">
        <v>74</v>
      </c>
      <c r="H593" t="s">
        <v>74</v>
      </c>
      <c r="I593" t="s">
        <v>11500</v>
      </c>
      <c r="J593" t="s">
        <v>1231</v>
      </c>
      <c r="K593" t="s">
        <v>74</v>
      </c>
      <c r="L593" t="s">
        <v>74</v>
      </c>
      <c r="M593" t="s">
        <v>78</v>
      </c>
      <c r="N593" t="s">
        <v>79</v>
      </c>
      <c r="O593" t="s">
        <v>74</v>
      </c>
      <c r="P593" t="s">
        <v>74</v>
      </c>
      <c r="Q593" t="s">
        <v>74</v>
      </c>
      <c r="R593" t="s">
        <v>74</v>
      </c>
      <c r="S593" t="s">
        <v>74</v>
      </c>
      <c r="T593" t="s">
        <v>11501</v>
      </c>
      <c r="U593" t="s">
        <v>11502</v>
      </c>
      <c r="V593" t="s">
        <v>11503</v>
      </c>
      <c r="W593" t="s">
        <v>11504</v>
      </c>
      <c r="X593" t="s">
        <v>11505</v>
      </c>
      <c r="Y593" t="s">
        <v>11506</v>
      </c>
      <c r="Z593" t="s">
        <v>11507</v>
      </c>
      <c r="AA593" t="s">
        <v>11508</v>
      </c>
      <c r="AB593" t="s">
        <v>11509</v>
      </c>
      <c r="AC593" t="s">
        <v>11510</v>
      </c>
      <c r="AD593" t="s">
        <v>1591</v>
      </c>
      <c r="AE593" t="s">
        <v>11511</v>
      </c>
      <c r="AF593" t="s">
        <v>74</v>
      </c>
      <c r="AG593">
        <v>78</v>
      </c>
      <c r="AH593">
        <v>12</v>
      </c>
      <c r="AI593">
        <v>12</v>
      </c>
      <c r="AJ593">
        <v>6</v>
      </c>
      <c r="AK593">
        <v>92</v>
      </c>
      <c r="AL593" t="s">
        <v>1242</v>
      </c>
      <c r="AM593" t="s">
        <v>1243</v>
      </c>
      <c r="AN593" t="s">
        <v>1244</v>
      </c>
      <c r="AO593" t="s">
        <v>1245</v>
      </c>
      <c r="AP593" t="s">
        <v>1246</v>
      </c>
      <c r="AQ593" t="s">
        <v>74</v>
      </c>
      <c r="AR593" t="s">
        <v>1247</v>
      </c>
      <c r="AS593" t="s">
        <v>1248</v>
      </c>
      <c r="AT593" t="s">
        <v>459</v>
      </c>
      <c r="AU593">
        <v>2024</v>
      </c>
      <c r="AV593">
        <v>31</v>
      </c>
      <c r="AW593">
        <v>7</v>
      </c>
      <c r="AX593" t="s">
        <v>74</v>
      </c>
      <c r="AY593" t="s">
        <v>74</v>
      </c>
      <c r="AZ593" t="s">
        <v>74</v>
      </c>
      <c r="BA593" t="s">
        <v>74</v>
      </c>
      <c r="BB593">
        <v>10133</v>
      </c>
      <c r="BC593">
        <v>10147</v>
      </c>
      <c r="BD593" t="s">
        <v>74</v>
      </c>
      <c r="BE593" t="s">
        <v>11512</v>
      </c>
      <c r="BF593" t="str">
        <f>HYPERLINK("http://dx.doi.org/10.1007/s11356-023-25763-6","http://dx.doi.org/10.1007/s11356-023-25763-6")</f>
        <v>http://dx.doi.org/10.1007/s11356-023-25763-6</v>
      </c>
      <c r="BG593" t="s">
        <v>74</v>
      </c>
      <c r="BH593" t="s">
        <v>1250</v>
      </c>
      <c r="BI593">
        <v>15</v>
      </c>
      <c r="BJ593" t="s">
        <v>567</v>
      </c>
      <c r="BK593" t="s">
        <v>102</v>
      </c>
      <c r="BL593" t="s">
        <v>568</v>
      </c>
      <c r="BM593" t="s">
        <v>11513</v>
      </c>
      <c r="BN593">
        <v>36787071</v>
      </c>
      <c r="BO593" t="s">
        <v>11514</v>
      </c>
      <c r="BP593" t="s">
        <v>74</v>
      </c>
      <c r="BQ593" t="s">
        <v>74</v>
      </c>
      <c r="BR593" t="s">
        <v>106</v>
      </c>
      <c r="BS593" t="s">
        <v>11515</v>
      </c>
      <c r="BT593" t="str">
        <f>HYPERLINK("https%3A%2F%2Fwww.webofscience.com%2Fwos%2Fwoscc%2Ffull-record%2FWOS:000933447000020","View Full Record in Web of Science")</f>
        <v>View Full Record in Web of Science</v>
      </c>
    </row>
    <row r="594" spans="1:72" x14ac:dyDescent="0.2">
      <c r="A594" t="s">
        <v>72</v>
      </c>
      <c r="B594" t="s">
        <v>11516</v>
      </c>
      <c r="C594" t="s">
        <v>74</v>
      </c>
      <c r="D594" t="s">
        <v>74</v>
      </c>
      <c r="E594" t="s">
        <v>74</v>
      </c>
      <c r="F594" t="s">
        <v>11517</v>
      </c>
      <c r="G594" t="s">
        <v>74</v>
      </c>
      <c r="H594" t="s">
        <v>74</v>
      </c>
      <c r="I594" t="s">
        <v>11518</v>
      </c>
      <c r="J594" t="s">
        <v>3394</v>
      </c>
      <c r="K594" t="s">
        <v>74</v>
      </c>
      <c r="L594" t="s">
        <v>74</v>
      </c>
      <c r="M594" t="s">
        <v>78</v>
      </c>
      <c r="N594" t="s">
        <v>79</v>
      </c>
      <c r="O594" t="s">
        <v>74</v>
      </c>
      <c r="P594" t="s">
        <v>74</v>
      </c>
      <c r="Q594" t="s">
        <v>74</v>
      </c>
      <c r="R594" t="s">
        <v>74</v>
      </c>
      <c r="S594" t="s">
        <v>74</v>
      </c>
      <c r="T594" t="s">
        <v>11519</v>
      </c>
      <c r="U594" t="s">
        <v>11520</v>
      </c>
      <c r="V594" t="s">
        <v>11521</v>
      </c>
      <c r="W594" t="s">
        <v>11522</v>
      </c>
      <c r="X594" t="s">
        <v>11523</v>
      </c>
      <c r="Y594" t="s">
        <v>11524</v>
      </c>
      <c r="Z594" t="s">
        <v>11525</v>
      </c>
      <c r="AA594" t="s">
        <v>11526</v>
      </c>
      <c r="AB594" t="s">
        <v>11527</v>
      </c>
      <c r="AC594" t="s">
        <v>74</v>
      </c>
      <c r="AD594" t="s">
        <v>74</v>
      </c>
      <c r="AE594" t="s">
        <v>74</v>
      </c>
      <c r="AF594" t="s">
        <v>74</v>
      </c>
      <c r="AG594">
        <v>79</v>
      </c>
      <c r="AH594">
        <v>19</v>
      </c>
      <c r="AI594">
        <v>22</v>
      </c>
      <c r="AJ594">
        <v>4</v>
      </c>
      <c r="AK594">
        <v>57</v>
      </c>
      <c r="AL594" t="s">
        <v>123</v>
      </c>
      <c r="AM594" t="s">
        <v>124</v>
      </c>
      <c r="AN594" t="s">
        <v>125</v>
      </c>
      <c r="AO594" t="s">
        <v>11528</v>
      </c>
      <c r="AP594" t="s">
        <v>74</v>
      </c>
      <c r="AQ594" t="s">
        <v>74</v>
      </c>
      <c r="AR594" t="s">
        <v>11529</v>
      </c>
      <c r="AS594" t="s">
        <v>11530</v>
      </c>
      <c r="AT594" t="s">
        <v>1752</v>
      </c>
      <c r="AU594">
        <v>2023</v>
      </c>
      <c r="AV594">
        <v>62</v>
      </c>
      <c r="AW594" t="s">
        <v>74</v>
      </c>
      <c r="AX594" t="s">
        <v>74</v>
      </c>
      <c r="AY594" t="s">
        <v>74</v>
      </c>
      <c r="AZ594" t="s">
        <v>74</v>
      </c>
      <c r="BA594" t="s">
        <v>74</v>
      </c>
      <c r="BB594" t="s">
        <v>74</v>
      </c>
      <c r="BC594" t="s">
        <v>74</v>
      </c>
      <c r="BD594">
        <v>101537</v>
      </c>
      <c r="BE594" t="s">
        <v>11531</v>
      </c>
      <c r="BF594" t="str">
        <f>HYPERLINK("http://dx.doi.org/10.1016/j.ecoser.2023.101537","http://dx.doi.org/10.1016/j.ecoser.2023.101537")</f>
        <v>http://dx.doi.org/10.1016/j.ecoser.2023.101537</v>
      </c>
      <c r="BG594" t="s">
        <v>74</v>
      </c>
      <c r="BH594" t="s">
        <v>6031</v>
      </c>
      <c r="BI594">
        <v>12</v>
      </c>
      <c r="BJ594" t="s">
        <v>11532</v>
      </c>
      <c r="BK594" t="s">
        <v>186</v>
      </c>
      <c r="BL594" t="s">
        <v>568</v>
      </c>
      <c r="BM594" t="s">
        <v>11533</v>
      </c>
      <c r="BN594" t="s">
        <v>74</v>
      </c>
      <c r="BO594" t="s">
        <v>74</v>
      </c>
      <c r="BP594" t="s">
        <v>74</v>
      </c>
      <c r="BQ594" t="s">
        <v>74</v>
      </c>
      <c r="BR594" t="s">
        <v>106</v>
      </c>
      <c r="BS594" t="s">
        <v>11534</v>
      </c>
      <c r="BT594" t="str">
        <f>HYPERLINK("https%3A%2F%2Fwww.webofscience.com%2Fwos%2Fwoscc%2Ffull-record%2FWOS:001024613400001","View Full Record in Web of Science")</f>
        <v>View Full Record in Web of Science</v>
      </c>
    </row>
    <row r="595" spans="1:72" x14ac:dyDescent="0.2">
      <c r="A595" t="s">
        <v>72</v>
      </c>
      <c r="B595" t="s">
        <v>11535</v>
      </c>
      <c r="C595" t="s">
        <v>74</v>
      </c>
      <c r="D595" t="s">
        <v>74</v>
      </c>
      <c r="E595" t="s">
        <v>74</v>
      </c>
      <c r="F595" t="s">
        <v>11536</v>
      </c>
      <c r="G595" t="s">
        <v>74</v>
      </c>
      <c r="H595" t="s">
        <v>74</v>
      </c>
      <c r="I595" t="s">
        <v>11537</v>
      </c>
      <c r="J595" t="s">
        <v>10032</v>
      </c>
      <c r="K595" t="s">
        <v>74</v>
      </c>
      <c r="L595" t="s">
        <v>74</v>
      </c>
      <c r="M595" t="s">
        <v>78</v>
      </c>
      <c r="N595" t="s">
        <v>79</v>
      </c>
      <c r="O595" t="s">
        <v>74</v>
      </c>
      <c r="P595" t="s">
        <v>74</v>
      </c>
      <c r="Q595" t="s">
        <v>74</v>
      </c>
      <c r="R595" t="s">
        <v>74</v>
      </c>
      <c r="S595" t="s">
        <v>74</v>
      </c>
      <c r="T595" t="s">
        <v>74</v>
      </c>
      <c r="U595" t="s">
        <v>11538</v>
      </c>
      <c r="V595" t="s">
        <v>11539</v>
      </c>
      <c r="W595" t="s">
        <v>11540</v>
      </c>
      <c r="X595" t="s">
        <v>11541</v>
      </c>
      <c r="Y595" t="s">
        <v>11542</v>
      </c>
      <c r="Z595" t="s">
        <v>11543</v>
      </c>
      <c r="AA595" t="s">
        <v>11544</v>
      </c>
      <c r="AB595" t="s">
        <v>11545</v>
      </c>
      <c r="AC595" t="s">
        <v>11546</v>
      </c>
      <c r="AD595" t="s">
        <v>11547</v>
      </c>
      <c r="AE595" t="s">
        <v>11548</v>
      </c>
      <c r="AF595" t="s">
        <v>74</v>
      </c>
      <c r="AG595">
        <v>68</v>
      </c>
      <c r="AH595">
        <v>4</v>
      </c>
      <c r="AI595">
        <v>5</v>
      </c>
      <c r="AJ595">
        <v>0</v>
      </c>
      <c r="AK595">
        <v>14</v>
      </c>
      <c r="AL595" t="s">
        <v>3289</v>
      </c>
      <c r="AM595" t="s">
        <v>3290</v>
      </c>
      <c r="AN595" t="s">
        <v>3291</v>
      </c>
      <c r="AO595" t="s">
        <v>10044</v>
      </c>
      <c r="AP595" t="s">
        <v>10045</v>
      </c>
      <c r="AQ595" t="s">
        <v>74</v>
      </c>
      <c r="AR595" t="s">
        <v>10046</v>
      </c>
      <c r="AS595" t="s">
        <v>10047</v>
      </c>
      <c r="AT595" t="s">
        <v>5141</v>
      </c>
      <c r="AU595">
        <v>2023</v>
      </c>
      <c r="AV595">
        <v>23</v>
      </c>
      <c r="AW595">
        <v>3</v>
      </c>
      <c r="AX595" t="s">
        <v>74</v>
      </c>
      <c r="AY595" t="s">
        <v>74</v>
      </c>
      <c r="AZ595" t="s">
        <v>74</v>
      </c>
      <c r="BA595" t="s">
        <v>74</v>
      </c>
      <c r="BB595">
        <v>2293</v>
      </c>
      <c r="BC595">
        <v>2314</v>
      </c>
      <c r="BD595" t="s">
        <v>74</v>
      </c>
      <c r="BE595" t="s">
        <v>11549</v>
      </c>
      <c r="BF595" t="str">
        <f>HYPERLINK("http://dx.doi.org/10.5194/acp-23-2293-2023","http://dx.doi.org/10.5194/acp-23-2293-2023")</f>
        <v>http://dx.doi.org/10.5194/acp-23-2293-2023</v>
      </c>
      <c r="BG595" t="s">
        <v>74</v>
      </c>
      <c r="BH595" t="s">
        <v>74</v>
      </c>
      <c r="BI595">
        <v>22</v>
      </c>
      <c r="BJ595" t="s">
        <v>782</v>
      </c>
      <c r="BK595" t="s">
        <v>102</v>
      </c>
      <c r="BL595" t="s">
        <v>783</v>
      </c>
      <c r="BM595" t="s">
        <v>11550</v>
      </c>
      <c r="BN595" t="s">
        <v>74</v>
      </c>
      <c r="BO595" t="s">
        <v>161</v>
      </c>
      <c r="BP595" t="s">
        <v>74</v>
      </c>
      <c r="BQ595" t="s">
        <v>74</v>
      </c>
      <c r="BR595" t="s">
        <v>106</v>
      </c>
      <c r="BS595" t="s">
        <v>11551</v>
      </c>
      <c r="BT595" t="str">
        <f>HYPERLINK("https%3A%2F%2Fwww.webofscience.com%2Fwos%2Fwoscc%2Ffull-record%2FWOS:000935348600001","View Full Record in Web of Science")</f>
        <v>View Full Record in Web of Science</v>
      </c>
    </row>
    <row r="596" spans="1:72" x14ac:dyDescent="0.2">
      <c r="A596" t="s">
        <v>72</v>
      </c>
      <c r="B596" t="s">
        <v>11552</v>
      </c>
      <c r="C596" t="s">
        <v>74</v>
      </c>
      <c r="D596" t="s">
        <v>74</v>
      </c>
      <c r="E596" t="s">
        <v>74</v>
      </c>
      <c r="F596" t="s">
        <v>11553</v>
      </c>
      <c r="G596" t="s">
        <v>74</v>
      </c>
      <c r="H596" t="s">
        <v>74</v>
      </c>
      <c r="I596" t="s">
        <v>11554</v>
      </c>
      <c r="J596" t="s">
        <v>491</v>
      </c>
      <c r="K596" t="s">
        <v>74</v>
      </c>
      <c r="L596" t="s">
        <v>74</v>
      </c>
      <c r="M596" t="s">
        <v>78</v>
      </c>
      <c r="N596" t="s">
        <v>79</v>
      </c>
      <c r="O596" t="s">
        <v>74</v>
      </c>
      <c r="P596" t="s">
        <v>74</v>
      </c>
      <c r="Q596" t="s">
        <v>74</v>
      </c>
      <c r="R596" t="s">
        <v>74</v>
      </c>
      <c r="S596" t="s">
        <v>74</v>
      </c>
      <c r="T596" t="s">
        <v>11555</v>
      </c>
      <c r="U596" t="s">
        <v>11556</v>
      </c>
      <c r="V596" t="s">
        <v>11557</v>
      </c>
      <c r="W596" t="s">
        <v>11558</v>
      </c>
      <c r="X596" t="s">
        <v>11559</v>
      </c>
      <c r="Y596" t="s">
        <v>11560</v>
      </c>
      <c r="Z596" t="s">
        <v>11561</v>
      </c>
      <c r="AA596" t="s">
        <v>11562</v>
      </c>
      <c r="AB596" t="s">
        <v>11563</v>
      </c>
      <c r="AC596" t="s">
        <v>74</v>
      </c>
      <c r="AD596" t="s">
        <v>74</v>
      </c>
      <c r="AE596" t="s">
        <v>74</v>
      </c>
      <c r="AF596" t="s">
        <v>74</v>
      </c>
      <c r="AG596">
        <v>98</v>
      </c>
      <c r="AH596">
        <v>15</v>
      </c>
      <c r="AI596">
        <v>17</v>
      </c>
      <c r="AJ596">
        <v>2</v>
      </c>
      <c r="AK596">
        <v>19</v>
      </c>
      <c r="AL596" t="s">
        <v>504</v>
      </c>
      <c r="AM596" t="s">
        <v>505</v>
      </c>
      <c r="AN596" t="s">
        <v>506</v>
      </c>
      <c r="AO596" t="s">
        <v>507</v>
      </c>
      <c r="AP596" t="s">
        <v>508</v>
      </c>
      <c r="AQ596" t="s">
        <v>74</v>
      </c>
      <c r="AR596" t="s">
        <v>509</v>
      </c>
      <c r="AS596" t="s">
        <v>510</v>
      </c>
      <c r="AT596" t="s">
        <v>99</v>
      </c>
      <c r="AU596">
        <v>2023</v>
      </c>
      <c r="AV596">
        <v>25</v>
      </c>
      <c r="AW596">
        <v>3</v>
      </c>
      <c r="AX596" t="s">
        <v>74</v>
      </c>
      <c r="AY596" t="s">
        <v>74</v>
      </c>
      <c r="AZ596" t="s">
        <v>74</v>
      </c>
      <c r="BA596" t="s">
        <v>74</v>
      </c>
      <c r="BB596">
        <v>2419</v>
      </c>
      <c r="BC596">
        <v>2442</v>
      </c>
      <c r="BD596" t="s">
        <v>74</v>
      </c>
      <c r="BE596" t="s">
        <v>11564</v>
      </c>
      <c r="BF596" t="str">
        <f>HYPERLINK("http://dx.doi.org/10.1007/s10668-022-02133-9","http://dx.doi.org/10.1007/s10668-022-02133-9")</f>
        <v>http://dx.doi.org/10.1007/s10668-022-02133-9</v>
      </c>
      <c r="BG596" t="s">
        <v>74</v>
      </c>
      <c r="BH596" t="s">
        <v>7201</v>
      </c>
      <c r="BI596">
        <v>24</v>
      </c>
      <c r="BJ596" t="s">
        <v>514</v>
      </c>
      <c r="BK596" t="s">
        <v>102</v>
      </c>
      <c r="BL596" t="s">
        <v>485</v>
      </c>
      <c r="BM596" t="s">
        <v>11565</v>
      </c>
      <c r="BN596" t="s">
        <v>74</v>
      </c>
      <c r="BO596" t="s">
        <v>74</v>
      </c>
      <c r="BP596" t="s">
        <v>74</v>
      </c>
      <c r="BQ596" t="s">
        <v>74</v>
      </c>
      <c r="BR596" t="s">
        <v>106</v>
      </c>
      <c r="BS596" t="s">
        <v>11566</v>
      </c>
      <c r="BT596" t="str">
        <f>HYPERLINK("https%3A%2F%2Fwww.webofscience.com%2Fwos%2Fwoscc%2Ffull-record%2FWOS:000749019200003","View Full Record in Web of Science")</f>
        <v>View Full Record in Web of Science</v>
      </c>
    </row>
    <row r="597" spans="1:72" x14ac:dyDescent="0.2">
      <c r="A597" t="s">
        <v>72</v>
      </c>
      <c r="B597" t="s">
        <v>11567</v>
      </c>
      <c r="C597" t="s">
        <v>74</v>
      </c>
      <c r="D597" t="s">
        <v>74</v>
      </c>
      <c r="E597" t="s">
        <v>74</v>
      </c>
      <c r="F597" t="s">
        <v>11568</v>
      </c>
      <c r="G597" t="s">
        <v>74</v>
      </c>
      <c r="H597" t="s">
        <v>74</v>
      </c>
      <c r="I597" t="s">
        <v>11569</v>
      </c>
      <c r="J597" t="s">
        <v>1136</v>
      </c>
      <c r="K597" t="s">
        <v>74</v>
      </c>
      <c r="L597" t="s">
        <v>74</v>
      </c>
      <c r="M597" t="s">
        <v>78</v>
      </c>
      <c r="N597" t="s">
        <v>79</v>
      </c>
      <c r="O597" t="s">
        <v>74</v>
      </c>
      <c r="P597" t="s">
        <v>74</v>
      </c>
      <c r="Q597" t="s">
        <v>74</v>
      </c>
      <c r="R597" t="s">
        <v>74</v>
      </c>
      <c r="S597" t="s">
        <v>74</v>
      </c>
      <c r="T597" t="s">
        <v>11570</v>
      </c>
      <c r="U597" t="s">
        <v>74</v>
      </c>
      <c r="V597" t="s">
        <v>11571</v>
      </c>
      <c r="W597" t="s">
        <v>11572</v>
      </c>
      <c r="X597" t="s">
        <v>11573</v>
      </c>
      <c r="Y597" t="s">
        <v>11574</v>
      </c>
      <c r="Z597" t="s">
        <v>11575</v>
      </c>
      <c r="AA597" t="s">
        <v>11576</v>
      </c>
      <c r="AB597" t="s">
        <v>11577</v>
      </c>
      <c r="AC597" t="s">
        <v>11578</v>
      </c>
      <c r="AD597" t="s">
        <v>11579</v>
      </c>
      <c r="AE597" t="s">
        <v>11580</v>
      </c>
      <c r="AF597" t="s">
        <v>74</v>
      </c>
      <c r="AG597">
        <v>56</v>
      </c>
      <c r="AH597">
        <v>12</v>
      </c>
      <c r="AI597">
        <v>13</v>
      </c>
      <c r="AJ597">
        <v>0</v>
      </c>
      <c r="AK597">
        <v>48</v>
      </c>
      <c r="AL597" t="s">
        <v>1148</v>
      </c>
      <c r="AM597" t="s">
        <v>93</v>
      </c>
      <c r="AN597" t="s">
        <v>1149</v>
      </c>
      <c r="AO597" t="s">
        <v>1150</v>
      </c>
      <c r="AP597" t="s">
        <v>74</v>
      </c>
      <c r="AQ597" t="s">
        <v>74</v>
      </c>
      <c r="AR597" t="s">
        <v>1151</v>
      </c>
      <c r="AS597" t="s">
        <v>1152</v>
      </c>
      <c r="AT597" t="s">
        <v>11581</v>
      </c>
      <c r="AU597">
        <v>2021</v>
      </c>
      <c r="AV597">
        <v>16</v>
      </c>
      <c r="AW597">
        <v>1</v>
      </c>
      <c r="AX597" t="s">
        <v>74</v>
      </c>
      <c r="AY597" t="s">
        <v>74</v>
      </c>
      <c r="AZ597" t="s">
        <v>74</v>
      </c>
      <c r="BA597" t="s">
        <v>74</v>
      </c>
      <c r="BB597" t="s">
        <v>74</v>
      </c>
      <c r="BC597" t="s">
        <v>74</v>
      </c>
      <c r="BD597">
        <v>4</v>
      </c>
      <c r="BE597" t="s">
        <v>11582</v>
      </c>
      <c r="BF597" t="str">
        <f>HYPERLINK("http://dx.doi.org/10.1186/s13021-020-00166-z","http://dx.doi.org/10.1186/s13021-020-00166-z")</f>
        <v>http://dx.doi.org/10.1186/s13021-020-00166-z</v>
      </c>
      <c r="BG597" t="s">
        <v>74</v>
      </c>
      <c r="BH597" t="s">
        <v>74</v>
      </c>
      <c r="BI597">
        <v>15</v>
      </c>
      <c r="BJ597" t="s">
        <v>567</v>
      </c>
      <c r="BK597" t="s">
        <v>102</v>
      </c>
      <c r="BL597" t="s">
        <v>568</v>
      </c>
      <c r="BM597" t="s">
        <v>11583</v>
      </c>
      <c r="BN597">
        <v>33515367</v>
      </c>
      <c r="BO597" t="s">
        <v>161</v>
      </c>
      <c r="BP597" t="s">
        <v>74</v>
      </c>
      <c r="BQ597" t="s">
        <v>74</v>
      </c>
      <c r="BR597" t="s">
        <v>106</v>
      </c>
      <c r="BS597" t="s">
        <v>11584</v>
      </c>
      <c r="BT597" t="str">
        <f>HYPERLINK("https%3A%2F%2Fwww.webofscience.com%2Fwos%2Fwoscc%2Ffull-record%2FWOS:000613470200001","View Full Record in Web of Science")</f>
        <v>View Full Record in Web of Science</v>
      </c>
    </row>
    <row r="598" spans="1:72" x14ac:dyDescent="0.2">
      <c r="A598" t="s">
        <v>72</v>
      </c>
      <c r="B598" t="s">
        <v>11585</v>
      </c>
      <c r="C598" t="s">
        <v>74</v>
      </c>
      <c r="D598" t="s">
        <v>74</v>
      </c>
      <c r="E598" t="s">
        <v>74</v>
      </c>
      <c r="F598" t="s">
        <v>11586</v>
      </c>
      <c r="G598" t="s">
        <v>74</v>
      </c>
      <c r="H598" t="s">
        <v>74</v>
      </c>
      <c r="I598" t="s">
        <v>11587</v>
      </c>
      <c r="J598" t="s">
        <v>446</v>
      </c>
      <c r="K598" t="s">
        <v>74</v>
      </c>
      <c r="L598" t="s">
        <v>74</v>
      </c>
      <c r="M598" t="s">
        <v>78</v>
      </c>
      <c r="N598" t="s">
        <v>79</v>
      </c>
      <c r="O598" t="s">
        <v>74</v>
      </c>
      <c r="P598" t="s">
        <v>74</v>
      </c>
      <c r="Q598" t="s">
        <v>74</v>
      </c>
      <c r="R598" t="s">
        <v>74</v>
      </c>
      <c r="S598" t="s">
        <v>74</v>
      </c>
      <c r="T598" t="s">
        <v>11588</v>
      </c>
      <c r="U598" t="s">
        <v>11589</v>
      </c>
      <c r="V598" t="s">
        <v>11590</v>
      </c>
      <c r="W598" t="s">
        <v>11591</v>
      </c>
      <c r="X598" t="s">
        <v>11592</v>
      </c>
      <c r="Y598" t="s">
        <v>11593</v>
      </c>
      <c r="Z598" t="s">
        <v>11594</v>
      </c>
      <c r="AA598" t="s">
        <v>11595</v>
      </c>
      <c r="AB598" t="s">
        <v>74</v>
      </c>
      <c r="AC598" t="s">
        <v>11596</v>
      </c>
      <c r="AD598" t="s">
        <v>11597</v>
      </c>
      <c r="AE598" t="s">
        <v>11598</v>
      </c>
      <c r="AF598" t="s">
        <v>74</v>
      </c>
      <c r="AG598">
        <v>94</v>
      </c>
      <c r="AH598">
        <v>0</v>
      </c>
      <c r="AI598">
        <v>0</v>
      </c>
      <c r="AJ598">
        <v>0</v>
      </c>
      <c r="AK598">
        <v>0</v>
      </c>
      <c r="AL598" t="s">
        <v>222</v>
      </c>
      <c r="AM598" t="s">
        <v>223</v>
      </c>
      <c r="AN598" t="s">
        <v>478</v>
      </c>
      <c r="AO598" t="s">
        <v>74</v>
      </c>
      <c r="AP598" t="s">
        <v>457</v>
      </c>
      <c r="AQ598" t="s">
        <v>74</v>
      </c>
      <c r="AR598" t="s">
        <v>446</v>
      </c>
      <c r="AS598" t="s">
        <v>458</v>
      </c>
      <c r="AT598" t="s">
        <v>9525</v>
      </c>
      <c r="AU598">
        <v>2025</v>
      </c>
      <c r="AV598">
        <v>15</v>
      </c>
      <c r="AW598">
        <v>11</v>
      </c>
      <c r="AX598" t="s">
        <v>74</v>
      </c>
      <c r="AY598" t="s">
        <v>74</v>
      </c>
      <c r="AZ598" t="s">
        <v>74</v>
      </c>
      <c r="BA598" t="s">
        <v>74</v>
      </c>
      <c r="BB598" t="s">
        <v>74</v>
      </c>
      <c r="BC598" t="s">
        <v>74</v>
      </c>
      <c r="BD598">
        <v>2642</v>
      </c>
      <c r="BE598" t="s">
        <v>11599</v>
      </c>
      <c r="BF598" t="str">
        <f>HYPERLINK("http://dx.doi.org/10.3390/agronomy15112642","http://dx.doi.org/10.3390/agronomy15112642")</f>
        <v>http://dx.doi.org/10.3390/agronomy15112642</v>
      </c>
      <c r="BG598" t="s">
        <v>74</v>
      </c>
      <c r="BH598" t="s">
        <v>74</v>
      </c>
      <c r="BI598">
        <v>25</v>
      </c>
      <c r="BJ598" t="s">
        <v>461</v>
      </c>
      <c r="BK598" t="s">
        <v>102</v>
      </c>
      <c r="BL598" t="s">
        <v>462</v>
      </c>
      <c r="BM598" t="s">
        <v>11600</v>
      </c>
      <c r="BN598" t="s">
        <v>74</v>
      </c>
      <c r="BO598" t="s">
        <v>231</v>
      </c>
      <c r="BP598" t="s">
        <v>74</v>
      </c>
      <c r="BQ598" t="s">
        <v>74</v>
      </c>
      <c r="BR598" t="s">
        <v>106</v>
      </c>
      <c r="BS598" t="s">
        <v>11601</v>
      </c>
      <c r="BT598" t="str">
        <f>HYPERLINK("https%3A%2F%2Fwww.webofscience.com%2Fwos%2Fwoscc%2Ffull-record%2FWOS:001623431200001","View Full Record in Web of Science")</f>
        <v>View Full Record in Web of Science</v>
      </c>
    </row>
    <row r="599" spans="1:72" x14ac:dyDescent="0.2">
      <c r="A599" t="s">
        <v>72</v>
      </c>
      <c r="B599" t="s">
        <v>11602</v>
      </c>
      <c r="C599" t="s">
        <v>74</v>
      </c>
      <c r="D599" t="s">
        <v>74</v>
      </c>
      <c r="E599" t="s">
        <v>74</v>
      </c>
      <c r="F599" t="s">
        <v>11603</v>
      </c>
      <c r="G599" t="s">
        <v>74</v>
      </c>
      <c r="H599" t="s">
        <v>74</v>
      </c>
      <c r="I599" t="s">
        <v>11604</v>
      </c>
      <c r="J599" t="s">
        <v>11605</v>
      </c>
      <c r="K599" t="s">
        <v>74</v>
      </c>
      <c r="L599" t="s">
        <v>74</v>
      </c>
      <c r="M599" t="s">
        <v>78</v>
      </c>
      <c r="N599" t="s">
        <v>79</v>
      </c>
      <c r="O599" t="s">
        <v>74</v>
      </c>
      <c r="P599" t="s">
        <v>74</v>
      </c>
      <c r="Q599" t="s">
        <v>74</v>
      </c>
      <c r="R599" t="s">
        <v>74</v>
      </c>
      <c r="S599" t="s">
        <v>74</v>
      </c>
      <c r="T599" t="s">
        <v>11606</v>
      </c>
      <c r="U599" t="s">
        <v>11607</v>
      </c>
      <c r="V599" t="s">
        <v>11608</v>
      </c>
      <c r="W599" t="s">
        <v>11609</v>
      </c>
      <c r="X599" t="s">
        <v>11610</v>
      </c>
      <c r="Y599" t="s">
        <v>11611</v>
      </c>
      <c r="Z599" t="s">
        <v>11612</v>
      </c>
      <c r="AA599" t="s">
        <v>11613</v>
      </c>
      <c r="AB599" t="s">
        <v>11614</v>
      </c>
      <c r="AC599" t="s">
        <v>11615</v>
      </c>
      <c r="AD599" t="s">
        <v>11616</v>
      </c>
      <c r="AE599" t="s">
        <v>11617</v>
      </c>
      <c r="AF599" t="s">
        <v>74</v>
      </c>
      <c r="AG599">
        <v>85</v>
      </c>
      <c r="AH599">
        <v>45</v>
      </c>
      <c r="AI599">
        <v>60</v>
      </c>
      <c r="AJ599">
        <v>3</v>
      </c>
      <c r="AK599">
        <v>103</v>
      </c>
      <c r="AL599" t="s">
        <v>123</v>
      </c>
      <c r="AM599" t="s">
        <v>124</v>
      </c>
      <c r="AN599" t="s">
        <v>125</v>
      </c>
      <c r="AO599" t="s">
        <v>11618</v>
      </c>
      <c r="AP599" t="s">
        <v>11619</v>
      </c>
      <c r="AQ599" t="s">
        <v>74</v>
      </c>
      <c r="AR599" t="s">
        <v>11620</v>
      </c>
      <c r="AS599" t="s">
        <v>11621</v>
      </c>
      <c r="AT599" t="s">
        <v>1109</v>
      </c>
      <c r="AU599">
        <v>2017</v>
      </c>
      <c r="AV599">
        <v>159</v>
      </c>
      <c r="AW599" t="s">
        <v>74</v>
      </c>
      <c r="AX599" t="s">
        <v>74</v>
      </c>
      <c r="AY599" t="s">
        <v>74</v>
      </c>
      <c r="AZ599" t="s">
        <v>74</v>
      </c>
      <c r="BA599" t="s">
        <v>74</v>
      </c>
      <c r="BB599">
        <v>1</v>
      </c>
      <c r="BC599">
        <v>10</v>
      </c>
      <c r="BD599" t="s">
        <v>74</v>
      </c>
      <c r="BE599" t="s">
        <v>11622</v>
      </c>
      <c r="BF599" t="str">
        <f>HYPERLINK("http://dx.doi.org/10.1016/j.gloplacha.2017.10.002","http://dx.doi.org/10.1016/j.gloplacha.2017.10.002")</f>
        <v>http://dx.doi.org/10.1016/j.gloplacha.2017.10.002</v>
      </c>
      <c r="BG599" t="s">
        <v>74</v>
      </c>
      <c r="BH599" t="s">
        <v>74</v>
      </c>
      <c r="BI599">
        <v>10</v>
      </c>
      <c r="BJ599" t="s">
        <v>11623</v>
      </c>
      <c r="BK599" t="s">
        <v>186</v>
      </c>
      <c r="BL599" t="s">
        <v>11624</v>
      </c>
      <c r="BM599" t="s">
        <v>11625</v>
      </c>
      <c r="BN599" t="s">
        <v>74</v>
      </c>
      <c r="BO599" t="s">
        <v>541</v>
      </c>
      <c r="BP599" t="s">
        <v>74</v>
      </c>
      <c r="BQ599" t="s">
        <v>74</v>
      </c>
      <c r="BR599" t="s">
        <v>106</v>
      </c>
      <c r="BS599" t="s">
        <v>11626</v>
      </c>
      <c r="BT599" t="str">
        <f>HYPERLINK("https%3A%2F%2Fwww.webofscience.com%2Fwos%2Fwoscc%2Ffull-record%2FWOS:000419410700001","View Full Record in Web of Science")</f>
        <v>View Full Record in Web of Science</v>
      </c>
    </row>
    <row r="600" spans="1:72" x14ac:dyDescent="0.2">
      <c r="A600" t="s">
        <v>72</v>
      </c>
      <c r="B600" t="s">
        <v>11627</v>
      </c>
      <c r="C600" t="s">
        <v>74</v>
      </c>
      <c r="D600" t="s">
        <v>74</v>
      </c>
      <c r="E600" t="s">
        <v>74</v>
      </c>
      <c r="F600" t="s">
        <v>11628</v>
      </c>
      <c r="G600" t="s">
        <v>74</v>
      </c>
      <c r="H600" t="s">
        <v>74</v>
      </c>
      <c r="I600" t="s">
        <v>11629</v>
      </c>
      <c r="J600" t="s">
        <v>11630</v>
      </c>
      <c r="K600" t="s">
        <v>74</v>
      </c>
      <c r="L600" t="s">
        <v>74</v>
      </c>
      <c r="M600" t="s">
        <v>78</v>
      </c>
      <c r="N600" t="s">
        <v>79</v>
      </c>
      <c r="O600" t="s">
        <v>74</v>
      </c>
      <c r="P600" t="s">
        <v>74</v>
      </c>
      <c r="Q600" t="s">
        <v>74</v>
      </c>
      <c r="R600" t="s">
        <v>74</v>
      </c>
      <c r="S600" t="s">
        <v>74</v>
      </c>
      <c r="T600" t="s">
        <v>74</v>
      </c>
      <c r="U600" t="s">
        <v>11631</v>
      </c>
      <c r="V600" t="s">
        <v>11632</v>
      </c>
      <c r="W600" t="s">
        <v>11633</v>
      </c>
      <c r="X600" t="s">
        <v>11634</v>
      </c>
      <c r="Y600" t="s">
        <v>11635</v>
      </c>
      <c r="Z600" t="s">
        <v>11636</v>
      </c>
      <c r="AA600" t="s">
        <v>11637</v>
      </c>
      <c r="AB600" t="s">
        <v>11638</v>
      </c>
      <c r="AC600" t="s">
        <v>11639</v>
      </c>
      <c r="AD600" t="s">
        <v>11639</v>
      </c>
      <c r="AE600" t="s">
        <v>11640</v>
      </c>
      <c r="AF600" t="s">
        <v>74</v>
      </c>
      <c r="AG600">
        <v>35</v>
      </c>
      <c r="AH600">
        <v>17</v>
      </c>
      <c r="AI600">
        <v>19</v>
      </c>
      <c r="AJ600">
        <v>5</v>
      </c>
      <c r="AK600">
        <v>27</v>
      </c>
      <c r="AL600" t="s">
        <v>4166</v>
      </c>
      <c r="AM600" t="s">
        <v>531</v>
      </c>
      <c r="AN600" t="s">
        <v>4167</v>
      </c>
      <c r="AO600" t="s">
        <v>11641</v>
      </c>
      <c r="AP600" t="s">
        <v>74</v>
      </c>
      <c r="AQ600" t="s">
        <v>74</v>
      </c>
      <c r="AR600" t="s">
        <v>11630</v>
      </c>
      <c r="AS600" t="s">
        <v>11642</v>
      </c>
      <c r="AT600" t="s">
        <v>11643</v>
      </c>
      <c r="AU600">
        <v>2022</v>
      </c>
      <c r="AV600">
        <v>7</v>
      </c>
      <c r="AW600">
        <v>22</v>
      </c>
      <c r="AX600" t="s">
        <v>74</v>
      </c>
      <c r="AY600" t="s">
        <v>74</v>
      </c>
      <c r="AZ600" t="s">
        <v>74</v>
      </c>
      <c r="BA600" t="s">
        <v>74</v>
      </c>
      <c r="BB600">
        <v>18770</v>
      </c>
      <c r="BC600">
        <v>18779</v>
      </c>
      <c r="BD600" t="s">
        <v>74</v>
      </c>
      <c r="BE600" t="s">
        <v>11644</v>
      </c>
      <c r="BF600" t="str">
        <f>HYPERLINK("http://dx.doi.org/10.1021/acsomega.2c01528","http://dx.doi.org/10.1021/acsomega.2c01528")</f>
        <v>http://dx.doi.org/10.1021/acsomega.2c01528</v>
      </c>
      <c r="BG600" t="s">
        <v>74</v>
      </c>
      <c r="BH600" t="s">
        <v>3987</v>
      </c>
      <c r="BI600">
        <v>10</v>
      </c>
      <c r="BJ600" t="s">
        <v>2498</v>
      </c>
      <c r="BK600" t="s">
        <v>102</v>
      </c>
      <c r="BL600" t="s">
        <v>2499</v>
      </c>
      <c r="BM600" t="s">
        <v>11645</v>
      </c>
      <c r="BN600">
        <v>35694459</v>
      </c>
      <c r="BO600" t="s">
        <v>161</v>
      </c>
      <c r="BP600" t="s">
        <v>74</v>
      </c>
      <c r="BQ600" t="s">
        <v>74</v>
      </c>
      <c r="BR600" t="s">
        <v>106</v>
      </c>
      <c r="BS600" t="s">
        <v>11646</v>
      </c>
      <c r="BT600" t="str">
        <f>HYPERLINK("https%3A%2F%2Fwww.webofscience.com%2Fwos%2Fwoscc%2Ffull-record%2FWOS:000818974900001","View Full Record in Web of Science")</f>
        <v>View Full Record in Web of Science</v>
      </c>
    </row>
    <row r="601" spans="1:72" x14ac:dyDescent="0.2">
      <c r="A601" t="s">
        <v>72</v>
      </c>
      <c r="B601" t="s">
        <v>11647</v>
      </c>
      <c r="C601" t="s">
        <v>74</v>
      </c>
      <c r="D601" t="s">
        <v>74</v>
      </c>
      <c r="E601" t="s">
        <v>74</v>
      </c>
      <c r="F601" t="s">
        <v>11648</v>
      </c>
      <c r="G601" t="s">
        <v>74</v>
      </c>
      <c r="H601" t="s">
        <v>74</v>
      </c>
      <c r="I601" t="s">
        <v>11649</v>
      </c>
      <c r="J601" t="s">
        <v>762</v>
      </c>
      <c r="K601" t="s">
        <v>74</v>
      </c>
      <c r="L601" t="s">
        <v>74</v>
      </c>
      <c r="M601" t="s">
        <v>78</v>
      </c>
      <c r="N601" t="s">
        <v>79</v>
      </c>
      <c r="O601" t="s">
        <v>74</v>
      </c>
      <c r="P601" t="s">
        <v>74</v>
      </c>
      <c r="Q601" t="s">
        <v>74</v>
      </c>
      <c r="R601" t="s">
        <v>74</v>
      </c>
      <c r="S601" t="s">
        <v>74</v>
      </c>
      <c r="T601" t="s">
        <v>11650</v>
      </c>
      <c r="U601" t="s">
        <v>11651</v>
      </c>
      <c r="V601" t="s">
        <v>11652</v>
      </c>
      <c r="W601" t="s">
        <v>11653</v>
      </c>
      <c r="X601" t="s">
        <v>11654</v>
      </c>
      <c r="Y601" t="s">
        <v>11655</v>
      </c>
      <c r="Z601" t="s">
        <v>11656</v>
      </c>
      <c r="AA601" t="s">
        <v>11657</v>
      </c>
      <c r="AB601" t="s">
        <v>11658</v>
      </c>
      <c r="AC601" t="s">
        <v>11659</v>
      </c>
      <c r="AD601" t="s">
        <v>11660</v>
      </c>
      <c r="AE601" t="s">
        <v>11661</v>
      </c>
      <c r="AF601" t="s">
        <v>74</v>
      </c>
      <c r="AG601">
        <v>64</v>
      </c>
      <c r="AH601">
        <v>2</v>
      </c>
      <c r="AI601">
        <v>3</v>
      </c>
      <c r="AJ601">
        <v>7</v>
      </c>
      <c r="AK601">
        <v>26</v>
      </c>
      <c r="AL601" t="s">
        <v>1631</v>
      </c>
      <c r="AM601" t="s">
        <v>776</v>
      </c>
      <c r="AN601" t="s">
        <v>777</v>
      </c>
      <c r="AO601" t="s">
        <v>778</v>
      </c>
      <c r="AP601" t="s">
        <v>74</v>
      </c>
      <c r="AQ601" t="s">
        <v>74</v>
      </c>
      <c r="AR601" t="s">
        <v>779</v>
      </c>
      <c r="AS601" t="s">
        <v>780</v>
      </c>
      <c r="AT601" t="s">
        <v>1632</v>
      </c>
      <c r="AU601">
        <v>2025</v>
      </c>
      <c r="AV601">
        <v>20</v>
      </c>
      <c r="AW601">
        <v>1</v>
      </c>
      <c r="AX601" t="s">
        <v>74</v>
      </c>
      <c r="AY601" t="s">
        <v>74</v>
      </c>
      <c r="AZ601" t="s">
        <v>74</v>
      </c>
      <c r="BA601" t="s">
        <v>74</v>
      </c>
      <c r="BB601" t="s">
        <v>74</v>
      </c>
      <c r="BC601" t="s">
        <v>74</v>
      </c>
      <c r="BD601">
        <v>14062</v>
      </c>
      <c r="BE601" t="s">
        <v>11662</v>
      </c>
      <c r="BF601" t="str">
        <f>HYPERLINK("http://dx.doi.org/10.1088/1748-9326/ad99e9","http://dx.doi.org/10.1088/1748-9326/ad99e9")</f>
        <v>http://dx.doi.org/10.1088/1748-9326/ad99e9</v>
      </c>
      <c r="BG601" t="s">
        <v>74</v>
      </c>
      <c r="BH601" t="s">
        <v>74</v>
      </c>
      <c r="BI601">
        <v>13</v>
      </c>
      <c r="BJ601" t="s">
        <v>782</v>
      </c>
      <c r="BK601" t="s">
        <v>102</v>
      </c>
      <c r="BL601" t="s">
        <v>783</v>
      </c>
      <c r="BM601" t="s">
        <v>11663</v>
      </c>
      <c r="BN601" t="s">
        <v>74</v>
      </c>
      <c r="BO601" t="s">
        <v>161</v>
      </c>
      <c r="BP601" t="s">
        <v>74</v>
      </c>
      <c r="BQ601" t="s">
        <v>74</v>
      </c>
      <c r="BR601" t="s">
        <v>106</v>
      </c>
      <c r="BS601" t="s">
        <v>11664</v>
      </c>
      <c r="BT601" t="str">
        <f>HYPERLINK("https%3A%2F%2Fwww.webofscience.com%2Fwos%2Fwoscc%2Ffull-record%2FWOS:001385280200001","View Full Record in Web of Science")</f>
        <v>View Full Record in Web of Science</v>
      </c>
    </row>
    <row r="602" spans="1:72" x14ac:dyDescent="0.2">
      <c r="A602" t="s">
        <v>72</v>
      </c>
      <c r="B602" t="s">
        <v>11665</v>
      </c>
      <c r="C602" t="s">
        <v>74</v>
      </c>
      <c r="D602" t="s">
        <v>74</v>
      </c>
      <c r="E602" t="s">
        <v>74</v>
      </c>
      <c r="F602" t="s">
        <v>11666</v>
      </c>
      <c r="G602" t="s">
        <v>74</v>
      </c>
      <c r="H602" t="s">
        <v>74</v>
      </c>
      <c r="I602" t="s">
        <v>11667</v>
      </c>
      <c r="J602" t="s">
        <v>4261</v>
      </c>
      <c r="K602" t="s">
        <v>74</v>
      </c>
      <c r="L602" t="s">
        <v>74</v>
      </c>
      <c r="M602" t="s">
        <v>78</v>
      </c>
      <c r="N602" t="s">
        <v>79</v>
      </c>
      <c r="O602" t="s">
        <v>74</v>
      </c>
      <c r="P602" t="s">
        <v>74</v>
      </c>
      <c r="Q602" t="s">
        <v>74</v>
      </c>
      <c r="R602" t="s">
        <v>74</v>
      </c>
      <c r="S602" t="s">
        <v>74</v>
      </c>
      <c r="T602" t="s">
        <v>11668</v>
      </c>
      <c r="U602" t="s">
        <v>11669</v>
      </c>
      <c r="V602" t="s">
        <v>11670</v>
      </c>
      <c r="W602" t="s">
        <v>11671</v>
      </c>
      <c r="X602" t="s">
        <v>11672</v>
      </c>
      <c r="Y602" t="s">
        <v>11673</v>
      </c>
      <c r="Z602" t="s">
        <v>11674</v>
      </c>
      <c r="AA602" t="s">
        <v>11675</v>
      </c>
      <c r="AB602" t="s">
        <v>11676</v>
      </c>
      <c r="AC602" t="s">
        <v>11677</v>
      </c>
      <c r="AD602" t="s">
        <v>11678</v>
      </c>
      <c r="AE602" t="s">
        <v>11679</v>
      </c>
      <c r="AF602" t="s">
        <v>74</v>
      </c>
      <c r="AG602">
        <v>127</v>
      </c>
      <c r="AH602">
        <v>56</v>
      </c>
      <c r="AI602">
        <v>59</v>
      </c>
      <c r="AJ602">
        <v>10</v>
      </c>
      <c r="AK602">
        <v>104</v>
      </c>
      <c r="AL602" t="s">
        <v>1242</v>
      </c>
      <c r="AM602" t="s">
        <v>1243</v>
      </c>
      <c r="AN602" t="s">
        <v>1244</v>
      </c>
      <c r="AO602" t="s">
        <v>4271</v>
      </c>
      <c r="AP602" t="s">
        <v>4272</v>
      </c>
      <c r="AQ602" t="s">
        <v>74</v>
      </c>
      <c r="AR602" t="s">
        <v>4273</v>
      </c>
      <c r="AS602" t="s">
        <v>4274</v>
      </c>
      <c r="AT602" t="s">
        <v>281</v>
      </c>
      <c r="AU602">
        <v>2022</v>
      </c>
      <c r="AV602">
        <v>22</v>
      </c>
      <c r="AW602">
        <v>2</v>
      </c>
      <c r="AX602" t="s">
        <v>74</v>
      </c>
      <c r="AY602" t="s">
        <v>74</v>
      </c>
      <c r="AZ602" t="s">
        <v>74</v>
      </c>
      <c r="BA602" t="s">
        <v>74</v>
      </c>
      <c r="BB602" t="s">
        <v>74</v>
      </c>
      <c r="BC602" t="s">
        <v>74</v>
      </c>
      <c r="BD602">
        <v>69</v>
      </c>
      <c r="BE602" t="s">
        <v>11680</v>
      </c>
      <c r="BF602" t="str">
        <f>HYPERLINK("http://dx.doi.org/10.1007/s10113-022-01900-8","http://dx.doi.org/10.1007/s10113-022-01900-8")</f>
        <v>http://dx.doi.org/10.1007/s10113-022-01900-8</v>
      </c>
      <c r="BG602" t="s">
        <v>74</v>
      </c>
      <c r="BH602" t="s">
        <v>74</v>
      </c>
      <c r="BI602">
        <v>15</v>
      </c>
      <c r="BJ602" t="s">
        <v>593</v>
      </c>
      <c r="BK602" t="s">
        <v>186</v>
      </c>
      <c r="BL602" t="s">
        <v>568</v>
      </c>
      <c r="BM602" t="s">
        <v>11681</v>
      </c>
      <c r="BN602" t="s">
        <v>74</v>
      </c>
      <c r="BO602" t="s">
        <v>916</v>
      </c>
      <c r="BP602" t="s">
        <v>74</v>
      </c>
      <c r="BQ602" t="s">
        <v>74</v>
      </c>
      <c r="BR602" t="s">
        <v>106</v>
      </c>
      <c r="BS602" t="s">
        <v>11682</v>
      </c>
      <c r="BT602" t="str">
        <f>HYPERLINK("https%3A%2F%2Fwww.webofscience.com%2Fwos%2Fwoscc%2Ffull-record%2FWOS:000793171700002","View Full Record in Web of Science")</f>
        <v>View Full Record in Web of Science</v>
      </c>
    </row>
    <row r="603" spans="1:72" x14ac:dyDescent="0.2">
      <c r="A603" t="s">
        <v>72</v>
      </c>
      <c r="B603" t="s">
        <v>11683</v>
      </c>
      <c r="C603" t="s">
        <v>74</v>
      </c>
      <c r="D603" t="s">
        <v>74</v>
      </c>
      <c r="E603" t="s">
        <v>74</v>
      </c>
      <c r="F603" t="s">
        <v>11684</v>
      </c>
      <c r="G603" t="s">
        <v>74</v>
      </c>
      <c r="H603" t="s">
        <v>74</v>
      </c>
      <c r="I603" t="s">
        <v>11685</v>
      </c>
      <c r="J603" t="s">
        <v>9924</v>
      </c>
      <c r="K603" t="s">
        <v>74</v>
      </c>
      <c r="L603" t="s">
        <v>74</v>
      </c>
      <c r="M603" t="s">
        <v>78</v>
      </c>
      <c r="N603" t="s">
        <v>79</v>
      </c>
      <c r="O603" t="s">
        <v>74</v>
      </c>
      <c r="P603" t="s">
        <v>74</v>
      </c>
      <c r="Q603" t="s">
        <v>74</v>
      </c>
      <c r="R603" t="s">
        <v>74</v>
      </c>
      <c r="S603" t="s">
        <v>74</v>
      </c>
      <c r="T603" t="s">
        <v>11686</v>
      </c>
      <c r="U603" t="s">
        <v>11687</v>
      </c>
      <c r="V603" t="s">
        <v>11688</v>
      </c>
      <c r="W603" t="s">
        <v>11689</v>
      </c>
      <c r="X603" t="s">
        <v>11690</v>
      </c>
      <c r="Y603" t="s">
        <v>11691</v>
      </c>
      <c r="Z603" t="s">
        <v>11692</v>
      </c>
      <c r="AA603" t="s">
        <v>11693</v>
      </c>
      <c r="AB603" t="s">
        <v>11694</v>
      </c>
      <c r="AC603" t="s">
        <v>11695</v>
      </c>
      <c r="AD603" t="s">
        <v>11696</v>
      </c>
      <c r="AE603" t="s">
        <v>11697</v>
      </c>
      <c r="AF603" t="s">
        <v>74</v>
      </c>
      <c r="AG603">
        <v>58</v>
      </c>
      <c r="AH603">
        <v>4</v>
      </c>
      <c r="AI603">
        <v>4</v>
      </c>
      <c r="AJ603">
        <v>2</v>
      </c>
      <c r="AK603">
        <v>27</v>
      </c>
      <c r="AL603" t="s">
        <v>247</v>
      </c>
      <c r="AM603" t="s">
        <v>248</v>
      </c>
      <c r="AN603" t="s">
        <v>249</v>
      </c>
      <c r="AO603" t="s">
        <v>9936</v>
      </c>
      <c r="AP603" t="s">
        <v>9937</v>
      </c>
      <c r="AQ603" t="s">
        <v>74</v>
      </c>
      <c r="AR603" t="s">
        <v>9938</v>
      </c>
      <c r="AS603" t="s">
        <v>9939</v>
      </c>
      <c r="AT603" t="s">
        <v>227</v>
      </c>
      <c r="AU603">
        <v>2022</v>
      </c>
      <c r="AV603">
        <v>38</v>
      </c>
      <c r="AW603">
        <v>1</v>
      </c>
      <c r="AX603" t="s">
        <v>74</v>
      </c>
      <c r="AY603" t="s">
        <v>74</v>
      </c>
      <c r="AZ603" t="s">
        <v>74</v>
      </c>
      <c r="BA603" t="s">
        <v>74</v>
      </c>
      <c r="BB603">
        <v>304</v>
      </c>
      <c r="BC603">
        <v>317</v>
      </c>
      <c r="BD603" t="s">
        <v>74</v>
      </c>
      <c r="BE603" t="s">
        <v>11698</v>
      </c>
      <c r="BF603" t="str">
        <f>HYPERLINK("http://dx.doi.org/10.1111/sum.12708","http://dx.doi.org/10.1111/sum.12708")</f>
        <v>http://dx.doi.org/10.1111/sum.12708</v>
      </c>
      <c r="BG603" t="s">
        <v>74</v>
      </c>
      <c r="BH603" t="s">
        <v>10198</v>
      </c>
      <c r="BI603">
        <v>14</v>
      </c>
      <c r="BJ603" t="s">
        <v>256</v>
      </c>
      <c r="BK603" t="s">
        <v>102</v>
      </c>
      <c r="BL603" t="s">
        <v>103</v>
      </c>
      <c r="BM603" t="s">
        <v>11699</v>
      </c>
      <c r="BN603" t="s">
        <v>74</v>
      </c>
      <c r="BO603" t="s">
        <v>74</v>
      </c>
      <c r="BP603" t="s">
        <v>74</v>
      </c>
      <c r="BQ603" t="s">
        <v>74</v>
      </c>
      <c r="BR603" t="s">
        <v>106</v>
      </c>
      <c r="BS603" t="s">
        <v>11700</v>
      </c>
      <c r="BT603" t="str">
        <f>HYPERLINK("https%3A%2F%2Fwww.webofscience.com%2Fwos%2Fwoscc%2Ffull-record%2FWOS:000631124000001","View Full Record in Web of Science")</f>
        <v>View Full Record in Web of Science</v>
      </c>
    </row>
    <row r="604" spans="1:72" x14ac:dyDescent="0.2">
      <c r="A604" t="s">
        <v>72</v>
      </c>
      <c r="B604" t="s">
        <v>11701</v>
      </c>
      <c r="C604" t="s">
        <v>74</v>
      </c>
      <c r="D604" t="s">
        <v>74</v>
      </c>
      <c r="E604" t="s">
        <v>74</v>
      </c>
      <c r="F604" t="s">
        <v>11702</v>
      </c>
      <c r="G604" t="s">
        <v>74</v>
      </c>
      <c r="H604" t="s">
        <v>74</v>
      </c>
      <c r="I604" t="s">
        <v>11703</v>
      </c>
      <c r="J604" t="s">
        <v>3277</v>
      </c>
      <c r="K604" t="s">
        <v>74</v>
      </c>
      <c r="L604" t="s">
        <v>74</v>
      </c>
      <c r="M604" t="s">
        <v>78</v>
      </c>
      <c r="N604" t="s">
        <v>79</v>
      </c>
      <c r="O604" t="s">
        <v>74</v>
      </c>
      <c r="P604" t="s">
        <v>74</v>
      </c>
      <c r="Q604" t="s">
        <v>74</v>
      </c>
      <c r="R604" t="s">
        <v>74</v>
      </c>
      <c r="S604" t="s">
        <v>74</v>
      </c>
      <c r="T604" t="s">
        <v>74</v>
      </c>
      <c r="U604" t="s">
        <v>11704</v>
      </c>
      <c r="V604" t="s">
        <v>11705</v>
      </c>
      <c r="W604" t="s">
        <v>11706</v>
      </c>
      <c r="X604" t="s">
        <v>11707</v>
      </c>
      <c r="Y604" t="s">
        <v>74</v>
      </c>
      <c r="Z604" t="s">
        <v>11708</v>
      </c>
      <c r="AA604" t="s">
        <v>11709</v>
      </c>
      <c r="AB604" t="s">
        <v>11710</v>
      </c>
      <c r="AC604" t="s">
        <v>11711</v>
      </c>
      <c r="AD604" t="s">
        <v>11712</v>
      </c>
      <c r="AE604" t="s">
        <v>11713</v>
      </c>
      <c r="AF604" t="s">
        <v>74</v>
      </c>
      <c r="AG604">
        <v>71</v>
      </c>
      <c r="AH604">
        <v>2</v>
      </c>
      <c r="AI604">
        <v>2</v>
      </c>
      <c r="AJ604">
        <v>3</v>
      </c>
      <c r="AK604">
        <v>3</v>
      </c>
      <c r="AL604" t="s">
        <v>3289</v>
      </c>
      <c r="AM604" t="s">
        <v>3290</v>
      </c>
      <c r="AN604" t="s">
        <v>3291</v>
      </c>
      <c r="AO604" t="s">
        <v>3292</v>
      </c>
      <c r="AP604" t="s">
        <v>3293</v>
      </c>
      <c r="AQ604" t="s">
        <v>74</v>
      </c>
      <c r="AR604" t="s">
        <v>3277</v>
      </c>
      <c r="AS604" t="s">
        <v>3294</v>
      </c>
      <c r="AT604" t="s">
        <v>11714</v>
      </c>
      <c r="AU604">
        <v>2025</v>
      </c>
      <c r="AV604">
        <v>22</v>
      </c>
      <c r="AW604">
        <v>14</v>
      </c>
      <c r="AX604" t="s">
        <v>74</v>
      </c>
      <c r="AY604" t="s">
        <v>74</v>
      </c>
      <c r="AZ604" t="s">
        <v>74</v>
      </c>
      <c r="BA604" t="s">
        <v>74</v>
      </c>
      <c r="BB604">
        <v>3547</v>
      </c>
      <c r="BC604">
        <v>3561</v>
      </c>
      <c r="BD604" t="s">
        <v>74</v>
      </c>
      <c r="BE604" t="s">
        <v>11715</v>
      </c>
      <c r="BF604" t="str">
        <f>HYPERLINK("http://dx.doi.org/10.5194/bg-22-3547-2025","http://dx.doi.org/10.5194/bg-22-3547-2025")</f>
        <v>http://dx.doi.org/10.5194/bg-22-3547-2025</v>
      </c>
      <c r="BG604" t="s">
        <v>74</v>
      </c>
      <c r="BH604" t="s">
        <v>74</v>
      </c>
      <c r="BI604">
        <v>15</v>
      </c>
      <c r="BJ604" t="s">
        <v>3296</v>
      </c>
      <c r="BK604" t="s">
        <v>102</v>
      </c>
      <c r="BL604" t="s">
        <v>1206</v>
      </c>
      <c r="BM604" t="s">
        <v>11716</v>
      </c>
      <c r="BN604" t="s">
        <v>74</v>
      </c>
      <c r="BO604" t="s">
        <v>231</v>
      </c>
      <c r="BP604" t="s">
        <v>74</v>
      </c>
      <c r="BQ604" t="s">
        <v>74</v>
      </c>
      <c r="BR604" t="s">
        <v>106</v>
      </c>
      <c r="BS604" t="s">
        <v>11717</v>
      </c>
      <c r="BT604" t="str">
        <f>HYPERLINK("https%3A%2F%2Fwww.webofscience.com%2Fwos%2Fwoscc%2Ffull-record%2FWOS:001535040600001","View Full Record in Web of Science")</f>
        <v>View Full Record in Web of Science</v>
      </c>
    </row>
    <row r="605" spans="1:72" x14ac:dyDescent="0.2">
      <c r="A605" t="s">
        <v>72</v>
      </c>
      <c r="B605" t="s">
        <v>11718</v>
      </c>
      <c r="C605" t="s">
        <v>74</v>
      </c>
      <c r="D605" t="s">
        <v>74</v>
      </c>
      <c r="E605" t="s">
        <v>74</v>
      </c>
      <c r="F605" t="s">
        <v>11719</v>
      </c>
      <c r="G605" t="s">
        <v>74</v>
      </c>
      <c r="H605" t="s">
        <v>74</v>
      </c>
      <c r="I605" t="s">
        <v>11720</v>
      </c>
      <c r="J605" t="s">
        <v>11721</v>
      </c>
      <c r="K605" t="s">
        <v>74</v>
      </c>
      <c r="L605" t="s">
        <v>74</v>
      </c>
      <c r="M605" t="s">
        <v>78</v>
      </c>
      <c r="N605" t="s">
        <v>79</v>
      </c>
      <c r="O605" t="s">
        <v>74</v>
      </c>
      <c r="P605" t="s">
        <v>74</v>
      </c>
      <c r="Q605" t="s">
        <v>74</v>
      </c>
      <c r="R605" t="s">
        <v>74</v>
      </c>
      <c r="S605" t="s">
        <v>74</v>
      </c>
      <c r="T605" t="s">
        <v>11722</v>
      </c>
      <c r="U605" t="s">
        <v>74</v>
      </c>
      <c r="V605" t="s">
        <v>11723</v>
      </c>
      <c r="W605" t="s">
        <v>11724</v>
      </c>
      <c r="X605" t="s">
        <v>11725</v>
      </c>
      <c r="Y605" t="s">
        <v>11726</v>
      </c>
      <c r="Z605" t="s">
        <v>11727</v>
      </c>
      <c r="AA605" t="s">
        <v>11728</v>
      </c>
      <c r="AB605" t="s">
        <v>11729</v>
      </c>
      <c r="AC605" t="s">
        <v>11730</v>
      </c>
      <c r="AD605" t="s">
        <v>11730</v>
      </c>
      <c r="AE605" t="s">
        <v>11731</v>
      </c>
      <c r="AF605" t="s">
        <v>74</v>
      </c>
      <c r="AG605">
        <v>49</v>
      </c>
      <c r="AH605">
        <v>19</v>
      </c>
      <c r="AI605">
        <v>20</v>
      </c>
      <c r="AJ605">
        <v>8</v>
      </c>
      <c r="AK605">
        <v>37</v>
      </c>
      <c r="AL605" t="s">
        <v>123</v>
      </c>
      <c r="AM605" t="s">
        <v>124</v>
      </c>
      <c r="AN605" t="s">
        <v>125</v>
      </c>
      <c r="AO605" t="s">
        <v>11732</v>
      </c>
      <c r="AP605" t="s">
        <v>74</v>
      </c>
      <c r="AQ605" t="s">
        <v>74</v>
      </c>
      <c r="AR605" t="s">
        <v>11721</v>
      </c>
      <c r="AS605" t="s">
        <v>11733</v>
      </c>
      <c r="AT605" t="s">
        <v>912</v>
      </c>
      <c r="AU605">
        <v>2024</v>
      </c>
      <c r="AV605">
        <v>45</v>
      </c>
      <c r="AW605" t="s">
        <v>74</v>
      </c>
      <c r="AX605" t="s">
        <v>74</v>
      </c>
      <c r="AY605" t="s">
        <v>74</v>
      </c>
      <c r="AZ605" t="s">
        <v>74</v>
      </c>
      <c r="BA605" t="s">
        <v>74</v>
      </c>
      <c r="BB605" t="s">
        <v>74</v>
      </c>
      <c r="BC605" t="s">
        <v>74</v>
      </c>
      <c r="BD605">
        <v>100652</v>
      </c>
      <c r="BE605" t="s">
        <v>11734</v>
      </c>
      <c r="BF605" t="str">
        <f>HYPERLINK("http://dx.doi.org/10.1016/j.flatc.2024.100652","http://dx.doi.org/10.1016/j.flatc.2024.100652")</f>
        <v>http://dx.doi.org/10.1016/j.flatc.2024.100652</v>
      </c>
      <c r="BG605" t="s">
        <v>74</v>
      </c>
      <c r="BH605" t="s">
        <v>2038</v>
      </c>
      <c r="BI605">
        <v>9</v>
      </c>
      <c r="BJ605" t="s">
        <v>11735</v>
      </c>
      <c r="BK605" t="s">
        <v>102</v>
      </c>
      <c r="BL605" t="s">
        <v>11736</v>
      </c>
      <c r="BM605" t="s">
        <v>11737</v>
      </c>
      <c r="BN605" t="s">
        <v>74</v>
      </c>
      <c r="BO605" t="s">
        <v>74</v>
      </c>
      <c r="BP605" t="s">
        <v>74</v>
      </c>
      <c r="BQ605" t="s">
        <v>74</v>
      </c>
      <c r="BR605" t="s">
        <v>106</v>
      </c>
      <c r="BS605" t="s">
        <v>11738</v>
      </c>
      <c r="BT605" t="str">
        <f>HYPERLINK("https%3A%2F%2Fwww.webofscience.com%2Fwos%2Fwoscc%2Ffull-record%2FWOS:001225091600001","View Full Record in Web of Science")</f>
        <v>View Full Record in Web of Science</v>
      </c>
    </row>
    <row r="606" spans="1:72" x14ac:dyDescent="0.2">
      <c r="A606" t="s">
        <v>72</v>
      </c>
      <c r="B606" t="s">
        <v>11739</v>
      </c>
      <c r="C606" t="s">
        <v>74</v>
      </c>
      <c r="D606" t="s">
        <v>74</v>
      </c>
      <c r="E606" t="s">
        <v>74</v>
      </c>
      <c r="F606" t="s">
        <v>11740</v>
      </c>
      <c r="G606" t="s">
        <v>74</v>
      </c>
      <c r="H606" t="s">
        <v>74</v>
      </c>
      <c r="I606" t="s">
        <v>11741</v>
      </c>
      <c r="J606" t="s">
        <v>667</v>
      </c>
      <c r="K606" t="s">
        <v>74</v>
      </c>
      <c r="L606" t="s">
        <v>74</v>
      </c>
      <c r="M606" t="s">
        <v>78</v>
      </c>
      <c r="N606" t="s">
        <v>79</v>
      </c>
      <c r="O606" t="s">
        <v>74</v>
      </c>
      <c r="P606" t="s">
        <v>74</v>
      </c>
      <c r="Q606" t="s">
        <v>74</v>
      </c>
      <c r="R606" t="s">
        <v>74</v>
      </c>
      <c r="S606" t="s">
        <v>74</v>
      </c>
      <c r="T606" t="s">
        <v>11742</v>
      </c>
      <c r="U606" t="s">
        <v>11743</v>
      </c>
      <c r="V606" t="s">
        <v>11744</v>
      </c>
      <c r="W606" t="s">
        <v>11745</v>
      </c>
      <c r="X606" t="s">
        <v>11746</v>
      </c>
      <c r="Y606" t="s">
        <v>11747</v>
      </c>
      <c r="Z606" t="s">
        <v>11748</v>
      </c>
      <c r="AA606" t="s">
        <v>74</v>
      </c>
      <c r="AB606" t="s">
        <v>74</v>
      </c>
      <c r="AC606" t="s">
        <v>11749</v>
      </c>
      <c r="AD606" t="s">
        <v>11750</v>
      </c>
      <c r="AE606" t="s">
        <v>11751</v>
      </c>
      <c r="AF606" t="s">
        <v>74</v>
      </c>
      <c r="AG606">
        <v>48</v>
      </c>
      <c r="AH606">
        <v>9</v>
      </c>
      <c r="AI606">
        <v>9</v>
      </c>
      <c r="AJ606">
        <v>3</v>
      </c>
      <c r="AK606">
        <v>85</v>
      </c>
      <c r="AL606" t="s">
        <v>504</v>
      </c>
      <c r="AM606" t="s">
        <v>676</v>
      </c>
      <c r="AN606" t="s">
        <v>11752</v>
      </c>
      <c r="AO606" t="s">
        <v>678</v>
      </c>
      <c r="AP606" t="s">
        <v>679</v>
      </c>
      <c r="AQ606" t="s">
        <v>74</v>
      </c>
      <c r="AR606" t="s">
        <v>680</v>
      </c>
      <c r="AS606" t="s">
        <v>681</v>
      </c>
      <c r="AT606" t="s">
        <v>227</v>
      </c>
      <c r="AU606">
        <v>2016</v>
      </c>
      <c r="AV606">
        <v>75</v>
      </c>
      <c r="AW606">
        <v>1</v>
      </c>
      <c r="AX606" t="s">
        <v>74</v>
      </c>
      <c r="AY606" t="s">
        <v>74</v>
      </c>
      <c r="AZ606" t="s">
        <v>74</v>
      </c>
      <c r="BA606" t="s">
        <v>74</v>
      </c>
      <c r="BB606" t="s">
        <v>74</v>
      </c>
      <c r="BC606" t="s">
        <v>74</v>
      </c>
      <c r="BD606">
        <v>65</v>
      </c>
      <c r="BE606" t="s">
        <v>11753</v>
      </c>
      <c r="BF606" t="str">
        <f>HYPERLINK("http://dx.doi.org/10.1007/s12665-015-4801-0","http://dx.doi.org/10.1007/s12665-015-4801-0")</f>
        <v>http://dx.doi.org/10.1007/s12665-015-4801-0</v>
      </c>
      <c r="BG606" t="s">
        <v>74</v>
      </c>
      <c r="BH606" t="s">
        <v>74</v>
      </c>
      <c r="BI606">
        <v>9</v>
      </c>
      <c r="BJ606" t="s">
        <v>683</v>
      </c>
      <c r="BK606" t="s">
        <v>102</v>
      </c>
      <c r="BL606" t="s">
        <v>684</v>
      </c>
      <c r="BM606" t="s">
        <v>11754</v>
      </c>
      <c r="BN606" t="s">
        <v>74</v>
      </c>
      <c r="BO606" t="s">
        <v>74</v>
      </c>
      <c r="BP606" t="s">
        <v>74</v>
      </c>
      <c r="BQ606" t="s">
        <v>74</v>
      </c>
      <c r="BR606" t="s">
        <v>106</v>
      </c>
      <c r="BS606" t="s">
        <v>11755</v>
      </c>
      <c r="BT606" t="str">
        <f>HYPERLINK("https%3A%2F%2Fwww.webofscience.com%2Fwos%2Fwoscc%2Ffull-record%2FWOS:000370239800065","View Full Record in Web of Science")</f>
        <v>View Full Record in Web of Science</v>
      </c>
    </row>
    <row r="607" spans="1:72" x14ac:dyDescent="0.2">
      <c r="A607" t="s">
        <v>72</v>
      </c>
      <c r="B607" t="s">
        <v>11756</v>
      </c>
      <c r="C607" t="s">
        <v>74</v>
      </c>
      <c r="D607" t="s">
        <v>74</v>
      </c>
      <c r="E607" t="s">
        <v>74</v>
      </c>
      <c r="F607" t="s">
        <v>11757</v>
      </c>
      <c r="G607" t="s">
        <v>74</v>
      </c>
      <c r="H607" t="s">
        <v>74</v>
      </c>
      <c r="I607" t="s">
        <v>11758</v>
      </c>
      <c r="J607" t="s">
        <v>11759</v>
      </c>
      <c r="K607" t="s">
        <v>74</v>
      </c>
      <c r="L607" t="s">
        <v>74</v>
      </c>
      <c r="M607" t="s">
        <v>78</v>
      </c>
      <c r="N607" t="s">
        <v>79</v>
      </c>
      <c r="O607" t="s">
        <v>74</v>
      </c>
      <c r="P607" t="s">
        <v>74</v>
      </c>
      <c r="Q607" t="s">
        <v>74</v>
      </c>
      <c r="R607" t="s">
        <v>74</v>
      </c>
      <c r="S607" t="s">
        <v>74</v>
      </c>
      <c r="T607" t="s">
        <v>11760</v>
      </c>
      <c r="U607" t="s">
        <v>11761</v>
      </c>
      <c r="V607" t="s">
        <v>11762</v>
      </c>
      <c r="W607" t="s">
        <v>11763</v>
      </c>
      <c r="X607" t="s">
        <v>11764</v>
      </c>
      <c r="Y607" t="s">
        <v>11765</v>
      </c>
      <c r="Z607" t="s">
        <v>11766</v>
      </c>
      <c r="AA607" t="s">
        <v>11767</v>
      </c>
      <c r="AB607" t="s">
        <v>74</v>
      </c>
      <c r="AC607" t="s">
        <v>11768</v>
      </c>
      <c r="AD607" t="s">
        <v>11769</v>
      </c>
      <c r="AE607" t="s">
        <v>11770</v>
      </c>
      <c r="AF607" t="s">
        <v>74</v>
      </c>
      <c r="AG607">
        <v>25</v>
      </c>
      <c r="AH607">
        <v>3</v>
      </c>
      <c r="AI607">
        <v>3</v>
      </c>
      <c r="AJ607">
        <v>10</v>
      </c>
      <c r="AK607">
        <v>116</v>
      </c>
      <c r="AL607" t="s">
        <v>585</v>
      </c>
      <c r="AM607" t="s">
        <v>306</v>
      </c>
      <c r="AN607" t="s">
        <v>586</v>
      </c>
      <c r="AO607" t="s">
        <v>11771</v>
      </c>
      <c r="AP607" t="s">
        <v>74</v>
      </c>
      <c r="AQ607" t="s">
        <v>74</v>
      </c>
      <c r="AR607" t="s">
        <v>11772</v>
      </c>
      <c r="AS607" t="s">
        <v>11773</v>
      </c>
      <c r="AT607" t="s">
        <v>591</v>
      </c>
      <c r="AU607">
        <v>2023</v>
      </c>
      <c r="AV607">
        <v>9</v>
      </c>
      <c r="AW607">
        <v>2</v>
      </c>
      <c r="AX607" t="s">
        <v>74</v>
      </c>
      <c r="AY607" t="s">
        <v>74</v>
      </c>
      <c r="AZ607" t="s">
        <v>74</v>
      </c>
      <c r="BA607" t="s">
        <v>74</v>
      </c>
      <c r="BB607" t="s">
        <v>74</v>
      </c>
      <c r="BC607" t="s">
        <v>74</v>
      </c>
      <c r="BD607">
        <v>2264592</v>
      </c>
      <c r="BE607" t="s">
        <v>11774</v>
      </c>
      <c r="BF607" t="str">
        <f>HYPERLINK("http://dx.doi.org/10.1080/23311932.2023.2264592","http://dx.doi.org/10.1080/23311932.2023.2264592")</f>
        <v>http://dx.doi.org/10.1080/23311932.2023.2264592</v>
      </c>
      <c r="BG607" t="s">
        <v>74</v>
      </c>
      <c r="BH607" t="s">
        <v>74</v>
      </c>
      <c r="BI607">
        <v>21</v>
      </c>
      <c r="BJ607" t="s">
        <v>101</v>
      </c>
      <c r="BK607" t="s">
        <v>102</v>
      </c>
      <c r="BL607" t="s">
        <v>103</v>
      </c>
      <c r="BM607" t="s">
        <v>11775</v>
      </c>
      <c r="BN607" t="s">
        <v>74</v>
      </c>
      <c r="BO607" t="s">
        <v>231</v>
      </c>
      <c r="BP607" t="s">
        <v>74</v>
      </c>
      <c r="BQ607" t="s">
        <v>74</v>
      </c>
      <c r="BR607" t="s">
        <v>106</v>
      </c>
      <c r="BS607" t="s">
        <v>11776</v>
      </c>
      <c r="BT607" t="str">
        <f>HYPERLINK("https%3A%2F%2Fwww.webofscience.com%2Fwos%2Fwoscc%2Ffull-record%2FWOS:001080116700001","View Full Record in Web of Science")</f>
        <v>View Full Record in Web of Science</v>
      </c>
    </row>
    <row r="608" spans="1:72" x14ac:dyDescent="0.2">
      <c r="A608" t="s">
        <v>72</v>
      </c>
      <c r="B608" t="s">
        <v>11777</v>
      </c>
      <c r="C608" t="s">
        <v>74</v>
      </c>
      <c r="D608" t="s">
        <v>74</v>
      </c>
      <c r="E608" t="s">
        <v>74</v>
      </c>
      <c r="F608" t="s">
        <v>11778</v>
      </c>
      <c r="G608" t="s">
        <v>74</v>
      </c>
      <c r="H608" t="s">
        <v>74</v>
      </c>
      <c r="I608" t="s">
        <v>11779</v>
      </c>
      <c r="J608" t="s">
        <v>522</v>
      </c>
      <c r="K608" t="s">
        <v>74</v>
      </c>
      <c r="L608" t="s">
        <v>74</v>
      </c>
      <c r="M608" t="s">
        <v>78</v>
      </c>
      <c r="N608" t="s">
        <v>79</v>
      </c>
      <c r="O608" t="s">
        <v>74</v>
      </c>
      <c r="P608" t="s">
        <v>74</v>
      </c>
      <c r="Q608" t="s">
        <v>74</v>
      </c>
      <c r="R608" t="s">
        <v>74</v>
      </c>
      <c r="S608" t="s">
        <v>74</v>
      </c>
      <c r="T608" t="s">
        <v>11780</v>
      </c>
      <c r="U608" t="s">
        <v>11781</v>
      </c>
      <c r="V608" t="s">
        <v>11782</v>
      </c>
      <c r="W608" t="s">
        <v>11783</v>
      </c>
      <c r="X608" t="s">
        <v>11784</v>
      </c>
      <c r="Y608" t="s">
        <v>11785</v>
      </c>
      <c r="Z608" t="s">
        <v>11786</v>
      </c>
      <c r="AA608" t="s">
        <v>11787</v>
      </c>
      <c r="AB608" t="s">
        <v>74</v>
      </c>
      <c r="AC608" t="s">
        <v>11788</v>
      </c>
      <c r="AD608" t="s">
        <v>11789</v>
      </c>
      <c r="AE608" t="s">
        <v>11790</v>
      </c>
      <c r="AF608" t="s">
        <v>74</v>
      </c>
      <c r="AG608">
        <v>39</v>
      </c>
      <c r="AH608">
        <v>18</v>
      </c>
      <c r="AI608">
        <v>22</v>
      </c>
      <c r="AJ608">
        <v>7</v>
      </c>
      <c r="AK608">
        <v>90</v>
      </c>
      <c r="AL608" t="s">
        <v>934</v>
      </c>
      <c r="AM608" t="s">
        <v>177</v>
      </c>
      <c r="AN608" t="s">
        <v>935</v>
      </c>
      <c r="AO608" t="s">
        <v>11791</v>
      </c>
      <c r="AP608" t="s">
        <v>11792</v>
      </c>
      <c r="AQ608" t="s">
        <v>74</v>
      </c>
      <c r="AR608" t="s">
        <v>522</v>
      </c>
      <c r="AS608" t="s">
        <v>11793</v>
      </c>
      <c r="AT608" t="s">
        <v>4582</v>
      </c>
      <c r="AU608">
        <v>2023</v>
      </c>
      <c r="AV608">
        <v>263</v>
      </c>
      <c r="AW608" t="s">
        <v>74</v>
      </c>
      <c r="AX608" t="s">
        <v>4712</v>
      </c>
      <c r="AY608" t="s">
        <v>74</v>
      </c>
      <c r="AZ608" t="s">
        <v>74</v>
      </c>
      <c r="BA608" t="s">
        <v>74</v>
      </c>
      <c r="BB608" t="s">
        <v>74</v>
      </c>
      <c r="BC608" t="s">
        <v>74</v>
      </c>
      <c r="BD608">
        <v>125834</v>
      </c>
      <c r="BE608" t="s">
        <v>11794</v>
      </c>
      <c r="BF608" t="str">
        <f>HYPERLINK("http://dx.doi.org/10.1016/j.energy.2022.125834","http://dx.doi.org/10.1016/j.energy.2022.125834")</f>
        <v>http://dx.doi.org/10.1016/j.energy.2022.125834</v>
      </c>
      <c r="BG608" t="s">
        <v>74</v>
      </c>
      <c r="BH608" t="s">
        <v>11795</v>
      </c>
      <c r="BI608">
        <v>10</v>
      </c>
      <c r="BJ608" t="s">
        <v>11796</v>
      </c>
      <c r="BK608" t="s">
        <v>102</v>
      </c>
      <c r="BL608" t="s">
        <v>11796</v>
      </c>
      <c r="BM608" t="s">
        <v>11797</v>
      </c>
      <c r="BN608" t="s">
        <v>74</v>
      </c>
      <c r="BO608" t="s">
        <v>74</v>
      </c>
      <c r="BP608" t="s">
        <v>74</v>
      </c>
      <c r="BQ608" t="s">
        <v>74</v>
      </c>
      <c r="BR608" t="s">
        <v>106</v>
      </c>
      <c r="BS608" t="s">
        <v>11798</v>
      </c>
      <c r="BT608" t="str">
        <f>HYPERLINK("https%3A%2F%2Fwww.webofscience.com%2Fwos%2Fwoscc%2Ffull-record%2FWOS:000882446300004","View Full Record in Web of Science")</f>
        <v>View Full Record in Web of Science</v>
      </c>
    </row>
    <row r="609" spans="1:72" x14ac:dyDescent="0.2">
      <c r="A609" t="s">
        <v>72</v>
      </c>
      <c r="B609" t="s">
        <v>11799</v>
      </c>
      <c r="C609" t="s">
        <v>74</v>
      </c>
      <c r="D609" t="s">
        <v>74</v>
      </c>
      <c r="E609" t="s">
        <v>74</v>
      </c>
      <c r="F609" t="s">
        <v>11800</v>
      </c>
      <c r="G609" t="s">
        <v>74</v>
      </c>
      <c r="H609" t="s">
        <v>74</v>
      </c>
      <c r="I609" t="s">
        <v>11801</v>
      </c>
      <c r="J609" t="s">
        <v>870</v>
      </c>
      <c r="K609" t="s">
        <v>74</v>
      </c>
      <c r="L609" t="s">
        <v>74</v>
      </c>
      <c r="M609" t="s">
        <v>78</v>
      </c>
      <c r="N609" t="s">
        <v>79</v>
      </c>
      <c r="O609" t="s">
        <v>74</v>
      </c>
      <c r="P609" t="s">
        <v>74</v>
      </c>
      <c r="Q609" t="s">
        <v>74</v>
      </c>
      <c r="R609" t="s">
        <v>74</v>
      </c>
      <c r="S609" t="s">
        <v>74</v>
      </c>
      <c r="T609" t="s">
        <v>11802</v>
      </c>
      <c r="U609" t="s">
        <v>11803</v>
      </c>
      <c r="V609" t="s">
        <v>11804</v>
      </c>
      <c r="W609" t="s">
        <v>11805</v>
      </c>
      <c r="X609" t="s">
        <v>11806</v>
      </c>
      <c r="Y609" t="s">
        <v>11807</v>
      </c>
      <c r="Z609" t="s">
        <v>11808</v>
      </c>
      <c r="AA609" t="s">
        <v>11809</v>
      </c>
      <c r="AB609" t="s">
        <v>11810</v>
      </c>
      <c r="AC609" t="s">
        <v>11811</v>
      </c>
      <c r="AD609" t="s">
        <v>11812</v>
      </c>
      <c r="AE609" t="s">
        <v>11813</v>
      </c>
      <c r="AF609" t="s">
        <v>74</v>
      </c>
      <c r="AG609">
        <v>77</v>
      </c>
      <c r="AH609">
        <v>32</v>
      </c>
      <c r="AI609">
        <v>33</v>
      </c>
      <c r="AJ609">
        <v>0</v>
      </c>
      <c r="AK609">
        <v>60</v>
      </c>
      <c r="AL609" t="s">
        <v>247</v>
      </c>
      <c r="AM609" t="s">
        <v>248</v>
      </c>
      <c r="AN609" t="s">
        <v>249</v>
      </c>
      <c r="AO609" t="s">
        <v>883</v>
      </c>
      <c r="AP609" t="s">
        <v>884</v>
      </c>
      <c r="AQ609" t="s">
        <v>74</v>
      </c>
      <c r="AR609" t="s">
        <v>885</v>
      </c>
      <c r="AS609" t="s">
        <v>886</v>
      </c>
      <c r="AT609" t="s">
        <v>912</v>
      </c>
      <c r="AU609">
        <v>2015</v>
      </c>
      <c r="AV609">
        <v>7</v>
      </c>
      <c r="AW609">
        <v>3</v>
      </c>
      <c r="AX609" t="s">
        <v>74</v>
      </c>
      <c r="AY609" t="s">
        <v>74</v>
      </c>
      <c r="AZ609" t="s">
        <v>74</v>
      </c>
      <c r="BA609" t="s">
        <v>74</v>
      </c>
      <c r="BB609">
        <v>479</v>
      </c>
      <c r="BC609">
        <v>487</v>
      </c>
      <c r="BD609" t="s">
        <v>74</v>
      </c>
      <c r="BE609" t="s">
        <v>11814</v>
      </c>
      <c r="BF609" t="str">
        <f>HYPERLINK("http://dx.doi.org/10.1111/gcbb.12145","http://dx.doi.org/10.1111/gcbb.12145")</f>
        <v>http://dx.doi.org/10.1111/gcbb.12145</v>
      </c>
      <c r="BG609" t="s">
        <v>74</v>
      </c>
      <c r="BH609" t="s">
        <v>74</v>
      </c>
      <c r="BI609">
        <v>9</v>
      </c>
      <c r="BJ609" t="s">
        <v>889</v>
      </c>
      <c r="BK609" t="s">
        <v>102</v>
      </c>
      <c r="BL609" t="s">
        <v>890</v>
      </c>
      <c r="BM609" t="s">
        <v>11815</v>
      </c>
      <c r="BN609" t="s">
        <v>74</v>
      </c>
      <c r="BO609" t="s">
        <v>3889</v>
      </c>
      <c r="BP609" t="s">
        <v>74</v>
      </c>
      <c r="BQ609" t="s">
        <v>74</v>
      </c>
      <c r="BR609" t="s">
        <v>106</v>
      </c>
      <c r="BS609" t="s">
        <v>11816</v>
      </c>
      <c r="BT609" t="str">
        <f>HYPERLINK("https%3A%2F%2Fwww.webofscience.com%2Fwos%2Fwoscc%2Ffull-record%2FWOS:000353100900006","View Full Record in Web of Science")</f>
        <v>View Full Record in Web of Science</v>
      </c>
    </row>
    <row r="610" spans="1:72" x14ac:dyDescent="0.2">
      <c r="A610" t="s">
        <v>72</v>
      </c>
      <c r="B610" t="s">
        <v>11817</v>
      </c>
      <c r="C610" t="s">
        <v>74</v>
      </c>
      <c r="D610" t="s">
        <v>74</v>
      </c>
      <c r="E610" t="s">
        <v>74</v>
      </c>
      <c r="F610" t="s">
        <v>11818</v>
      </c>
      <c r="G610" t="s">
        <v>74</v>
      </c>
      <c r="H610" t="s">
        <v>74</v>
      </c>
      <c r="I610" t="s">
        <v>11819</v>
      </c>
      <c r="J610" t="s">
        <v>11820</v>
      </c>
      <c r="K610" t="s">
        <v>74</v>
      </c>
      <c r="L610" t="s">
        <v>74</v>
      </c>
      <c r="M610" t="s">
        <v>78</v>
      </c>
      <c r="N610" t="s">
        <v>79</v>
      </c>
      <c r="O610" t="s">
        <v>74</v>
      </c>
      <c r="P610" t="s">
        <v>74</v>
      </c>
      <c r="Q610" t="s">
        <v>74</v>
      </c>
      <c r="R610" t="s">
        <v>74</v>
      </c>
      <c r="S610" t="s">
        <v>74</v>
      </c>
      <c r="T610" t="s">
        <v>11821</v>
      </c>
      <c r="U610" t="s">
        <v>11822</v>
      </c>
      <c r="V610" t="s">
        <v>11823</v>
      </c>
      <c r="W610" t="s">
        <v>11824</v>
      </c>
      <c r="X610" t="s">
        <v>11825</v>
      </c>
      <c r="Y610" t="s">
        <v>11826</v>
      </c>
      <c r="Z610" t="s">
        <v>11827</v>
      </c>
      <c r="AA610" t="s">
        <v>11828</v>
      </c>
      <c r="AB610" t="s">
        <v>11829</v>
      </c>
      <c r="AC610" t="s">
        <v>11830</v>
      </c>
      <c r="AD610" t="s">
        <v>11831</v>
      </c>
      <c r="AE610" t="s">
        <v>11832</v>
      </c>
      <c r="AF610" t="s">
        <v>74</v>
      </c>
      <c r="AG610">
        <v>114</v>
      </c>
      <c r="AH610">
        <v>84</v>
      </c>
      <c r="AI610">
        <v>93</v>
      </c>
      <c r="AJ610">
        <v>1</v>
      </c>
      <c r="AK610">
        <v>150</v>
      </c>
      <c r="AL610" t="s">
        <v>176</v>
      </c>
      <c r="AM610" t="s">
        <v>177</v>
      </c>
      <c r="AN610" t="s">
        <v>178</v>
      </c>
      <c r="AO610" t="s">
        <v>11833</v>
      </c>
      <c r="AP610" t="s">
        <v>11834</v>
      </c>
      <c r="AQ610" t="s">
        <v>74</v>
      </c>
      <c r="AR610" t="s">
        <v>11835</v>
      </c>
      <c r="AS610" t="s">
        <v>11836</v>
      </c>
      <c r="AT610" t="s">
        <v>281</v>
      </c>
      <c r="AU610">
        <v>2015</v>
      </c>
      <c r="AV610">
        <v>50</v>
      </c>
      <c r="AW610" t="s">
        <v>74</v>
      </c>
      <c r="AX610" t="s">
        <v>74</v>
      </c>
      <c r="AY610" t="s">
        <v>74</v>
      </c>
      <c r="AZ610" t="s">
        <v>74</v>
      </c>
      <c r="BA610" t="s">
        <v>74</v>
      </c>
      <c r="BB610">
        <v>114</v>
      </c>
      <c r="BC610">
        <v>129</v>
      </c>
      <c r="BD610" t="s">
        <v>74</v>
      </c>
      <c r="BE610" t="s">
        <v>11837</v>
      </c>
      <c r="BF610" t="str">
        <f>HYPERLINK("http://dx.doi.org/10.1016/j.envsci.2015.02.003","http://dx.doi.org/10.1016/j.envsci.2015.02.003")</f>
        <v>http://dx.doi.org/10.1016/j.envsci.2015.02.003</v>
      </c>
      <c r="BG610" t="s">
        <v>74</v>
      </c>
      <c r="BH610" t="s">
        <v>74</v>
      </c>
      <c r="BI610">
        <v>16</v>
      </c>
      <c r="BJ610" t="s">
        <v>567</v>
      </c>
      <c r="BK610" t="s">
        <v>186</v>
      </c>
      <c r="BL610" t="s">
        <v>568</v>
      </c>
      <c r="BM610" t="s">
        <v>11838</v>
      </c>
      <c r="BN610" t="s">
        <v>74</v>
      </c>
      <c r="BO610" t="s">
        <v>74</v>
      </c>
      <c r="BP610" t="s">
        <v>74</v>
      </c>
      <c r="BQ610" t="s">
        <v>74</v>
      </c>
      <c r="BR610" t="s">
        <v>106</v>
      </c>
      <c r="BS610" t="s">
        <v>11839</v>
      </c>
      <c r="BT610" t="str">
        <f>HYPERLINK("https%3A%2F%2Fwww.webofscience.com%2Fwos%2Fwoscc%2Ffull-record%2FWOS:000355035600010","View Full Record in Web of Science")</f>
        <v>View Full Record in Web of Science</v>
      </c>
    </row>
    <row r="611" spans="1:72" x14ac:dyDescent="0.2">
      <c r="A611" t="s">
        <v>72</v>
      </c>
      <c r="B611" t="s">
        <v>11840</v>
      </c>
      <c r="C611" t="s">
        <v>74</v>
      </c>
      <c r="D611" t="s">
        <v>74</v>
      </c>
      <c r="E611" t="s">
        <v>74</v>
      </c>
      <c r="F611" t="s">
        <v>11841</v>
      </c>
      <c r="G611" t="s">
        <v>74</v>
      </c>
      <c r="H611" t="s">
        <v>74</v>
      </c>
      <c r="I611" t="s">
        <v>11842</v>
      </c>
      <c r="J611" t="s">
        <v>6253</v>
      </c>
      <c r="K611" t="s">
        <v>74</v>
      </c>
      <c r="L611" t="s">
        <v>74</v>
      </c>
      <c r="M611" t="s">
        <v>78</v>
      </c>
      <c r="N611" t="s">
        <v>79</v>
      </c>
      <c r="O611" t="s">
        <v>74</v>
      </c>
      <c r="P611" t="s">
        <v>74</v>
      </c>
      <c r="Q611" t="s">
        <v>74</v>
      </c>
      <c r="R611" t="s">
        <v>74</v>
      </c>
      <c r="S611" t="s">
        <v>74</v>
      </c>
      <c r="T611" t="s">
        <v>11843</v>
      </c>
      <c r="U611" t="s">
        <v>11844</v>
      </c>
      <c r="V611" t="s">
        <v>11845</v>
      </c>
      <c r="W611" t="s">
        <v>11846</v>
      </c>
      <c r="X611" t="s">
        <v>11847</v>
      </c>
      <c r="Y611" t="s">
        <v>11848</v>
      </c>
      <c r="Z611" t="s">
        <v>11849</v>
      </c>
      <c r="AA611" t="s">
        <v>74</v>
      </c>
      <c r="AB611" t="s">
        <v>11850</v>
      </c>
      <c r="AC611" t="s">
        <v>74</v>
      </c>
      <c r="AD611" t="s">
        <v>74</v>
      </c>
      <c r="AE611" t="s">
        <v>74</v>
      </c>
      <c r="AF611" t="s">
        <v>74</v>
      </c>
      <c r="AG611">
        <v>47</v>
      </c>
      <c r="AH611">
        <v>97</v>
      </c>
      <c r="AI611">
        <v>107</v>
      </c>
      <c r="AJ611">
        <v>17</v>
      </c>
      <c r="AK611">
        <v>208</v>
      </c>
      <c r="AL611" t="s">
        <v>123</v>
      </c>
      <c r="AM611" t="s">
        <v>124</v>
      </c>
      <c r="AN611" t="s">
        <v>125</v>
      </c>
      <c r="AO611" t="s">
        <v>6266</v>
      </c>
      <c r="AP611" t="s">
        <v>74</v>
      </c>
      <c r="AQ611" t="s">
        <v>74</v>
      </c>
      <c r="AR611" t="s">
        <v>6267</v>
      </c>
      <c r="AS611" t="s">
        <v>6268</v>
      </c>
      <c r="AT611" t="s">
        <v>1963</v>
      </c>
      <c r="AU611">
        <v>2021</v>
      </c>
      <c r="AV611">
        <v>39</v>
      </c>
      <c r="AW611" t="s">
        <v>74</v>
      </c>
      <c r="AX611" t="s">
        <v>74</v>
      </c>
      <c r="AY611" t="s">
        <v>74</v>
      </c>
      <c r="AZ611" t="s">
        <v>74</v>
      </c>
      <c r="BA611" t="s">
        <v>74</v>
      </c>
      <c r="BB611" t="s">
        <v>74</v>
      </c>
      <c r="BC611" t="s">
        <v>74</v>
      </c>
      <c r="BD611">
        <v>100947</v>
      </c>
      <c r="BE611" t="s">
        <v>11851</v>
      </c>
      <c r="BF611" t="str">
        <f>HYPERLINK("http://dx.doi.org/10.1016/j.uclim.2021.100947","http://dx.doi.org/10.1016/j.uclim.2021.100947")</f>
        <v>http://dx.doi.org/10.1016/j.uclim.2021.100947</v>
      </c>
      <c r="BG611" t="s">
        <v>74</v>
      </c>
      <c r="BH611" t="s">
        <v>2901</v>
      </c>
      <c r="BI611">
        <v>17</v>
      </c>
      <c r="BJ611" t="s">
        <v>782</v>
      </c>
      <c r="BK611" t="s">
        <v>186</v>
      </c>
      <c r="BL611" t="s">
        <v>783</v>
      </c>
      <c r="BM611" t="s">
        <v>11852</v>
      </c>
      <c r="BN611" t="s">
        <v>74</v>
      </c>
      <c r="BO611" t="s">
        <v>74</v>
      </c>
      <c r="BP611" t="s">
        <v>74</v>
      </c>
      <c r="BQ611" t="s">
        <v>74</v>
      </c>
      <c r="BR611" t="s">
        <v>106</v>
      </c>
      <c r="BS611" t="s">
        <v>11853</v>
      </c>
      <c r="BT611" t="str">
        <f>HYPERLINK("https%3A%2F%2Fwww.webofscience.com%2Fwos%2Fwoscc%2Ffull-record%2FWOS:000701914800002","View Full Record in Web of Science")</f>
        <v>View Full Record in Web of Science</v>
      </c>
    </row>
    <row r="612" spans="1:72" x14ac:dyDescent="0.2">
      <c r="A612" t="s">
        <v>72</v>
      </c>
      <c r="B612" t="s">
        <v>11854</v>
      </c>
      <c r="C612" t="s">
        <v>74</v>
      </c>
      <c r="D612" t="s">
        <v>74</v>
      </c>
      <c r="E612" t="s">
        <v>74</v>
      </c>
      <c r="F612" t="s">
        <v>11855</v>
      </c>
      <c r="G612" t="s">
        <v>74</v>
      </c>
      <c r="H612" t="s">
        <v>74</v>
      </c>
      <c r="I612" t="s">
        <v>11856</v>
      </c>
      <c r="J612" t="s">
        <v>995</v>
      </c>
      <c r="K612" t="s">
        <v>74</v>
      </c>
      <c r="L612" t="s">
        <v>74</v>
      </c>
      <c r="M612" t="s">
        <v>78</v>
      </c>
      <c r="N612" t="s">
        <v>79</v>
      </c>
      <c r="O612" t="s">
        <v>74</v>
      </c>
      <c r="P612" t="s">
        <v>74</v>
      </c>
      <c r="Q612" t="s">
        <v>74</v>
      </c>
      <c r="R612" t="s">
        <v>74</v>
      </c>
      <c r="S612" t="s">
        <v>74</v>
      </c>
      <c r="T612" t="s">
        <v>11857</v>
      </c>
      <c r="U612" t="s">
        <v>11858</v>
      </c>
      <c r="V612" t="s">
        <v>11859</v>
      </c>
      <c r="W612" t="s">
        <v>11860</v>
      </c>
      <c r="X612" t="s">
        <v>11861</v>
      </c>
      <c r="Y612" t="s">
        <v>11862</v>
      </c>
      <c r="Z612" t="s">
        <v>11863</v>
      </c>
      <c r="AA612" t="s">
        <v>11864</v>
      </c>
      <c r="AB612" t="s">
        <v>74</v>
      </c>
      <c r="AC612" t="s">
        <v>11865</v>
      </c>
      <c r="AD612" t="s">
        <v>11866</v>
      </c>
      <c r="AE612" t="s">
        <v>11867</v>
      </c>
      <c r="AF612" t="s">
        <v>74</v>
      </c>
      <c r="AG612">
        <v>73</v>
      </c>
      <c r="AH612">
        <v>6</v>
      </c>
      <c r="AI612">
        <v>6</v>
      </c>
      <c r="AJ612">
        <v>5</v>
      </c>
      <c r="AK612">
        <v>47</v>
      </c>
      <c r="AL612" t="s">
        <v>123</v>
      </c>
      <c r="AM612" t="s">
        <v>124</v>
      </c>
      <c r="AN612" t="s">
        <v>125</v>
      </c>
      <c r="AO612" t="s">
        <v>1008</v>
      </c>
      <c r="AP612" t="s">
        <v>1009</v>
      </c>
      <c r="AQ612" t="s">
        <v>74</v>
      </c>
      <c r="AR612" t="s">
        <v>1010</v>
      </c>
      <c r="AS612" t="s">
        <v>1011</v>
      </c>
      <c r="AT612" t="s">
        <v>4711</v>
      </c>
      <c r="AU612">
        <v>2024</v>
      </c>
      <c r="AV612">
        <v>947</v>
      </c>
      <c r="AW612" t="s">
        <v>74</v>
      </c>
      <c r="AX612" t="s">
        <v>74</v>
      </c>
      <c r="AY612" t="s">
        <v>74</v>
      </c>
      <c r="AZ612" t="s">
        <v>74</v>
      </c>
      <c r="BA612" t="s">
        <v>74</v>
      </c>
      <c r="BB612" t="s">
        <v>74</v>
      </c>
      <c r="BC612" t="s">
        <v>74</v>
      </c>
      <c r="BD612">
        <v>173871</v>
      </c>
      <c r="BE612" t="s">
        <v>11868</v>
      </c>
      <c r="BF612" t="str">
        <f>HYPERLINK("http://dx.doi.org/10.1016/j.scitotenv.2024.173871","http://dx.doi.org/10.1016/j.scitotenv.2024.173871")</f>
        <v>http://dx.doi.org/10.1016/j.scitotenv.2024.173871</v>
      </c>
      <c r="BG612" t="s">
        <v>74</v>
      </c>
      <c r="BH612" t="s">
        <v>4174</v>
      </c>
      <c r="BI612">
        <v>15</v>
      </c>
      <c r="BJ612" t="s">
        <v>567</v>
      </c>
      <c r="BK612" t="s">
        <v>102</v>
      </c>
      <c r="BL612" t="s">
        <v>568</v>
      </c>
      <c r="BM612" t="s">
        <v>11869</v>
      </c>
      <c r="BN612">
        <v>38972422</v>
      </c>
      <c r="BO612" t="s">
        <v>74</v>
      </c>
      <c r="BP612" t="s">
        <v>74</v>
      </c>
      <c r="BQ612" t="s">
        <v>74</v>
      </c>
      <c r="BR612" t="s">
        <v>106</v>
      </c>
      <c r="BS612" t="s">
        <v>11870</v>
      </c>
      <c r="BT612" t="str">
        <f>HYPERLINK("https%3A%2F%2Fwww.webofscience.com%2Fwos%2Fwoscc%2Ffull-record%2FWOS:001269253200001","View Full Record in Web of Science")</f>
        <v>View Full Record in Web of Science</v>
      </c>
    </row>
    <row r="613" spans="1:72" x14ac:dyDescent="0.2">
      <c r="A613" t="s">
        <v>72</v>
      </c>
      <c r="B613" t="s">
        <v>11871</v>
      </c>
      <c r="C613" t="s">
        <v>74</v>
      </c>
      <c r="D613" t="s">
        <v>74</v>
      </c>
      <c r="E613" t="s">
        <v>74</v>
      </c>
      <c r="F613" t="s">
        <v>11872</v>
      </c>
      <c r="G613" t="s">
        <v>74</v>
      </c>
      <c r="H613" t="s">
        <v>74</v>
      </c>
      <c r="I613" t="s">
        <v>11873</v>
      </c>
      <c r="J613" t="s">
        <v>468</v>
      </c>
      <c r="K613" t="s">
        <v>74</v>
      </c>
      <c r="L613" t="s">
        <v>74</v>
      </c>
      <c r="M613" t="s">
        <v>78</v>
      </c>
      <c r="N613" t="s">
        <v>79</v>
      </c>
      <c r="O613" t="s">
        <v>74</v>
      </c>
      <c r="P613" t="s">
        <v>74</v>
      </c>
      <c r="Q613" t="s">
        <v>74</v>
      </c>
      <c r="R613" t="s">
        <v>74</v>
      </c>
      <c r="S613" t="s">
        <v>74</v>
      </c>
      <c r="T613" t="s">
        <v>11874</v>
      </c>
      <c r="U613" t="s">
        <v>11875</v>
      </c>
      <c r="V613" t="s">
        <v>11876</v>
      </c>
      <c r="W613" t="s">
        <v>11877</v>
      </c>
      <c r="X613" t="s">
        <v>7360</v>
      </c>
      <c r="Y613" t="s">
        <v>11878</v>
      </c>
      <c r="Z613" t="s">
        <v>11879</v>
      </c>
      <c r="AA613" t="s">
        <v>11880</v>
      </c>
      <c r="AB613" t="s">
        <v>74</v>
      </c>
      <c r="AC613" t="s">
        <v>11881</v>
      </c>
      <c r="AD613" t="s">
        <v>11882</v>
      </c>
      <c r="AE613" t="s">
        <v>11883</v>
      </c>
      <c r="AF613" t="s">
        <v>74</v>
      </c>
      <c r="AG613">
        <v>83</v>
      </c>
      <c r="AH613">
        <v>17</v>
      </c>
      <c r="AI613">
        <v>17</v>
      </c>
      <c r="AJ613">
        <v>7</v>
      </c>
      <c r="AK613">
        <v>98</v>
      </c>
      <c r="AL613" t="s">
        <v>222</v>
      </c>
      <c r="AM613" t="s">
        <v>223</v>
      </c>
      <c r="AN613" t="s">
        <v>478</v>
      </c>
      <c r="AO613" t="s">
        <v>74</v>
      </c>
      <c r="AP613" t="s">
        <v>479</v>
      </c>
      <c r="AQ613" t="s">
        <v>74</v>
      </c>
      <c r="AR613" t="s">
        <v>480</v>
      </c>
      <c r="AS613" t="s">
        <v>481</v>
      </c>
      <c r="AT613" t="s">
        <v>805</v>
      </c>
      <c r="AU613">
        <v>2022</v>
      </c>
      <c r="AV613">
        <v>14</v>
      </c>
      <c r="AW613">
        <v>21</v>
      </c>
      <c r="AX613" t="s">
        <v>74</v>
      </c>
      <c r="AY613" t="s">
        <v>74</v>
      </c>
      <c r="AZ613" t="s">
        <v>74</v>
      </c>
      <c r="BA613" t="s">
        <v>74</v>
      </c>
      <c r="BB613" t="s">
        <v>74</v>
      </c>
      <c r="BC613" t="s">
        <v>74</v>
      </c>
      <c r="BD613">
        <v>14492</v>
      </c>
      <c r="BE613" t="s">
        <v>11884</v>
      </c>
      <c r="BF613" t="str">
        <f>HYPERLINK("http://dx.doi.org/10.3390/su142114492","http://dx.doi.org/10.3390/su142114492")</f>
        <v>http://dx.doi.org/10.3390/su142114492</v>
      </c>
      <c r="BG613" t="s">
        <v>74</v>
      </c>
      <c r="BH613" t="s">
        <v>74</v>
      </c>
      <c r="BI613">
        <v>27</v>
      </c>
      <c r="BJ613" t="s">
        <v>484</v>
      </c>
      <c r="BK613" t="s">
        <v>186</v>
      </c>
      <c r="BL613" t="s">
        <v>485</v>
      </c>
      <c r="BM613" t="s">
        <v>11885</v>
      </c>
      <c r="BN613" t="s">
        <v>74</v>
      </c>
      <c r="BO613" t="s">
        <v>161</v>
      </c>
      <c r="BP613" t="s">
        <v>74</v>
      </c>
      <c r="BQ613" t="s">
        <v>74</v>
      </c>
      <c r="BR613" t="s">
        <v>106</v>
      </c>
      <c r="BS613" t="s">
        <v>11886</v>
      </c>
      <c r="BT613" t="str">
        <f>HYPERLINK("https%3A%2F%2Fwww.webofscience.com%2Fwos%2Fwoscc%2Ffull-record%2FWOS:000884013600001","View Full Record in Web of Science")</f>
        <v>View Full Record in Web of Science</v>
      </c>
    </row>
    <row r="614" spans="1:72" x14ac:dyDescent="0.2">
      <c r="A614" t="s">
        <v>72</v>
      </c>
      <c r="B614" t="s">
        <v>11887</v>
      </c>
      <c r="C614" t="s">
        <v>74</v>
      </c>
      <c r="D614" t="s">
        <v>74</v>
      </c>
      <c r="E614" t="s">
        <v>74</v>
      </c>
      <c r="F614" t="s">
        <v>11888</v>
      </c>
      <c r="G614" t="s">
        <v>74</v>
      </c>
      <c r="H614" t="s">
        <v>74</v>
      </c>
      <c r="I614" t="s">
        <v>11889</v>
      </c>
      <c r="J614" t="s">
        <v>3833</v>
      </c>
      <c r="K614" t="s">
        <v>74</v>
      </c>
      <c r="L614" t="s">
        <v>74</v>
      </c>
      <c r="M614" t="s">
        <v>78</v>
      </c>
      <c r="N614" t="s">
        <v>79</v>
      </c>
      <c r="O614" t="s">
        <v>74</v>
      </c>
      <c r="P614" t="s">
        <v>74</v>
      </c>
      <c r="Q614" t="s">
        <v>74</v>
      </c>
      <c r="R614" t="s">
        <v>74</v>
      </c>
      <c r="S614" t="s">
        <v>74</v>
      </c>
      <c r="T614" t="s">
        <v>11890</v>
      </c>
      <c r="U614" t="s">
        <v>11891</v>
      </c>
      <c r="V614" t="s">
        <v>11892</v>
      </c>
      <c r="W614" t="s">
        <v>11893</v>
      </c>
      <c r="X614" t="s">
        <v>11894</v>
      </c>
      <c r="Y614" t="s">
        <v>11895</v>
      </c>
      <c r="Z614" t="s">
        <v>11896</v>
      </c>
      <c r="AA614" t="s">
        <v>11897</v>
      </c>
      <c r="AB614" t="s">
        <v>11898</v>
      </c>
      <c r="AC614" t="s">
        <v>11899</v>
      </c>
      <c r="AD614" t="s">
        <v>11900</v>
      </c>
      <c r="AE614" t="s">
        <v>11901</v>
      </c>
      <c r="AF614" t="s">
        <v>74</v>
      </c>
      <c r="AG614">
        <v>54</v>
      </c>
      <c r="AH614">
        <v>14</v>
      </c>
      <c r="AI614">
        <v>17</v>
      </c>
      <c r="AJ614">
        <v>9</v>
      </c>
      <c r="AK614">
        <v>40</v>
      </c>
      <c r="AL614" t="s">
        <v>655</v>
      </c>
      <c r="AM614" t="s">
        <v>405</v>
      </c>
      <c r="AN614" t="s">
        <v>656</v>
      </c>
      <c r="AO614" t="s">
        <v>3846</v>
      </c>
      <c r="AP614" t="s">
        <v>74</v>
      </c>
      <c r="AQ614" t="s">
        <v>74</v>
      </c>
      <c r="AR614" t="s">
        <v>3847</v>
      </c>
      <c r="AS614" t="s">
        <v>3848</v>
      </c>
      <c r="AT614" t="s">
        <v>11902</v>
      </c>
      <c r="AU614">
        <v>2024</v>
      </c>
      <c r="AV614">
        <v>14</v>
      </c>
      <c r="AW614" t="s">
        <v>74</v>
      </c>
      <c r="AX614" t="s">
        <v>74</v>
      </c>
      <c r="AY614" t="s">
        <v>74</v>
      </c>
      <c r="AZ614" t="s">
        <v>74</v>
      </c>
      <c r="BA614" t="s">
        <v>74</v>
      </c>
      <c r="BB614" t="s">
        <v>74</v>
      </c>
      <c r="BC614" t="s">
        <v>74</v>
      </c>
      <c r="BD614">
        <v>1337144</v>
      </c>
      <c r="BE614" t="s">
        <v>11903</v>
      </c>
      <c r="BF614" t="str">
        <f>HYPERLINK("http://dx.doi.org/10.3389/fpls.2023.1337144","http://dx.doi.org/10.3389/fpls.2023.1337144")</f>
        <v>http://dx.doi.org/10.3389/fpls.2023.1337144</v>
      </c>
      <c r="BG614" t="s">
        <v>74</v>
      </c>
      <c r="BH614" t="s">
        <v>74</v>
      </c>
      <c r="BI614">
        <v>7</v>
      </c>
      <c r="BJ614" t="s">
        <v>3850</v>
      </c>
      <c r="BK614" t="s">
        <v>102</v>
      </c>
      <c r="BL614" t="s">
        <v>3850</v>
      </c>
      <c r="BM614" t="s">
        <v>11904</v>
      </c>
      <c r="BN614">
        <v>38259907</v>
      </c>
      <c r="BO614" t="s">
        <v>161</v>
      </c>
      <c r="BP614" t="s">
        <v>74</v>
      </c>
      <c r="BQ614" t="s">
        <v>74</v>
      </c>
      <c r="BR614" t="s">
        <v>106</v>
      </c>
      <c r="BS614" t="s">
        <v>11905</v>
      </c>
      <c r="BT614" t="str">
        <f>HYPERLINK("https%3A%2F%2Fwww.webofscience.com%2Fwos%2Fwoscc%2Ffull-record%2FWOS:001152888000001","View Full Record in Web of Science")</f>
        <v>View Full Record in Web of Science</v>
      </c>
    </row>
    <row r="615" spans="1:72" x14ac:dyDescent="0.2">
      <c r="A615" t="s">
        <v>72</v>
      </c>
      <c r="B615" t="s">
        <v>11906</v>
      </c>
      <c r="C615" t="s">
        <v>74</v>
      </c>
      <c r="D615" t="s">
        <v>74</v>
      </c>
      <c r="E615" t="s">
        <v>74</v>
      </c>
      <c r="F615" t="s">
        <v>11907</v>
      </c>
      <c r="G615" t="s">
        <v>74</v>
      </c>
      <c r="H615" t="s">
        <v>74</v>
      </c>
      <c r="I615" t="s">
        <v>11908</v>
      </c>
      <c r="J615" t="s">
        <v>1912</v>
      </c>
      <c r="K615" t="s">
        <v>74</v>
      </c>
      <c r="L615" t="s">
        <v>74</v>
      </c>
      <c r="M615" t="s">
        <v>78</v>
      </c>
      <c r="N615" t="s">
        <v>79</v>
      </c>
      <c r="O615" t="s">
        <v>74</v>
      </c>
      <c r="P615" t="s">
        <v>74</v>
      </c>
      <c r="Q615" t="s">
        <v>74</v>
      </c>
      <c r="R615" t="s">
        <v>74</v>
      </c>
      <c r="S615" t="s">
        <v>74</v>
      </c>
      <c r="T615" t="s">
        <v>11909</v>
      </c>
      <c r="U615" t="s">
        <v>11910</v>
      </c>
      <c r="V615" t="s">
        <v>11911</v>
      </c>
      <c r="W615" t="s">
        <v>11912</v>
      </c>
      <c r="X615" t="s">
        <v>7608</v>
      </c>
      <c r="Y615" t="s">
        <v>11913</v>
      </c>
      <c r="Z615" t="s">
        <v>11914</v>
      </c>
      <c r="AA615" t="s">
        <v>11915</v>
      </c>
      <c r="AB615" t="s">
        <v>74</v>
      </c>
      <c r="AC615" t="s">
        <v>11916</v>
      </c>
      <c r="AD615" t="s">
        <v>8251</v>
      </c>
      <c r="AE615" t="s">
        <v>11917</v>
      </c>
      <c r="AF615" t="s">
        <v>74</v>
      </c>
      <c r="AG615">
        <v>42</v>
      </c>
      <c r="AH615">
        <v>3</v>
      </c>
      <c r="AI615">
        <v>3</v>
      </c>
      <c r="AJ615">
        <v>1</v>
      </c>
      <c r="AK615">
        <v>47</v>
      </c>
      <c r="AL615" t="s">
        <v>1921</v>
      </c>
      <c r="AM615" t="s">
        <v>1922</v>
      </c>
      <c r="AN615" t="s">
        <v>1923</v>
      </c>
      <c r="AO615" t="s">
        <v>1924</v>
      </c>
      <c r="AP615" t="s">
        <v>1925</v>
      </c>
      <c r="AQ615" t="s">
        <v>74</v>
      </c>
      <c r="AR615" t="s">
        <v>1926</v>
      </c>
      <c r="AS615" t="s">
        <v>1927</v>
      </c>
      <c r="AT615" t="s">
        <v>74</v>
      </c>
      <c r="AU615">
        <v>2015</v>
      </c>
      <c r="AV615">
        <v>24</v>
      </c>
      <c r="AW615">
        <v>9</v>
      </c>
      <c r="AX615" t="s">
        <v>74</v>
      </c>
      <c r="AY615" t="s">
        <v>74</v>
      </c>
      <c r="AZ615" t="s">
        <v>74</v>
      </c>
      <c r="BA615" t="s">
        <v>74</v>
      </c>
      <c r="BB615">
        <v>2751</v>
      </c>
      <c r="BC615">
        <v>2762</v>
      </c>
      <c r="BD615" t="s">
        <v>74</v>
      </c>
      <c r="BE615" t="s">
        <v>74</v>
      </c>
      <c r="BF615" t="s">
        <v>74</v>
      </c>
      <c r="BG615" t="s">
        <v>74</v>
      </c>
      <c r="BH615" t="s">
        <v>74</v>
      </c>
      <c r="BI615">
        <v>12</v>
      </c>
      <c r="BJ615" t="s">
        <v>567</v>
      </c>
      <c r="BK615" t="s">
        <v>102</v>
      </c>
      <c r="BL615" t="s">
        <v>568</v>
      </c>
      <c r="BM615" t="s">
        <v>11918</v>
      </c>
      <c r="BN615" t="s">
        <v>74</v>
      </c>
      <c r="BO615" t="s">
        <v>74</v>
      </c>
      <c r="BP615" t="s">
        <v>74</v>
      </c>
      <c r="BQ615" t="s">
        <v>74</v>
      </c>
      <c r="BR615" t="s">
        <v>106</v>
      </c>
      <c r="BS615" t="s">
        <v>11919</v>
      </c>
      <c r="BT615" t="str">
        <f>HYPERLINK("https%3A%2F%2Fwww.webofscience.com%2Fwos%2Fwoscc%2Ffull-record%2FWOS:000363072200009","View Full Record in Web of Science")</f>
        <v>View Full Record in Web of Science</v>
      </c>
    </row>
    <row r="616" spans="1:72" x14ac:dyDescent="0.2">
      <c r="A616" t="s">
        <v>72</v>
      </c>
      <c r="B616" t="s">
        <v>11920</v>
      </c>
      <c r="C616" t="s">
        <v>74</v>
      </c>
      <c r="D616" t="s">
        <v>74</v>
      </c>
      <c r="E616" t="s">
        <v>74</v>
      </c>
      <c r="F616" t="s">
        <v>11921</v>
      </c>
      <c r="G616" t="s">
        <v>74</v>
      </c>
      <c r="H616" t="s">
        <v>74</v>
      </c>
      <c r="I616" t="s">
        <v>11922</v>
      </c>
      <c r="J616" t="s">
        <v>546</v>
      </c>
      <c r="K616" t="s">
        <v>74</v>
      </c>
      <c r="L616" t="s">
        <v>74</v>
      </c>
      <c r="M616" t="s">
        <v>78</v>
      </c>
      <c r="N616" t="s">
        <v>79</v>
      </c>
      <c r="O616" t="s">
        <v>74</v>
      </c>
      <c r="P616" t="s">
        <v>74</v>
      </c>
      <c r="Q616" t="s">
        <v>74</v>
      </c>
      <c r="R616" t="s">
        <v>74</v>
      </c>
      <c r="S616" t="s">
        <v>74</v>
      </c>
      <c r="T616" t="s">
        <v>74</v>
      </c>
      <c r="U616" t="s">
        <v>11923</v>
      </c>
      <c r="V616" t="s">
        <v>11924</v>
      </c>
      <c r="W616" t="s">
        <v>11925</v>
      </c>
      <c r="X616" t="s">
        <v>11926</v>
      </c>
      <c r="Y616" t="s">
        <v>11927</v>
      </c>
      <c r="Z616" t="s">
        <v>11928</v>
      </c>
      <c r="AA616" t="s">
        <v>11929</v>
      </c>
      <c r="AB616" t="s">
        <v>11930</v>
      </c>
      <c r="AC616" t="s">
        <v>74</v>
      </c>
      <c r="AD616" t="s">
        <v>74</v>
      </c>
      <c r="AE616" t="s">
        <v>74</v>
      </c>
      <c r="AF616" t="s">
        <v>74</v>
      </c>
      <c r="AG616">
        <v>89</v>
      </c>
      <c r="AH616">
        <v>16</v>
      </c>
      <c r="AI616">
        <v>16</v>
      </c>
      <c r="AJ616">
        <v>17</v>
      </c>
      <c r="AK616">
        <v>89</v>
      </c>
      <c r="AL616" t="s">
        <v>559</v>
      </c>
      <c r="AM616" t="s">
        <v>93</v>
      </c>
      <c r="AN616" t="s">
        <v>560</v>
      </c>
      <c r="AO616" t="s">
        <v>561</v>
      </c>
      <c r="AP616" t="s">
        <v>562</v>
      </c>
      <c r="AQ616" t="s">
        <v>74</v>
      </c>
      <c r="AR616" t="s">
        <v>563</v>
      </c>
      <c r="AS616" t="s">
        <v>564</v>
      </c>
      <c r="AT616" t="s">
        <v>459</v>
      </c>
      <c r="AU616">
        <v>2024</v>
      </c>
      <c r="AV616">
        <v>351</v>
      </c>
      <c r="AW616" t="s">
        <v>74</v>
      </c>
      <c r="AX616" t="s">
        <v>74</v>
      </c>
      <c r="AY616" t="s">
        <v>74</v>
      </c>
      <c r="AZ616" t="s">
        <v>74</v>
      </c>
      <c r="BA616" t="s">
        <v>74</v>
      </c>
      <c r="BB616" t="s">
        <v>74</v>
      </c>
      <c r="BC616" t="s">
        <v>74</v>
      </c>
      <c r="BD616">
        <v>119888</v>
      </c>
      <c r="BE616" t="s">
        <v>11931</v>
      </c>
      <c r="BF616" t="str">
        <f>HYPERLINK("http://dx.doi.org/10.1016/j.jenvman.2023.119888","http://dx.doi.org/10.1016/j.jenvman.2023.119888")</f>
        <v>http://dx.doi.org/10.1016/j.jenvman.2023.119888</v>
      </c>
      <c r="BG616" t="s">
        <v>74</v>
      </c>
      <c r="BH616" t="s">
        <v>1314</v>
      </c>
      <c r="BI616">
        <v>12</v>
      </c>
      <c r="BJ616" t="s">
        <v>567</v>
      </c>
      <c r="BK616" t="s">
        <v>102</v>
      </c>
      <c r="BL616" t="s">
        <v>568</v>
      </c>
      <c r="BM616" t="s">
        <v>11932</v>
      </c>
      <c r="BN616">
        <v>38176379</v>
      </c>
      <c r="BO616" t="s">
        <v>74</v>
      </c>
      <c r="BP616" t="s">
        <v>74</v>
      </c>
      <c r="BQ616" t="s">
        <v>74</v>
      </c>
      <c r="BR616" t="s">
        <v>106</v>
      </c>
      <c r="BS616" t="s">
        <v>11933</v>
      </c>
      <c r="BT616" t="str">
        <f>HYPERLINK("https%3A%2F%2Fwww.webofscience.com%2Fwos%2Fwoscc%2Ffull-record%2FWOS:001158411500001","View Full Record in Web of Science")</f>
        <v>View Full Record in Web of Science</v>
      </c>
    </row>
    <row r="617" spans="1:72" x14ac:dyDescent="0.2">
      <c r="A617" t="s">
        <v>72</v>
      </c>
      <c r="B617" t="s">
        <v>11934</v>
      </c>
      <c r="C617" t="s">
        <v>74</v>
      </c>
      <c r="D617" t="s">
        <v>74</v>
      </c>
      <c r="E617" t="s">
        <v>74</v>
      </c>
      <c r="F617" t="s">
        <v>11935</v>
      </c>
      <c r="G617" t="s">
        <v>74</v>
      </c>
      <c r="H617" t="s">
        <v>74</v>
      </c>
      <c r="I617" t="s">
        <v>11936</v>
      </c>
      <c r="J617" t="s">
        <v>546</v>
      </c>
      <c r="K617" t="s">
        <v>74</v>
      </c>
      <c r="L617" t="s">
        <v>74</v>
      </c>
      <c r="M617" t="s">
        <v>78</v>
      </c>
      <c r="N617" t="s">
        <v>79</v>
      </c>
      <c r="O617" t="s">
        <v>74</v>
      </c>
      <c r="P617" t="s">
        <v>74</v>
      </c>
      <c r="Q617" t="s">
        <v>74</v>
      </c>
      <c r="R617" t="s">
        <v>74</v>
      </c>
      <c r="S617" t="s">
        <v>74</v>
      </c>
      <c r="T617" t="s">
        <v>11937</v>
      </c>
      <c r="U617" t="s">
        <v>11938</v>
      </c>
      <c r="V617" t="s">
        <v>11939</v>
      </c>
      <c r="W617" t="s">
        <v>11940</v>
      </c>
      <c r="X617" t="s">
        <v>11941</v>
      </c>
      <c r="Y617" t="s">
        <v>11942</v>
      </c>
      <c r="Z617" t="s">
        <v>11943</v>
      </c>
      <c r="AA617" t="s">
        <v>11944</v>
      </c>
      <c r="AB617" t="s">
        <v>11945</v>
      </c>
      <c r="AC617" t="s">
        <v>11946</v>
      </c>
      <c r="AD617" t="s">
        <v>11947</v>
      </c>
      <c r="AE617" t="s">
        <v>11948</v>
      </c>
      <c r="AF617" t="s">
        <v>74</v>
      </c>
      <c r="AG617">
        <v>51</v>
      </c>
      <c r="AH617">
        <v>49</v>
      </c>
      <c r="AI617">
        <v>54</v>
      </c>
      <c r="AJ617">
        <v>1</v>
      </c>
      <c r="AK617">
        <v>51</v>
      </c>
      <c r="AL617" t="s">
        <v>559</v>
      </c>
      <c r="AM617" t="s">
        <v>93</v>
      </c>
      <c r="AN617" t="s">
        <v>560</v>
      </c>
      <c r="AO617" t="s">
        <v>561</v>
      </c>
      <c r="AP617" t="s">
        <v>562</v>
      </c>
      <c r="AQ617" t="s">
        <v>74</v>
      </c>
      <c r="AR617" t="s">
        <v>563</v>
      </c>
      <c r="AS617" t="s">
        <v>564</v>
      </c>
      <c r="AT617" t="s">
        <v>7392</v>
      </c>
      <c r="AU617">
        <v>2017</v>
      </c>
      <c r="AV617">
        <v>196</v>
      </c>
      <c r="AW617" t="s">
        <v>74</v>
      </c>
      <c r="AX617" t="s">
        <v>74</v>
      </c>
      <c r="AY617" t="s">
        <v>74</v>
      </c>
      <c r="AZ617" t="s">
        <v>74</v>
      </c>
      <c r="BA617" t="s">
        <v>74</v>
      </c>
      <c r="BB617">
        <v>644</v>
      </c>
      <c r="BC617">
        <v>650</v>
      </c>
      <c r="BD617" t="s">
        <v>74</v>
      </c>
      <c r="BE617" t="s">
        <v>11949</v>
      </c>
      <c r="BF617" t="str">
        <f>HYPERLINK("http://dx.doi.org/10.1016/j.jenvman.2017.03.052","http://dx.doi.org/10.1016/j.jenvman.2017.03.052")</f>
        <v>http://dx.doi.org/10.1016/j.jenvman.2017.03.052</v>
      </c>
      <c r="BG617" t="s">
        <v>74</v>
      </c>
      <c r="BH617" t="s">
        <v>74</v>
      </c>
      <c r="BI617">
        <v>7</v>
      </c>
      <c r="BJ617" t="s">
        <v>567</v>
      </c>
      <c r="BK617" t="s">
        <v>102</v>
      </c>
      <c r="BL617" t="s">
        <v>568</v>
      </c>
      <c r="BM617" t="s">
        <v>11950</v>
      </c>
      <c r="BN617">
        <v>28365549</v>
      </c>
      <c r="BO617" t="s">
        <v>541</v>
      </c>
      <c r="BP617" t="s">
        <v>74</v>
      </c>
      <c r="BQ617" t="s">
        <v>74</v>
      </c>
      <c r="BR617" t="s">
        <v>106</v>
      </c>
      <c r="BS617" t="s">
        <v>11951</v>
      </c>
      <c r="BT617" t="str">
        <f>HYPERLINK("https%3A%2F%2Fwww.webofscience.com%2Fwos%2Fwoscc%2Ffull-record%2FWOS:000401888300060","View Full Record in Web of Science")</f>
        <v>View Full Record in Web of Science</v>
      </c>
    </row>
    <row r="618" spans="1:72" x14ac:dyDescent="0.2">
      <c r="A618" t="s">
        <v>72</v>
      </c>
      <c r="B618" t="s">
        <v>11952</v>
      </c>
      <c r="C618" t="s">
        <v>74</v>
      </c>
      <c r="D618" t="s">
        <v>74</v>
      </c>
      <c r="E618" t="s">
        <v>74</v>
      </c>
      <c r="F618" t="s">
        <v>11953</v>
      </c>
      <c r="G618" t="s">
        <v>74</v>
      </c>
      <c r="H618" t="s">
        <v>74</v>
      </c>
      <c r="I618" t="s">
        <v>11954</v>
      </c>
      <c r="J618" t="s">
        <v>10324</v>
      </c>
      <c r="K618" t="s">
        <v>74</v>
      </c>
      <c r="L618" t="s">
        <v>74</v>
      </c>
      <c r="M618" t="s">
        <v>78</v>
      </c>
      <c r="N618" t="s">
        <v>79</v>
      </c>
      <c r="O618" t="s">
        <v>74</v>
      </c>
      <c r="P618" t="s">
        <v>74</v>
      </c>
      <c r="Q618" t="s">
        <v>74</v>
      </c>
      <c r="R618" t="s">
        <v>74</v>
      </c>
      <c r="S618" t="s">
        <v>74</v>
      </c>
      <c r="T618" t="s">
        <v>11955</v>
      </c>
      <c r="U618" t="s">
        <v>11956</v>
      </c>
      <c r="V618" t="s">
        <v>11957</v>
      </c>
      <c r="W618" t="s">
        <v>11958</v>
      </c>
      <c r="X618" t="s">
        <v>11959</v>
      </c>
      <c r="Y618" t="s">
        <v>11960</v>
      </c>
      <c r="Z618" t="s">
        <v>11961</v>
      </c>
      <c r="AA618" t="s">
        <v>11962</v>
      </c>
      <c r="AB618" t="s">
        <v>11963</v>
      </c>
      <c r="AC618" t="s">
        <v>11964</v>
      </c>
      <c r="AD618" t="s">
        <v>11965</v>
      </c>
      <c r="AE618" t="s">
        <v>11966</v>
      </c>
      <c r="AF618" t="s">
        <v>74</v>
      </c>
      <c r="AG618">
        <v>44</v>
      </c>
      <c r="AH618">
        <v>35</v>
      </c>
      <c r="AI618">
        <v>44</v>
      </c>
      <c r="AJ618">
        <v>1</v>
      </c>
      <c r="AK618">
        <v>45</v>
      </c>
      <c r="AL618" t="s">
        <v>123</v>
      </c>
      <c r="AM618" t="s">
        <v>124</v>
      </c>
      <c r="AN618" t="s">
        <v>125</v>
      </c>
      <c r="AO618" t="s">
        <v>10337</v>
      </c>
      <c r="AP618" t="s">
        <v>10338</v>
      </c>
      <c r="AQ618" t="s">
        <v>74</v>
      </c>
      <c r="AR618" t="s">
        <v>10339</v>
      </c>
      <c r="AS618" t="s">
        <v>10340</v>
      </c>
      <c r="AT618" t="s">
        <v>11967</v>
      </c>
      <c r="AU618">
        <v>2023</v>
      </c>
      <c r="AV618">
        <v>23</v>
      </c>
      <c r="AW618" t="s">
        <v>74</v>
      </c>
      <c r="AX618" t="s">
        <v>74</v>
      </c>
      <c r="AY618" t="s">
        <v>74</v>
      </c>
      <c r="AZ618" t="s">
        <v>74</v>
      </c>
      <c r="BA618" t="s">
        <v>74</v>
      </c>
      <c r="BB618">
        <v>90</v>
      </c>
      <c r="BC618">
        <v>105</v>
      </c>
      <c r="BD618" t="s">
        <v>74</v>
      </c>
      <c r="BE618" t="s">
        <v>11968</v>
      </c>
      <c r="BF618" t="str">
        <f>HYPERLINK("http://dx.doi.org/10.1016/j.jmrt.2022.12.164","http://dx.doi.org/10.1016/j.jmrt.2022.12.164")</f>
        <v>http://dx.doi.org/10.1016/j.jmrt.2022.12.164</v>
      </c>
      <c r="BG618" t="s">
        <v>74</v>
      </c>
      <c r="BH618" t="s">
        <v>10562</v>
      </c>
      <c r="BI618">
        <v>16</v>
      </c>
      <c r="BJ618" t="s">
        <v>10343</v>
      </c>
      <c r="BK618" t="s">
        <v>102</v>
      </c>
      <c r="BL618" t="s">
        <v>10344</v>
      </c>
      <c r="BM618" t="s">
        <v>11969</v>
      </c>
      <c r="BN618" t="s">
        <v>74</v>
      </c>
      <c r="BO618" t="s">
        <v>231</v>
      </c>
      <c r="BP618" t="s">
        <v>74</v>
      </c>
      <c r="BQ618" t="s">
        <v>74</v>
      </c>
      <c r="BR618" t="s">
        <v>106</v>
      </c>
      <c r="BS618" t="s">
        <v>11970</v>
      </c>
      <c r="BT618" t="str">
        <f>HYPERLINK("https%3A%2F%2Fwww.webofscience.com%2Fwos%2Fwoscc%2Ffull-record%2FWOS:000963549200001","View Full Record in Web of Science")</f>
        <v>View Full Record in Web of Science</v>
      </c>
    </row>
    <row r="619" spans="1:72" x14ac:dyDescent="0.2">
      <c r="A619" t="s">
        <v>72</v>
      </c>
      <c r="B619" t="s">
        <v>11971</v>
      </c>
      <c r="C619" t="s">
        <v>74</v>
      </c>
      <c r="D619" t="s">
        <v>74</v>
      </c>
      <c r="E619" t="s">
        <v>74</v>
      </c>
      <c r="F619" t="s">
        <v>11972</v>
      </c>
      <c r="G619" t="s">
        <v>74</v>
      </c>
      <c r="H619" t="s">
        <v>74</v>
      </c>
      <c r="I619" t="s">
        <v>11973</v>
      </c>
      <c r="J619" t="s">
        <v>789</v>
      </c>
      <c r="K619" t="s">
        <v>74</v>
      </c>
      <c r="L619" t="s">
        <v>74</v>
      </c>
      <c r="M619" t="s">
        <v>78</v>
      </c>
      <c r="N619" t="s">
        <v>79</v>
      </c>
      <c r="O619" t="s">
        <v>74</v>
      </c>
      <c r="P619" t="s">
        <v>74</v>
      </c>
      <c r="Q619" t="s">
        <v>74</v>
      </c>
      <c r="R619" t="s">
        <v>74</v>
      </c>
      <c r="S619" t="s">
        <v>74</v>
      </c>
      <c r="T619" t="s">
        <v>11974</v>
      </c>
      <c r="U619" t="s">
        <v>11975</v>
      </c>
      <c r="V619" t="s">
        <v>11976</v>
      </c>
      <c r="W619" t="s">
        <v>11977</v>
      </c>
      <c r="X619" t="s">
        <v>11978</v>
      </c>
      <c r="Y619" t="s">
        <v>11979</v>
      </c>
      <c r="Z619" t="s">
        <v>11980</v>
      </c>
      <c r="AA619" t="s">
        <v>11981</v>
      </c>
      <c r="AB619" t="s">
        <v>11982</v>
      </c>
      <c r="AC619" t="s">
        <v>11983</v>
      </c>
      <c r="AD619" t="s">
        <v>11983</v>
      </c>
      <c r="AE619" t="s">
        <v>11984</v>
      </c>
      <c r="AF619" t="s">
        <v>74</v>
      </c>
      <c r="AG619">
        <v>71</v>
      </c>
      <c r="AH619">
        <v>8</v>
      </c>
      <c r="AI619">
        <v>8</v>
      </c>
      <c r="AJ619">
        <v>1</v>
      </c>
      <c r="AK619">
        <v>4</v>
      </c>
      <c r="AL619" t="s">
        <v>504</v>
      </c>
      <c r="AM619" t="s">
        <v>505</v>
      </c>
      <c r="AN619" t="s">
        <v>506</v>
      </c>
      <c r="AO619" t="s">
        <v>801</v>
      </c>
      <c r="AP619" t="s">
        <v>802</v>
      </c>
      <c r="AQ619" t="s">
        <v>74</v>
      </c>
      <c r="AR619" t="s">
        <v>803</v>
      </c>
      <c r="AS619" t="s">
        <v>804</v>
      </c>
      <c r="AT619" t="s">
        <v>11985</v>
      </c>
      <c r="AU619">
        <v>2025</v>
      </c>
      <c r="AV619">
        <v>197</v>
      </c>
      <c r="AW619">
        <v>2</v>
      </c>
      <c r="AX619" t="s">
        <v>74</v>
      </c>
      <c r="AY619" t="s">
        <v>74</v>
      </c>
      <c r="AZ619" t="s">
        <v>74</v>
      </c>
      <c r="BA619" t="s">
        <v>74</v>
      </c>
      <c r="BB619" t="s">
        <v>74</v>
      </c>
      <c r="BC619" t="s">
        <v>74</v>
      </c>
      <c r="BD619">
        <v>169</v>
      </c>
      <c r="BE619" t="s">
        <v>11986</v>
      </c>
      <c r="BF619" t="str">
        <f>HYPERLINK("http://dx.doi.org/10.1007/s10661-024-13611-0","http://dx.doi.org/10.1007/s10661-024-13611-0")</f>
        <v>http://dx.doi.org/10.1007/s10661-024-13611-0</v>
      </c>
      <c r="BG619" t="s">
        <v>74</v>
      </c>
      <c r="BH619" t="s">
        <v>74</v>
      </c>
      <c r="BI619">
        <v>19</v>
      </c>
      <c r="BJ619" t="s">
        <v>567</v>
      </c>
      <c r="BK619" t="s">
        <v>102</v>
      </c>
      <c r="BL619" t="s">
        <v>568</v>
      </c>
      <c r="BM619" t="s">
        <v>11987</v>
      </c>
      <c r="BN619">
        <v>39808343</v>
      </c>
      <c r="BO619" t="s">
        <v>74</v>
      </c>
      <c r="BP619" t="s">
        <v>74</v>
      </c>
      <c r="BQ619" t="s">
        <v>74</v>
      </c>
      <c r="BR619" t="s">
        <v>106</v>
      </c>
      <c r="BS619" t="s">
        <v>11988</v>
      </c>
      <c r="BT619" t="str">
        <f>HYPERLINK("https%3A%2F%2Fwww.webofscience.com%2Fwos%2Fwoscc%2Ffull-record%2FWOS:001397893000003","View Full Record in Web of Science")</f>
        <v>View Full Record in Web of Science</v>
      </c>
    </row>
    <row r="620" spans="1:72" x14ac:dyDescent="0.2">
      <c r="A620" t="s">
        <v>72</v>
      </c>
      <c r="B620" t="s">
        <v>11989</v>
      </c>
      <c r="C620" t="s">
        <v>74</v>
      </c>
      <c r="D620" t="s">
        <v>74</v>
      </c>
      <c r="E620" t="s">
        <v>74</v>
      </c>
      <c r="F620" t="s">
        <v>11990</v>
      </c>
      <c r="G620" t="s">
        <v>74</v>
      </c>
      <c r="H620" t="s">
        <v>74</v>
      </c>
      <c r="I620" t="s">
        <v>11991</v>
      </c>
      <c r="J620" t="s">
        <v>236</v>
      </c>
      <c r="K620" t="s">
        <v>74</v>
      </c>
      <c r="L620" t="s">
        <v>74</v>
      </c>
      <c r="M620" t="s">
        <v>78</v>
      </c>
      <c r="N620" t="s">
        <v>79</v>
      </c>
      <c r="O620" t="s">
        <v>74</v>
      </c>
      <c r="P620" t="s">
        <v>74</v>
      </c>
      <c r="Q620" t="s">
        <v>74</v>
      </c>
      <c r="R620" t="s">
        <v>74</v>
      </c>
      <c r="S620" t="s">
        <v>74</v>
      </c>
      <c r="T620" t="s">
        <v>74</v>
      </c>
      <c r="U620" t="s">
        <v>11992</v>
      </c>
      <c r="V620" t="s">
        <v>11993</v>
      </c>
      <c r="W620" t="s">
        <v>11994</v>
      </c>
      <c r="X620" t="s">
        <v>11995</v>
      </c>
      <c r="Y620" t="s">
        <v>11996</v>
      </c>
      <c r="Z620" t="s">
        <v>11997</v>
      </c>
      <c r="AA620" t="s">
        <v>74</v>
      </c>
      <c r="AB620" t="s">
        <v>11998</v>
      </c>
      <c r="AC620" t="s">
        <v>11999</v>
      </c>
      <c r="AD620" t="s">
        <v>12000</v>
      </c>
      <c r="AE620" t="s">
        <v>12001</v>
      </c>
      <c r="AF620" t="s">
        <v>74</v>
      </c>
      <c r="AG620">
        <v>42</v>
      </c>
      <c r="AH620">
        <v>3</v>
      </c>
      <c r="AI620">
        <v>3</v>
      </c>
      <c r="AJ620">
        <v>2</v>
      </c>
      <c r="AK620">
        <v>17</v>
      </c>
      <c r="AL620" t="s">
        <v>247</v>
      </c>
      <c r="AM620" t="s">
        <v>248</v>
      </c>
      <c r="AN620" t="s">
        <v>249</v>
      </c>
      <c r="AO620" t="s">
        <v>250</v>
      </c>
      <c r="AP620" t="s">
        <v>251</v>
      </c>
      <c r="AQ620" t="s">
        <v>74</v>
      </c>
      <c r="AR620" t="s">
        <v>252</v>
      </c>
      <c r="AS620" t="s">
        <v>253</v>
      </c>
      <c r="AT620" t="s">
        <v>912</v>
      </c>
      <c r="AU620">
        <v>2024</v>
      </c>
      <c r="AV620">
        <v>88</v>
      </c>
      <c r="AW620">
        <v>3</v>
      </c>
      <c r="AX620" t="s">
        <v>74</v>
      </c>
      <c r="AY620" t="s">
        <v>74</v>
      </c>
      <c r="AZ620" t="s">
        <v>74</v>
      </c>
      <c r="BA620" t="s">
        <v>74</v>
      </c>
      <c r="BB620">
        <v>803</v>
      </c>
      <c r="BC620">
        <v>815</v>
      </c>
      <c r="BD620" t="s">
        <v>74</v>
      </c>
      <c r="BE620" t="s">
        <v>12002</v>
      </c>
      <c r="BF620" t="str">
        <f>HYPERLINK("http://dx.doi.org/10.1002/saj2.20650","http://dx.doi.org/10.1002/saj2.20650")</f>
        <v>http://dx.doi.org/10.1002/saj2.20650</v>
      </c>
      <c r="BG620" t="s">
        <v>74</v>
      </c>
      <c r="BH620" t="s">
        <v>2430</v>
      </c>
      <c r="BI620">
        <v>13</v>
      </c>
      <c r="BJ620" t="s">
        <v>256</v>
      </c>
      <c r="BK620" t="s">
        <v>102</v>
      </c>
      <c r="BL620" t="s">
        <v>103</v>
      </c>
      <c r="BM620" t="s">
        <v>9669</v>
      </c>
      <c r="BN620" t="s">
        <v>74</v>
      </c>
      <c r="BO620" t="s">
        <v>74</v>
      </c>
      <c r="BP620" t="s">
        <v>74</v>
      </c>
      <c r="BQ620" t="s">
        <v>74</v>
      </c>
      <c r="BR620" t="s">
        <v>106</v>
      </c>
      <c r="BS620" t="s">
        <v>12003</v>
      </c>
      <c r="BT620" t="str">
        <f>HYPERLINK("https%3A%2F%2Fwww.webofscience.com%2Fwos%2Fwoscc%2Ffull-record%2FWOS:001173198000001","View Full Record in Web of Science")</f>
        <v>View Full Record in Web of Science</v>
      </c>
    </row>
    <row r="621" spans="1:72" x14ac:dyDescent="0.2">
      <c r="A621" t="s">
        <v>72</v>
      </c>
      <c r="B621" t="s">
        <v>12004</v>
      </c>
      <c r="C621" t="s">
        <v>74</v>
      </c>
      <c r="D621" t="s">
        <v>74</v>
      </c>
      <c r="E621" t="s">
        <v>74</v>
      </c>
      <c r="F621" t="s">
        <v>12005</v>
      </c>
      <c r="G621" t="s">
        <v>74</v>
      </c>
      <c r="H621" t="s">
        <v>74</v>
      </c>
      <c r="I621" t="s">
        <v>12006</v>
      </c>
      <c r="J621" t="s">
        <v>446</v>
      </c>
      <c r="K621" t="s">
        <v>74</v>
      </c>
      <c r="L621" t="s">
        <v>74</v>
      </c>
      <c r="M621" t="s">
        <v>78</v>
      </c>
      <c r="N621" t="s">
        <v>79</v>
      </c>
      <c r="O621" t="s">
        <v>74</v>
      </c>
      <c r="P621" t="s">
        <v>74</v>
      </c>
      <c r="Q621" t="s">
        <v>74</v>
      </c>
      <c r="R621" t="s">
        <v>74</v>
      </c>
      <c r="S621" t="s">
        <v>74</v>
      </c>
      <c r="T621" t="s">
        <v>12007</v>
      </c>
      <c r="U621" t="s">
        <v>12008</v>
      </c>
      <c r="V621" t="s">
        <v>12009</v>
      </c>
      <c r="W621" t="s">
        <v>12010</v>
      </c>
      <c r="X621" t="s">
        <v>12011</v>
      </c>
      <c r="Y621" t="s">
        <v>12012</v>
      </c>
      <c r="Z621" t="s">
        <v>12013</v>
      </c>
      <c r="AA621" t="s">
        <v>74</v>
      </c>
      <c r="AB621" t="s">
        <v>74</v>
      </c>
      <c r="AC621" t="s">
        <v>12014</v>
      </c>
      <c r="AD621" t="s">
        <v>12015</v>
      </c>
      <c r="AE621" t="s">
        <v>12016</v>
      </c>
      <c r="AF621" t="s">
        <v>74</v>
      </c>
      <c r="AG621">
        <v>61</v>
      </c>
      <c r="AH621">
        <v>0</v>
      </c>
      <c r="AI621">
        <v>0</v>
      </c>
      <c r="AJ621">
        <v>11</v>
      </c>
      <c r="AK621">
        <v>11</v>
      </c>
      <c r="AL621" t="s">
        <v>222</v>
      </c>
      <c r="AM621" t="s">
        <v>223</v>
      </c>
      <c r="AN621" t="s">
        <v>478</v>
      </c>
      <c r="AO621" t="s">
        <v>74</v>
      </c>
      <c r="AP621" t="s">
        <v>457</v>
      </c>
      <c r="AQ621" t="s">
        <v>74</v>
      </c>
      <c r="AR621" t="s">
        <v>446</v>
      </c>
      <c r="AS621" t="s">
        <v>458</v>
      </c>
      <c r="AT621" t="s">
        <v>12017</v>
      </c>
      <c r="AU621">
        <v>2025</v>
      </c>
      <c r="AV621">
        <v>15</v>
      </c>
      <c r="AW621">
        <v>7</v>
      </c>
      <c r="AX621" t="s">
        <v>74</v>
      </c>
      <c r="AY621" t="s">
        <v>74</v>
      </c>
      <c r="AZ621" t="s">
        <v>74</v>
      </c>
      <c r="BA621" t="s">
        <v>74</v>
      </c>
      <c r="BB621" t="s">
        <v>74</v>
      </c>
      <c r="BC621" t="s">
        <v>74</v>
      </c>
      <c r="BD621">
        <v>1559</v>
      </c>
      <c r="BE621" t="s">
        <v>12018</v>
      </c>
      <c r="BF621" t="str">
        <f>HYPERLINK("http://dx.doi.org/10.3390/agronomy15071559","http://dx.doi.org/10.3390/agronomy15071559")</f>
        <v>http://dx.doi.org/10.3390/agronomy15071559</v>
      </c>
      <c r="BG621" t="s">
        <v>74</v>
      </c>
      <c r="BH621" t="s">
        <v>74</v>
      </c>
      <c r="BI621">
        <v>21</v>
      </c>
      <c r="BJ621" t="s">
        <v>461</v>
      </c>
      <c r="BK621" t="s">
        <v>102</v>
      </c>
      <c r="BL621" t="s">
        <v>462</v>
      </c>
      <c r="BM621" t="s">
        <v>12019</v>
      </c>
      <c r="BN621" t="s">
        <v>74</v>
      </c>
      <c r="BO621" t="s">
        <v>231</v>
      </c>
      <c r="BP621" t="s">
        <v>74</v>
      </c>
      <c r="BQ621" t="s">
        <v>74</v>
      </c>
      <c r="BR621" t="s">
        <v>106</v>
      </c>
      <c r="BS621" t="s">
        <v>12020</v>
      </c>
      <c r="BT621" t="str">
        <f>HYPERLINK("https%3A%2F%2Fwww.webofscience.com%2Fwos%2Fwoscc%2Ffull-record%2FWOS:001540930800001","View Full Record in Web of Science")</f>
        <v>View Full Record in Web of Science</v>
      </c>
    </row>
    <row r="622" spans="1:72" x14ac:dyDescent="0.2">
      <c r="A622" t="s">
        <v>72</v>
      </c>
      <c r="B622" t="s">
        <v>12021</v>
      </c>
      <c r="C622" t="s">
        <v>74</v>
      </c>
      <c r="D622" t="s">
        <v>74</v>
      </c>
      <c r="E622" t="s">
        <v>74</v>
      </c>
      <c r="F622" t="s">
        <v>12022</v>
      </c>
      <c r="G622" t="s">
        <v>74</v>
      </c>
      <c r="H622" t="s">
        <v>74</v>
      </c>
      <c r="I622" t="s">
        <v>12023</v>
      </c>
      <c r="J622" t="s">
        <v>5876</v>
      </c>
      <c r="K622" t="s">
        <v>74</v>
      </c>
      <c r="L622" t="s">
        <v>74</v>
      </c>
      <c r="M622" t="s">
        <v>78</v>
      </c>
      <c r="N622" t="s">
        <v>79</v>
      </c>
      <c r="O622" t="s">
        <v>74</v>
      </c>
      <c r="P622" t="s">
        <v>74</v>
      </c>
      <c r="Q622" t="s">
        <v>74</v>
      </c>
      <c r="R622" t="s">
        <v>74</v>
      </c>
      <c r="S622" t="s">
        <v>74</v>
      </c>
      <c r="T622" t="s">
        <v>12024</v>
      </c>
      <c r="U622" t="s">
        <v>12025</v>
      </c>
      <c r="V622" t="s">
        <v>12026</v>
      </c>
      <c r="W622" t="s">
        <v>12027</v>
      </c>
      <c r="X622" t="s">
        <v>2179</v>
      </c>
      <c r="Y622" t="s">
        <v>12028</v>
      </c>
      <c r="Z622" t="s">
        <v>12029</v>
      </c>
      <c r="AA622" t="s">
        <v>1727</v>
      </c>
      <c r="AB622" t="s">
        <v>74</v>
      </c>
      <c r="AC622" t="s">
        <v>12030</v>
      </c>
      <c r="AD622" t="s">
        <v>12031</v>
      </c>
      <c r="AE622" t="s">
        <v>12032</v>
      </c>
      <c r="AF622" t="s">
        <v>74</v>
      </c>
      <c r="AG622">
        <v>95</v>
      </c>
      <c r="AH622">
        <v>18</v>
      </c>
      <c r="AI622">
        <v>18</v>
      </c>
      <c r="AJ622">
        <v>16</v>
      </c>
      <c r="AK622">
        <v>141</v>
      </c>
      <c r="AL622" t="s">
        <v>123</v>
      </c>
      <c r="AM622" t="s">
        <v>124</v>
      </c>
      <c r="AN622" t="s">
        <v>125</v>
      </c>
      <c r="AO622" t="s">
        <v>5888</v>
      </c>
      <c r="AP622" t="s">
        <v>5889</v>
      </c>
      <c r="AQ622" t="s">
        <v>74</v>
      </c>
      <c r="AR622" t="s">
        <v>5890</v>
      </c>
      <c r="AS622" t="s">
        <v>5891</v>
      </c>
      <c r="AT622" t="s">
        <v>1312</v>
      </c>
      <c r="AU622">
        <v>2022</v>
      </c>
      <c r="AV622">
        <v>277</v>
      </c>
      <c r="AW622" t="s">
        <v>74</v>
      </c>
      <c r="AX622" t="s">
        <v>74</v>
      </c>
      <c r="AY622" t="s">
        <v>74</v>
      </c>
      <c r="AZ622" t="s">
        <v>74</v>
      </c>
      <c r="BA622" t="s">
        <v>74</v>
      </c>
      <c r="BB622" t="s">
        <v>74</v>
      </c>
      <c r="BC622" t="s">
        <v>74</v>
      </c>
      <c r="BD622">
        <v>108421</v>
      </c>
      <c r="BE622" t="s">
        <v>12033</v>
      </c>
      <c r="BF622" t="str">
        <f>HYPERLINK("http://dx.doi.org/10.1016/j.fcr.2021.108421","http://dx.doi.org/10.1016/j.fcr.2021.108421")</f>
        <v>http://dx.doi.org/10.1016/j.fcr.2021.108421</v>
      </c>
      <c r="BG622" t="s">
        <v>74</v>
      </c>
      <c r="BH622" t="s">
        <v>7616</v>
      </c>
      <c r="BI622">
        <v>15</v>
      </c>
      <c r="BJ622" t="s">
        <v>1357</v>
      </c>
      <c r="BK622" t="s">
        <v>102</v>
      </c>
      <c r="BL622" t="s">
        <v>103</v>
      </c>
      <c r="BM622" t="s">
        <v>12034</v>
      </c>
      <c r="BN622" t="s">
        <v>74</v>
      </c>
      <c r="BO622" t="s">
        <v>74</v>
      </c>
      <c r="BP622" t="s">
        <v>74</v>
      </c>
      <c r="BQ622" t="s">
        <v>74</v>
      </c>
      <c r="BR622" t="s">
        <v>106</v>
      </c>
      <c r="BS622" t="s">
        <v>12035</v>
      </c>
      <c r="BT622" t="str">
        <f>HYPERLINK("https%3A%2F%2Fwww.webofscience.com%2Fwos%2Fwoscc%2Ffull-record%2FWOS:000742734300002","View Full Record in Web of Science")</f>
        <v>View Full Record in Web of Science</v>
      </c>
    </row>
    <row r="623" spans="1:72" x14ac:dyDescent="0.2">
      <c r="A623" t="s">
        <v>72</v>
      </c>
      <c r="B623" t="s">
        <v>12036</v>
      </c>
      <c r="C623" t="s">
        <v>74</v>
      </c>
      <c r="D623" t="s">
        <v>74</v>
      </c>
      <c r="E623" t="s">
        <v>74</v>
      </c>
      <c r="F623" t="s">
        <v>12037</v>
      </c>
      <c r="G623" t="s">
        <v>74</v>
      </c>
      <c r="H623" t="s">
        <v>74</v>
      </c>
      <c r="I623" t="s">
        <v>12038</v>
      </c>
      <c r="J623" t="s">
        <v>5578</v>
      </c>
      <c r="K623" t="s">
        <v>74</v>
      </c>
      <c r="L623" t="s">
        <v>74</v>
      </c>
      <c r="M623" t="s">
        <v>78</v>
      </c>
      <c r="N623" t="s">
        <v>492</v>
      </c>
      <c r="O623" t="s">
        <v>74</v>
      </c>
      <c r="P623" t="s">
        <v>74</v>
      </c>
      <c r="Q623" t="s">
        <v>74</v>
      </c>
      <c r="R623" t="s">
        <v>74</v>
      </c>
      <c r="S623" t="s">
        <v>74</v>
      </c>
      <c r="T623" t="s">
        <v>12039</v>
      </c>
      <c r="U623" t="s">
        <v>12040</v>
      </c>
      <c r="V623" t="s">
        <v>12041</v>
      </c>
      <c r="W623" t="s">
        <v>12042</v>
      </c>
      <c r="X623" t="s">
        <v>12043</v>
      </c>
      <c r="Y623" t="s">
        <v>12044</v>
      </c>
      <c r="Z623" t="s">
        <v>12045</v>
      </c>
      <c r="AA623" t="s">
        <v>12046</v>
      </c>
      <c r="AB623" t="s">
        <v>12047</v>
      </c>
      <c r="AC623" t="s">
        <v>12048</v>
      </c>
      <c r="AD623" t="s">
        <v>12049</v>
      </c>
      <c r="AE623" t="s">
        <v>12050</v>
      </c>
      <c r="AF623" t="s">
        <v>74</v>
      </c>
      <c r="AG623">
        <v>68</v>
      </c>
      <c r="AH623">
        <v>0</v>
      </c>
      <c r="AI623">
        <v>0</v>
      </c>
      <c r="AJ623">
        <v>11</v>
      </c>
      <c r="AK623">
        <v>11</v>
      </c>
      <c r="AL623" t="s">
        <v>504</v>
      </c>
      <c r="AM623" t="s">
        <v>505</v>
      </c>
      <c r="AN623" t="s">
        <v>506</v>
      </c>
      <c r="AO623" t="s">
        <v>5589</v>
      </c>
      <c r="AP623" t="s">
        <v>5590</v>
      </c>
      <c r="AQ623" t="s">
        <v>74</v>
      </c>
      <c r="AR623" t="s">
        <v>5591</v>
      </c>
      <c r="AS623" t="s">
        <v>5592</v>
      </c>
      <c r="AT623" t="s">
        <v>12051</v>
      </c>
      <c r="AU623">
        <v>2025</v>
      </c>
      <c r="AV623" t="s">
        <v>74</v>
      </c>
      <c r="AW623" t="s">
        <v>74</v>
      </c>
      <c r="AX623" t="s">
        <v>74</v>
      </c>
      <c r="AY623" t="s">
        <v>74</v>
      </c>
      <c r="AZ623" t="s">
        <v>74</v>
      </c>
      <c r="BA623" t="s">
        <v>74</v>
      </c>
      <c r="BB623" t="s">
        <v>74</v>
      </c>
      <c r="BC623" t="s">
        <v>74</v>
      </c>
      <c r="BD623" t="s">
        <v>74</v>
      </c>
      <c r="BE623" t="s">
        <v>12052</v>
      </c>
      <c r="BF623" t="str">
        <f>HYPERLINK("http://dx.doi.org/10.1007/s11104-025-07636-8","http://dx.doi.org/10.1007/s11104-025-07636-8")</f>
        <v>http://dx.doi.org/10.1007/s11104-025-07636-8</v>
      </c>
      <c r="BG623" t="s">
        <v>74</v>
      </c>
      <c r="BH623" t="s">
        <v>413</v>
      </c>
      <c r="BI623">
        <v>10</v>
      </c>
      <c r="BJ623" t="s">
        <v>5595</v>
      </c>
      <c r="BK623" t="s">
        <v>102</v>
      </c>
      <c r="BL623" t="s">
        <v>462</v>
      </c>
      <c r="BM623" t="s">
        <v>12053</v>
      </c>
      <c r="BN623" t="s">
        <v>74</v>
      </c>
      <c r="BO623" t="s">
        <v>916</v>
      </c>
      <c r="BP623" t="s">
        <v>74</v>
      </c>
      <c r="BQ623" t="s">
        <v>74</v>
      </c>
      <c r="BR623" t="s">
        <v>106</v>
      </c>
      <c r="BS623" t="s">
        <v>12054</v>
      </c>
      <c r="BT623" t="str">
        <f>HYPERLINK("https%3A%2F%2Fwww.webofscience.com%2Fwos%2Fwoscc%2Ffull-record%2FWOS:001514249500001","View Full Record in Web of Science")</f>
        <v>View Full Record in Web of Science</v>
      </c>
    </row>
    <row r="624" spans="1:72" x14ac:dyDescent="0.2">
      <c r="A624" t="s">
        <v>72</v>
      </c>
      <c r="B624" t="s">
        <v>12055</v>
      </c>
      <c r="C624" t="s">
        <v>74</v>
      </c>
      <c r="D624" t="s">
        <v>74</v>
      </c>
      <c r="E624" t="s">
        <v>74</v>
      </c>
      <c r="F624" t="s">
        <v>12056</v>
      </c>
      <c r="G624" t="s">
        <v>74</v>
      </c>
      <c r="H624" t="s">
        <v>74</v>
      </c>
      <c r="I624" t="s">
        <v>12057</v>
      </c>
      <c r="J624" t="s">
        <v>8131</v>
      </c>
      <c r="K624" t="s">
        <v>74</v>
      </c>
      <c r="L624" t="s">
        <v>74</v>
      </c>
      <c r="M624" t="s">
        <v>78</v>
      </c>
      <c r="N624" t="s">
        <v>79</v>
      </c>
      <c r="O624" t="s">
        <v>74</v>
      </c>
      <c r="P624" t="s">
        <v>74</v>
      </c>
      <c r="Q624" t="s">
        <v>74</v>
      </c>
      <c r="R624" t="s">
        <v>74</v>
      </c>
      <c r="S624" t="s">
        <v>74</v>
      </c>
      <c r="T624" t="s">
        <v>12058</v>
      </c>
      <c r="U624" t="s">
        <v>12059</v>
      </c>
      <c r="V624" t="s">
        <v>12060</v>
      </c>
      <c r="W624" t="s">
        <v>12061</v>
      </c>
      <c r="X624" t="s">
        <v>12062</v>
      </c>
      <c r="Y624" t="s">
        <v>12063</v>
      </c>
      <c r="Z624" t="s">
        <v>12064</v>
      </c>
      <c r="AA624" t="s">
        <v>12065</v>
      </c>
      <c r="AB624" t="s">
        <v>12066</v>
      </c>
      <c r="AC624" t="s">
        <v>74</v>
      </c>
      <c r="AD624" t="s">
        <v>74</v>
      </c>
      <c r="AE624" t="s">
        <v>74</v>
      </c>
      <c r="AF624" t="s">
        <v>74</v>
      </c>
      <c r="AG624">
        <v>43</v>
      </c>
      <c r="AH624">
        <v>15</v>
      </c>
      <c r="AI624">
        <v>19</v>
      </c>
      <c r="AJ624">
        <v>4</v>
      </c>
      <c r="AK624">
        <v>75</v>
      </c>
      <c r="AL624" t="s">
        <v>504</v>
      </c>
      <c r="AM624" t="s">
        <v>505</v>
      </c>
      <c r="AN624" t="s">
        <v>506</v>
      </c>
      <c r="AO624" t="s">
        <v>8144</v>
      </c>
      <c r="AP624" t="s">
        <v>8145</v>
      </c>
      <c r="AQ624" t="s">
        <v>74</v>
      </c>
      <c r="AR624" t="s">
        <v>8146</v>
      </c>
      <c r="AS624" t="s">
        <v>8147</v>
      </c>
      <c r="AT624" t="s">
        <v>1963</v>
      </c>
      <c r="AU624">
        <v>2020</v>
      </c>
      <c r="AV624">
        <v>118</v>
      </c>
      <c r="AW624">
        <v>1</v>
      </c>
      <c r="AX624" t="s">
        <v>74</v>
      </c>
      <c r="AY624" t="s">
        <v>74</v>
      </c>
      <c r="AZ624" t="s">
        <v>74</v>
      </c>
      <c r="BA624" t="s">
        <v>74</v>
      </c>
      <c r="BB624">
        <v>39</v>
      </c>
      <c r="BC624">
        <v>55</v>
      </c>
      <c r="BD624" t="s">
        <v>74</v>
      </c>
      <c r="BE624" t="s">
        <v>12067</v>
      </c>
      <c r="BF624" t="str">
        <f>HYPERLINK("http://dx.doi.org/10.1007/s10705-020-10081-x","http://dx.doi.org/10.1007/s10705-020-10081-x")</f>
        <v>http://dx.doi.org/10.1007/s10705-020-10081-x</v>
      </c>
      <c r="BG624" t="s">
        <v>74</v>
      </c>
      <c r="BH624" t="s">
        <v>284</v>
      </c>
      <c r="BI624">
        <v>17</v>
      </c>
      <c r="BJ624" t="s">
        <v>256</v>
      </c>
      <c r="BK624" t="s">
        <v>102</v>
      </c>
      <c r="BL624" t="s">
        <v>103</v>
      </c>
      <c r="BM624" t="s">
        <v>12068</v>
      </c>
      <c r="BN624" t="s">
        <v>74</v>
      </c>
      <c r="BO624" t="s">
        <v>74</v>
      </c>
      <c r="BP624" t="s">
        <v>74</v>
      </c>
      <c r="BQ624" t="s">
        <v>74</v>
      </c>
      <c r="BR624" t="s">
        <v>106</v>
      </c>
      <c r="BS624" t="s">
        <v>12069</v>
      </c>
      <c r="BT624" t="str">
        <f>HYPERLINK("https%3A%2F%2Fwww.webofscience.com%2Fwos%2Fwoscc%2Ffull-record%2FWOS:000544875200001","View Full Record in Web of Science")</f>
        <v>View Full Record in Web of Science</v>
      </c>
    </row>
    <row r="625" spans="1:72" x14ac:dyDescent="0.2">
      <c r="A625" t="s">
        <v>72</v>
      </c>
      <c r="B625" t="s">
        <v>12070</v>
      </c>
      <c r="C625" t="s">
        <v>74</v>
      </c>
      <c r="D625" t="s">
        <v>74</v>
      </c>
      <c r="E625" t="s">
        <v>74</v>
      </c>
      <c r="F625" t="s">
        <v>12071</v>
      </c>
      <c r="G625" t="s">
        <v>74</v>
      </c>
      <c r="H625" t="s">
        <v>74</v>
      </c>
      <c r="I625" t="s">
        <v>12072</v>
      </c>
      <c r="J625" t="s">
        <v>4261</v>
      </c>
      <c r="K625" t="s">
        <v>74</v>
      </c>
      <c r="L625" t="s">
        <v>74</v>
      </c>
      <c r="M625" t="s">
        <v>78</v>
      </c>
      <c r="N625" t="s">
        <v>79</v>
      </c>
      <c r="O625" t="s">
        <v>74</v>
      </c>
      <c r="P625" t="s">
        <v>74</v>
      </c>
      <c r="Q625" t="s">
        <v>74</v>
      </c>
      <c r="R625" t="s">
        <v>74</v>
      </c>
      <c r="S625" t="s">
        <v>74</v>
      </c>
      <c r="T625" t="s">
        <v>12073</v>
      </c>
      <c r="U625" t="s">
        <v>12074</v>
      </c>
      <c r="V625" t="s">
        <v>12075</v>
      </c>
      <c r="W625" t="s">
        <v>12076</v>
      </c>
      <c r="X625" t="s">
        <v>12077</v>
      </c>
      <c r="Y625" t="s">
        <v>12078</v>
      </c>
      <c r="Z625" t="s">
        <v>12079</v>
      </c>
      <c r="AA625" t="s">
        <v>12080</v>
      </c>
      <c r="AB625" t="s">
        <v>12081</v>
      </c>
      <c r="AC625" t="s">
        <v>12082</v>
      </c>
      <c r="AD625" t="s">
        <v>12083</v>
      </c>
      <c r="AE625" t="s">
        <v>12084</v>
      </c>
      <c r="AF625" t="s">
        <v>74</v>
      </c>
      <c r="AG625">
        <v>50</v>
      </c>
      <c r="AH625">
        <v>13</v>
      </c>
      <c r="AI625">
        <v>13</v>
      </c>
      <c r="AJ625">
        <v>1</v>
      </c>
      <c r="AK625">
        <v>17</v>
      </c>
      <c r="AL625" t="s">
        <v>1242</v>
      </c>
      <c r="AM625" t="s">
        <v>1243</v>
      </c>
      <c r="AN625" t="s">
        <v>1244</v>
      </c>
      <c r="AO625" t="s">
        <v>4271</v>
      </c>
      <c r="AP625" t="s">
        <v>4272</v>
      </c>
      <c r="AQ625" t="s">
        <v>74</v>
      </c>
      <c r="AR625" t="s">
        <v>4273</v>
      </c>
      <c r="AS625" t="s">
        <v>4274</v>
      </c>
      <c r="AT625" t="s">
        <v>1109</v>
      </c>
      <c r="AU625">
        <v>2022</v>
      </c>
      <c r="AV625">
        <v>22</v>
      </c>
      <c r="AW625">
        <v>4</v>
      </c>
      <c r="AX625" t="s">
        <v>74</v>
      </c>
      <c r="AY625" t="s">
        <v>74</v>
      </c>
      <c r="AZ625" t="s">
        <v>74</v>
      </c>
      <c r="BA625" t="s">
        <v>74</v>
      </c>
      <c r="BB625" t="s">
        <v>74</v>
      </c>
      <c r="BC625" t="s">
        <v>74</v>
      </c>
      <c r="BD625">
        <v>132</v>
      </c>
      <c r="BE625" t="s">
        <v>12085</v>
      </c>
      <c r="BF625" t="str">
        <f>HYPERLINK("http://dx.doi.org/10.1007/s10113-022-01978-0","http://dx.doi.org/10.1007/s10113-022-01978-0")</f>
        <v>http://dx.doi.org/10.1007/s10113-022-01978-0</v>
      </c>
      <c r="BG625" t="s">
        <v>74</v>
      </c>
      <c r="BH625" t="s">
        <v>74</v>
      </c>
      <c r="BI625">
        <v>11</v>
      </c>
      <c r="BJ625" t="s">
        <v>593</v>
      </c>
      <c r="BK625" t="s">
        <v>186</v>
      </c>
      <c r="BL625" t="s">
        <v>568</v>
      </c>
      <c r="BM625" t="s">
        <v>12086</v>
      </c>
      <c r="BN625" t="s">
        <v>74</v>
      </c>
      <c r="BO625" t="s">
        <v>916</v>
      </c>
      <c r="BP625" t="s">
        <v>74</v>
      </c>
      <c r="BQ625" t="s">
        <v>74</v>
      </c>
      <c r="BR625" t="s">
        <v>106</v>
      </c>
      <c r="BS625" t="s">
        <v>12087</v>
      </c>
      <c r="BT625" t="str">
        <f>HYPERLINK("https%3A%2F%2Fwww.webofscience.com%2Fwos%2Fwoscc%2Ffull-record%2FWOS:000884283100001","View Full Record in Web of Science")</f>
        <v>View Full Record in Web of Science</v>
      </c>
    </row>
    <row r="626" spans="1:72" x14ac:dyDescent="0.2">
      <c r="A626" t="s">
        <v>72</v>
      </c>
      <c r="B626" t="s">
        <v>12088</v>
      </c>
      <c r="C626" t="s">
        <v>74</v>
      </c>
      <c r="D626" t="s">
        <v>74</v>
      </c>
      <c r="E626" t="s">
        <v>74</v>
      </c>
      <c r="F626" t="s">
        <v>12089</v>
      </c>
      <c r="G626" t="s">
        <v>74</v>
      </c>
      <c r="H626" t="s">
        <v>74</v>
      </c>
      <c r="I626" t="s">
        <v>12090</v>
      </c>
      <c r="J626" t="s">
        <v>1344</v>
      </c>
      <c r="K626" t="s">
        <v>74</v>
      </c>
      <c r="L626" t="s">
        <v>74</v>
      </c>
      <c r="M626" t="s">
        <v>78</v>
      </c>
      <c r="N626" t="s">
        <v>79</v>
      </c>
      <c r="O626" t="s">
        <v>74</v>
      </c>
      <c r="P626" t="s">
        <v>74</v>
      </c>
      <c r="Q626" t="s">
        <v>74</v>
      </c>
      <c r="R626" t="s">
        <v>74</v>
      </c>
      <c r="S626" t="s">
        <v>74</v>
      </c>
      <c r="T626" t="s">
        <v>12091</v>
      </c>
      <c r="U626" t="s">
        <v>12092</v>
      </c>
      <c r="V626" t="s">
        <v>12093</v>
      </c>
      <c r="W626" t="s">
        <v>12094</v>
      </c>
      <c r="X626" t="s">
        <v>12095</v>
      </c>
      <c r="Y626" t="s">
        <v>12096</v>
      </c>
      <c r="Z626" t="s">
        <v>12097</v>
      </c>
      <c r="AA626" t="s">
        <v>12098</v>
      </c>
      <c r="AB626" t="s">
        <v>12099</v>
      </c>
      <c r="AC626" t="s">
        <v>12100</v>
      </c>
      <c r="AD626" t="s">
        <v>12101</v>
      </c>
      <c r="AE626" t="s">
        <v>12102</v>
      </c>
      <c r="AF626" t="s">
        <v>74</v>
      </c>
      <c r="AG626">
        <v>50</v>
      </c>
      <c r="AH626">
        <v>16</v>
      </c>
      <c r="AI626">
        <v>17</v>
      </c>
      <c r="AJ626">
        <v>1</v>
      </c>
      <c r="AK626">
        <v>27</v>
      </c>
      <c r="AL626" t="s">
        <v>222</v>
      </c>
      <c r="AM626" t="s">
        <v>223</v>
      </c>
      <c r="AN626" t="s">
        <v>478</v>
      </c>
      <c r="AO626" t="s">
        <v>74</v>
      </c>
      <c r="AP626" t="s">
        <v>1354</v>
      </c>
      <c r="AQ626" t="s">
        <v>74</v>
      </c>
      <c r="AR626" t="s">
        <v>1344</v>
      </c>
      <c r="AS626" t="s">
        <v>1355</v>
      </c>
      <c r="AT626" t="s">
        <v>805</v>
      </c>
      <c r="AU626">
        <v>2021</v>
      </c>
      <c r="AV626">
        <v>11</v>
      </c>
      <c r="AW626">
        <v>11</v>
      </c>
      <c r="AX626" t="s">
        <v>74</v>
      </c>
      <c r="AY626" t="s">
        <v>74</v>
      </c>
      <c r="AZ626" t="s">
        <v>74</v>
      </c>
      <c r="BA626" t="s">
        <v>74</v>
      </c>
      <c r="BB626" t="s">
        <v>74</v>
      </c>
      <c r="BC626" t="s">
        <v>74</v>
      </c>
      <c r="BD626">
        <v>1068</v>
      </c>
      <c r="BE626" t="s">
        <v>12103</v>
      </c>
      <c r="BF626" t="str">
        <f>HYPERLINK("http://dx.doi.org/10.3390/agriculture11111068","http://dx.doi.org/10.3390/agriculture11111068")</f>
        <v>http://dx.doi.org/10.3390/agriculture11111068</v>
      </c>
      <c r="BG626" t="s">
        <v>74</v>
      </c>
      <c r="BH626" t="s">
        <v>74</v>
      </c>
      <c r="BI626">
        <v>14</v>
      </c>
      <c r="BJ626" t="s">
        <v>1357</v>
      </c>
      <c r="BK626" t="s">
        <v>102</v>
      </c>
      <c r="BL626" t="s">
        <v>103</v>
      </c>
      <c r="BM626" t="s">
        <v>12104</v>
      </c>
      <c r="BN626" t="s">
        <v>74</v>
      </c>
      <c r="BO626" t="s">
        <v>161</v>
      </c>
      <c r="BP626" t="s">
        <v>74</v>
      </c>
      <c r="BQ626" t="s">
        <v>74</v>
      </c>
      <c r="BR626" t="s">
        <v>106</v>
      </c>
      <c r="BS626" t="s">
        <v>12105</v>
      </c>
      <c r="BT626" t="str">
        <f>HYPERLINK("https%3A%2F%2Fwww.webofscience.com%2Fwos%2Fwoscc%2Ffull-record%2FWOS:000725292100001","View Full Record in Web of Science")</f>
        <v>View Full Record in Web of Science</v>
      </c>
    </row>
    <row r="627" spans="1:72" x14ac:dyDescent="0.2">
      <c r="A627" t="s">
        <v>72</v>
      </c>
      <c r="B627" t="s">
        <v>12106</v>
      </c>
      <c r="C627" t="s">
        <v>74</v>
      </c>
      <c r="D627" t="s">
        <v>74</v>
      </c>
      <c r="E627" t="s">
        <v>74</v>
      </c>
      <c r="F627" t="s">
        <v>12107</v>
      </c>
      <c r="G627" t="s">
        <v>74</v>
      </c>
      <c r="H627" t="s">
        <v>74</v>
      </c>
      <c r="I627" t="s">
        <v>12108</v>
      </c>
      <c r="J627" t="s">
        <v>3061</v>
      </c>
      <c r="K627" t="s">
        <v>74</v>
      </c>
      <c r="L627" t="s">
        <v>74</v>
      </c>
      <c r="M627" t="s">
        <v>78</v>
      </c>
      <c r="N627" t="s">
        <v>79</v>
      </c>
      <c r="O627" t="s">
        <v>74</v>
      </c>
      <c r="P627" t="s">
        <v>74</v>
      </c>
      <c r="Q627" t="s">
        <v>74</v>
      </c>
      <c r="R627" t="s">
        <v>74</v>
      </c>
      <c r="S627" t="s">
        <v>74</v>
      </c>
      <c r="T627" t="s">
        <v>12109</v>
      </c>
      <c r="U627" t="s">
        <v>12110</v>
      </c>
      <c r="V627" t="s">
        <v>12111</v>
      </c>
      <c r="W627" t="s">
        <v>12112</v>
      </c>
      <c r="X627" t="s">
        <v>12113</v>
      </c>
      <c r="Y627" t="s">
        <v>12114</v>
      </c>
      <c r="Z627" t="s">
        <v>12115</v>
      </c>
      <c r="AA627" t="s">
        <v>12116</v>
      </c>
      <c r="AB627" t="s">
        <v>12117</v>
      </c>
      <c r="AC627" t="s">
        <v>12118</v>
      </c>
      <c r="AD627" t="s">
        <v>1591</v>
      </c>
      <c r="AE627" t="s">
        <v>12119</v>
      </c>
      <c r="AF627" t="s">
        <v>74</v>
      </c>
      <c r="AG627">
        <v>65</v>
      </c>
      <c r="AH627">
        <v>14</v>
      </c>
      <c r="AI627">
        <v>16</v>
      </c>
      <c r="AJ627">
        <v>10</v>
      </c>
      <c r="AK627">
        <v>174</v>
      </c>
      <c r="AL627" t="s">
        <v>123</v>
      </c>
      <c r="AM627" t="s">
        <v>124</v>
      </c>
      <c r="AN627" t="s">
        <v>125</v>
      </c>
      <c r="AO627" t="s">
        <v>3074</v>
      </c>
      <c r="AP627" t="s">
        <v>3075</v>
      </c>
      <c r="AQ627" t="s">
        <v>74</v>
      </c>
      <c r="AR627" t="s">
        <v>3061</v>
      </c>
      <c r="AS627" t="s">
        <v>3076</v>
      </c>
      <c r="AT627" t="s">
        <v>4005</v>
      </c>
      <c r="AU627">
        <v>2021</v>
      </c>
      <c r="AV627">
        <v>403</v>
      </c>
      <c r="AW627" t="s">
        <v>74</v>
      </c>
      <c r="AX627" t="s">
        <v>74</v>
      </c>
      <c r="AY627" t="s">
        <v>74</v>
      </c>
      <c r="AZ627" t="s">
        <v>74</v>
      </c>
      <c r="BA627" t="s">
        <v>74</v>
      </c>
      <c r="BB627" t="s">
        <v>74</v>
      </c>
      <c r="BC627" t="s">
        <v>74</v>
      </c>
      <c r="BD627">
        <v>115186</v>
      </c>
      <c r="BE627" t="s">
        <v>12120</v>
      </c>
      <c r="BF627" t="str">
        <f>HYPERLINK("http://dx.doi.org/10.1016/j.geoderma.2021.115186","http://dx.doi.org/10.1016/j.geoderma.2021.115186")</f>
        <v>http://dx.doi.org/10.1016/j.geoderma.2021.115186</v>
      </c>
      <c r="BG627" t="s">
        <v>74</v>
      </c>
      <c r="BH627" t="s">
        <v>8503</v>
      </c>
      <c r="BI627">
        <v>13</v>
      </c>
      <c r="BJ627" t="s">
        <v>256</v>
      </c>
      <c r="BK627" t="s">
        <v>102</v>
      </c>
      <c r="BL627" t="s">
        <v>103</v>
      </c>
      <c r="BM627" t="s">
        <v>12121</v>
      </c>
      <c r="BN627" t="s">
        <v>74</v>
      </c>
      <c r="BO627" t="s">
        <v>74</v>
      </c>
      <c r="BP627" t="s">
        <v>74</v>
      </c>
      <c r="BQ627" t="s">
        <v>74</v>
      </c>
      <c r="BR627" t="s">
        <v>106</v>
      </c>
      <c r="BS627" t="s">
        <v>12122</v>
      </c>
      <c r="BT627" t="str">
        <f>HYPERLINK("https%3A%2F%2Fwww.webofscience.com%2Fwos%2Fwoscc%2Ffull-record%2FWOS:000671591200004","View Full Record in Web of Science")</f>
        <v>View Full Record in Web of Science</v>
      </c>
    </row>
    <row r="628" spans="1:72" x14ac:dyDescent="0.2">
      <c r="A628" t="s">
        <v>72</v>
      </c>
      <c r="B628" t="s">
        <v>12123</v>
      </c>
      <c r="C628" t="s">
        <v>74</v>
      </c>
      <c r="D628" t="s">
        <v>74</v>
      </c>
      <c r="E628" t="s">
        <v>74</v>
      </c>
      <c r="F628" t="s">
        <v>12124</v>
      </c>
      <c r="G628" t="s">
        <v>74</v>
      </c>
      <c r="H628" t="s">
        <v>74</v>
      </c>
      <c r="I628" t="s">
        <v>12125</v>
      </c>
      <c r="J628" t="s">
        <v>1451</v>
      </c>
      <c r="K628" t="s">
        <v>74</v>
      </c>
      <c r="L628" t="s">
        <v>74</v>
      </c>
      <c r="M628" t="s">
        <v>78</v>
      </c>
      <c r="N628" t="s">
        <v>79</v>
      </c>
      <c r="O628" t="s">
        <v>74</v>
      </c>
      <c r="P628" t="s">
        <v>74</v>
      </c>
      <c r="Q628" t="s">
        <v>74</v>
      </c>
      <c r="R628" t="s">
        <v>74</v>
      </c>
      <c r="S628" t="s">
        <v>74</v>
      </c>
      <c r="T628" t="s">
        <v>12126</v>
      </c>
      <c r="U628" t="s">
        <v>12127</v>
      </c>
      <c r="V628" t="s">
        <v>12128</v>
      </c>
      <c r="W628" t="s">
        <v>12129</v>
      </c>
      <c r="X628" t="s">
        <v>12130</v>
      </c>
      <c r="Y628" t="s">
        <v>12131</v>
      </c>
      <c r="Z628" t="s">
        <v>12132</v>
      </c>
      <c r="AA628" t="s">
        <v>12133</v>
      </c>
      <c r="AB628" t="s">
        <v>12134</v>
      </c>
      <c r="AC628" t="s">
        <v>12135</v>
      </c>
      <c r="AD628" t="s">
        <v>12136</v>
      </c>
      <c r="AE628" t="s">
        <v>12137</v>
      </c>
      <c r="AF628" t="s">
        <v>74</v>
      </c>
      <c r="AG628">
        <v>82</v>
      </c>
      <c r="AH628">
        <v>40</v>
      </c>
      <c r="AI628">
        <v>44</v>
      </c>
      <c r="AJ628">
        <v>19</v>
      </c>
      <c r="AK628">
        <v>225</v>
      </c>
      <c r="AL628" t="s">
        <v>123</v>
      </c>
      <c r="AM628" t="s">
        <v>124</v>
      </c>
      <c r="AN628" t="s">
        <v>125</v>
      </c>
      <c r="AO628" t="s">
        <v>1464</v>
      </c>
      <c r="AP628" t="s">
        <v>1465</v>
      </c>
      <c r="AQ628" t="s">
        <v>74</v>
      </c>
      <c r="AR628" t="s">
        <v>1466</v>
      </c>
      <c r="AS628" t="s">
        <v>1467</v>
      </c>
      <c r="AT628" t="s">
        <v>960</v>
      </c>
      <c r="AU628">
        <v>2023</v>
      </c>
      <c r="AV628">
        <v>342</v>
      </c>
      <c r="AW628" t="s">
        <v>74</v>
      </c>
      <c r="AX628" t="s">
        <v>74</v>
      </c>
      <c r="AY628" t="s">
        <v>74</v>
      </c>
      <c r="AZ628" t="s">
        <v>74</v>
      </c>
      <c r="BA628" t="s">
        <v>74</v>
      </c>
      <c r="BB628" t="s">
        <v>74</v>
      </c>
      <c r="BC628" t="s">
        <v>74</v>
      </c>
      <c r="BD628">
        <v>108220</v>
      </c>
      <c r="BE628" t="s">
        <v>12138</v>
      </c>
      <c r="BF628" t="str">
        <f>HYPERLINK("http://dx.doi.org/10.1016/j.agee.2022.108220","http://dx.doi.org/10.1016/j.agee.2022.108220")</f>
        <v>http://dx.doi.org/10.1016/j.agee.2022.108220</v>
      </c>
      <c r="BG628" t="s">
        <v>74</v>
      </c>
      <c r="BH628" t="s">
        <v>11795</v>
      </c>
      <c r="BI628">
        <v>11</v>
      </c>
      <c r="BJ628" t="s">
        <v>1470</v>
      </c>
      <c r="BK628" t="s">
        <v>102</v>
      </c>
      <c r="BL628" t="s">
        <v>1471</v>
      </c>
      <c r="BM628" t="s">
        <v>12139</v>
      </c>
      <c r="BN628" t="s">
        <v>74</v>
      </c>
      <c r="BO628" t="s">
        <v>74</v>
      </c>
      <c r="BP628" t="s">
        <v>74</v>
      </c>
      <c r="BQ628" t="s">
        <v>74</v>
      </c>
      <c r="BR628" t="s">
        <v>106</v>
      </c>
      <c r="BS628" t="s">
        <v>12140</v>
      </c>
      <c r="BT628" t="str">
        <f>HYPERLINK("https%3A%2F%2Fwww.webofscience.com%2Fwos%2Fwoscc%2Ffull-record%2FWOS:000879199000005","View Full Record in Web of Science")</f>
        <v>View Full Record in Web of Science</v>
      </c>
    </row>
    <row r="629" spans="1:72" x14ac:dyDescent="0.2">
      <c r="A629" t="s">
        <v>72</v>
      </c>
      <c r="B629" t="s">
        <v>12141</v>
      </c>
      <c r="C629" t="s">
        <v>74</v>
      </c>
      <c r="D629" t="s">
        <v>74</v>
      </c>
      <c r="E629" t="s">
        <v>74</v>
      </c>
      <c r="F629" t="s">
        <v>12142</v>
      </c>
      <c r="G629" t="s">
        <v>74</v>
      </c>
      <c r="H629" t="s">
        <v>74</v>
      </c>
      <c r="I629" t="s">
        <v>12143</v>
      </c>
      <c r="J629" t="s">
        <v>740</v>
      </c>
      <c r="K629" t="s">
        <v>74</v>
      </c>
      <c r="L629" t="s">
        <v>74</v>
      </c>
      <c r="M629" t="s">
        <v>78</v>
      </c>
      <c r="N629" t="s">
        <v>79</v>
      </c>
      <c r="O629" t="s">
        <v>74</v>
      </c>
      <c r="P629" t="s">
        <v>74</v>
      </c>
      <c r="Q629" t="s">
        <v>74</v>
      </c>
      <c r="R629" t="s">
        <v>74</v>
      </c>
      <c r="S629" t="s">
        <v>74</v>
      </c>
      <c r="T629" t="s">
        <v>12144</v>
      </c>
      <c r="U629" t="s">
        <v>12145</v>
      </c>
      <c r="V629" t="s">
        <v>12146</v>
      </c>
      <c r="W629" t="s">
        <v>12147</v>
      </c>
      <c r="X629" t="s">
        <v>12148</v>
      </c>
      <c r="Y629" t="s">
        <v>12149</v>
      </c>
      <c r="Z629" t="s">
        <v>12150</v>
      </c>
      <c r="AA629" t="s">
        <v>12151</v>
      </c>
      <c r="AB629" t="s">
        <v>12152</v>
      </c>
      <c r="AC629" t="s">
        <v>12153</v>
      </c>
      <c r="AD629" t="s">
        <v>12154</v>
      </c>
      <c r="AE629" t="s">
        <v>12155</v>
      </c>
      <c r="AF629" t="s">
        <v>74</v>
      </c>
      <c r="AG629">
        <v>57</v>
      </c>
      <c r="AH629">
        <v>68</v>
      </c>
      <c r="AI629">
        <v>76</v>
      </c>
      <c r="AJ629">
        <v>4</v>
      </c>
      <c r="AK629">
        <v>133</v>
      </c>
      <c r="AL629" t="s">
        <v>247</v>
      </c>
      <c r="AM629" t="s">
        <v>248</v>
      </c>
      <c r="AN629" t="s">
        <v>249</v>
      </c>
      <c r="AO629" t="s">
        <v>750</v>
      </c>
      <c r="AP629" t="s">
        <v>751</v>
      </c>
      <c r="AQ629" t="s">
        <v>74</v>
      </c>
      <c r="AR629" t="s">
        <v>752</v>
      </c>
      <c r="AS629" t="s">
        <v>753</v>
      </c>
      <c r="AT629" t="s">
        <v>805</v>
      </c>
      <c r="AU629">
        <v>2019</v>
      </c>
      <c r="AV629">
        <v>25</v>
      </c>
      <c r="AW629">
        <v>11</v>
      </c>
      <c r="AX629" t="s">
        <v>74</v>
      </c>
      <c r="AY629" t="s">
        <v>74</v>
      </c>
      <c r="AZ629" t="s">
        <v>74</v>
      </c>
      <c r="BA629" t="s">
        <v>74</v>
      </c>
      <c r="BB629">
        <v>3741</v>
      </c>
      <c r="BC629">
        <v>3752</v>
      </c>
      <c r="BD629" t="s">
        <v>74</v>
      </c>
      <c r="BE629" t="s">
        <v>12156</v>
      </c>
      <c r="BF629" t="str">
        <f>HYPERLINK("http://dx.doi.org/10.1111/gcb.14768","http://dx.doi.org/10.1111/gcb.14768")</f>
        <v>http://dx.doi.org/10.1111/gcb.14768</v>
      </c>
      <c r="BG629" t="s">
        <v>74</v>
      </c>
      <c r="BH629" t="s">
        <v>12157</v>
      </c>
      <c r="BI629">
        <v>12</v>
      </c>
      <c r="BJ629" t="s">
        <v>755</v>
      </c>
      <c r="BK629" t="s">
        <v>102</v>
      </c>
      <c r="BL629" t="s">
        <v>756</v>
      </c>
      <c r="BM629" t="s">
        <v>12158</v>
      </c>
      <c r="BN629">
        <v>31310672</v>
      </c>
      <c r="BO629" t="s">
        <v>74</v>
      </c>
      <c r="BP629" t="s">
        <v>74</v>
      </c>
      <c r="BQ629" t="s">
        <v>74</v>
      </c>
      <c r="BR629" t="s">
        <v>106</v>
      </c>
      <c r="BS629" t="s">
        <v>12159</v>
      </c>
      <c r="BT629" t="str">
        <f>HYPERLINK("https%3A%2F%2Fwww.webofscience.com%2Fwos%2Fwoscc%2Ffull-record%2FWOS:000480866100001","View Full Record in Web of Science")</f>
        <v>View Full Record in Web of Science</v>
      </c>
    </row>
    <row r="630" spans="1:72" x14ac:dyDescent="0.2">
      <c r="A630" t="s">
        <v>72</v>
      </c>
      <c r="B630" t="s">
        <v>12160</v>
      </c>
      <c r="C630" t="s">
        <v>74</v>
      </c>
      <c r="D630" t="s">
        <v>74</v>
      </c>
      <c r="E630" t="s">
        <v>74</v>
      </c>
      <c r="F630" t="s">
        <v>12161</v>
      </c>
      <c r="G630" t="s">
        <v>74</v>
      </c>
      <c r="H630" t="s">
        <v>74</v>
      </c>
      <c r="I630" t="s">
        <v>12162</v>
      </c>
      <c r="J630" t="s">
        <v>870</v>
      </c>
      <c r="K630" t="s">
        <v>74</v>
      </c>
      <c r="L630" t="s">
        <v>74</v>
      </c>
      <c r="M630" t="s">
        <v>78</v>
      </c>
      <c r="N630" t="s">
        <v>79</v>
      </c>
      <c r="O630" t="s">
        <v>74</v>
      </c>
      <c r="P630" t="s">
        <v>74</v>
      </c>
      <c r="Q630" t="s">
        <v>74</v>
      </c>
      <c r="R630" t="s">
        <v>74</v>
      </c>
      <c r="S630" t="s">
        <v>74</v>
      </c>
      <c r="T630" t="s">
        <v>12163</v>
      </c>
      <c r="U630" t="s">
        <v>12164</v>
      </c>
      <c r="V630" t="s">
        <v>12165</v>
      </c>
      <c r="W630" t="s">
        <v>12166</v>
      </c>
      <c r="X630" t="s">
        <v>12167</v>
      </c>
      <c r="Y630" t="s">
        <v>12168</v>
      </c>
      <c r="Z630" t="s">
        <v>12169</v>
      </c>
      <c r="AA630" t="s">
        <v>12170</v>
      </c>
      <c r="AB630" t="s">
        <v>12171</v>
      </c>
      <c r="AC630" t="s">
        <v>12172</v>
      </c>
      <c r="AD630" t="s">
        <v>12173</v>
      </c>
      <c r="AE630" t="s">
        <v>12174</v>
      </c>
      <c r="AF630" t="s">
        <v>74</v>
      </c>
      <c r="AG630">
        <v>84</v>
      </c>
      <c r="AH630">
        <v>24</v>
      </c>
      <c r="AI630">
        <v>27</v>
      </c>
      <c r="AJ630">
        <v>2</v>
      </c>
      <c r="AK630">
        <v>76</v>
      </c>
      <c r="AL630" t="s">
        <v>247</v>
      </c>
      <c r="AM630" t="s">
        <v>248</v>
      </c>
      <c r="AN630" t="s">
        <v>249</v>
      </c>
      <c r="AO630" t="s">
        <v>883</v>
      </c>
      <c r="AP630" t="s">
        <v>884</v>
      </c>
      <c r="AQ630" t="s">
        <v>74</v>
      </c>
      <c r="AR630" t="s">
        <v>885</v>
      </c>
      <c r="AS630" t="s">
        <v>886</v>
      </c>
      <c r="AT630" t="s">
        <v>227</v>
      </c>
      <c r="AU630">
        <v>2015</v>
      </c>
      <c r="AV630">
        <v>7</v>
      </c>
      <c r="AW630">
        <v>1</v>
      </c>
      <c r="AX630" t="s">
        <v>74</v>
      </c>
      <c r="AY630" t="s">
        <v>74</v>
      </c>
      <c r="AZ630" t="s">
        <v>74</v>
      </c>
      <c r="BA630" t="s">
        <v>74</v>
      </c>
      <c r="BB630">
        <v>25</v>
      </c>
      <c r="BC630">
        <v>39</v>
      </c>
      <c r="BD630" t="s">
        <v>74</v>
      </c>
      <c r="BE630" t="s">
        <v>12175</v>
      </c>
      <c r="BF630" t="str">
        <f>HYPERLINK("http://dx.doi.org/10.1111/gcbb.12106","http://dx.doi.org/10.1111/gcbb.12106")</f>
        <v>http://dx.doi.org/10.1111/gcbb.12106</v>
      </c>
      <c r="BG630" t="s">
        <v>74</v>
      </c>
      <c r="BH630" t="s">
        <v>74</v>
      </c>
      <c r="BI630">
        <v>15</v>
      </c>
      <c r="BJ630" t="s">
        <v>889</v>
      </c>
      <c r="BK630" t="s">
        <v>102</v>
      </c>
      <c r="BL630" t="s">
        <v>890</v>
      </c>
      <c r="BM630" t="s">
        <v>12176</v>
      </c>
      <c r="BN630" t="s">
        <v>74</v>
      </c>
      <c r="BO630" t="s">
        <v>74</v>
      </c>
      <c r="BP630" t="s">
        <v>74</v>
      </c>
      <c r="BQ630" t="s">
        <v>74</v>
      </c>
      <c r="BR630" t="s">
        <v>106</v>
      </c>
      <c r="BS630" t="s">
        <v>12177</v>
      </c>
      <c r="BT630" t="str">
        <f>HYPERLINK("https%3A%2F%2Fwww.webofscience.com%2Fwos%2Fwoscc%2Ffull-record%2FWOS:000346726500003","View Full Record in Web of Science")</f>
        <v>View Full Record in Web of Science</v>
      </c>
    </row>
    <row r="631" spans="1:72" x14ac:dyDescent="0.2">
      <c r="A631" t="s">
        <v>72</v>
      </c>
      <c r="B631" t="s">
        <v>12178</v>
      </c>
      <c r="C631" t="s">
        <v>74</v>
      </c>
      <c r="D631" t="s">
        <v>74</v>
      </c>
      <c r="E631" t="s">
        <v>74</v>
      </c>
      <c r="F631" t="s">
        <v>12179</v>
      </c>
      <c r="G631" t="s">
        <v>74</v>
      </c>
      <c r="H631" t="s">
        <v>74</v>
      </c>
      <c r="I631" t="s">
        <v>12180</v>
      </c>
      <c r="J631" t="s">
        <v>468</v>
      </c>
      <c r="K631" t="s">
        <v>74</v>
      </c>
      <c r="L631" t="s">
        <v>74</v>
      </c>
      <c r="M631" t="s">
        <v>78</v>
      </c>
      <c r="N631" t="s">
        <v>79</v>
      </c>
      <c r="O631" t="s">
        <v>74</v>
      </c>
      <c r="P631" t="s">
        <v>74</v>
      </c>
      <c r="Q631" t="s">
        <v>74</v>
      </c>
      <c r="R631" t="s">
        <v>74</v>
      </c>
      <c r="S631" t="s">
        <v>74</v>
      </c>
      <c r="T631" t="s">
        <v>12181</v>
      </c>
      <c r="U631" t="s">
        <v>12182</v>
      </c>
      <c r="V631" t="s">
        <v>12183</v>
      </c>
      <c r="W631" t="s">
        <v>12184</v>
      </c>
      <c r="X631" t="s">
        <v>12185</v>
      </c>
      <c r="Y631" t="s">
        <v>12186</v>
      </c>
      <c r="Z631" t="s">
        <v>12187</v>
      </c>
      <c r="AA631" t="s">
        <v>12188</v>
      </c>
      <c r="AB631" t="s">
        <v>12189</v>
      </c>
      <c r="AC631" t="s">
        <v>12190</v>
      </c>
      <c r="AD631" t="s">
        <v>12191</v>
      </c>
      <c r="AE631" t="s">
        <v>12192</v>
      </c>
      <c r="AF631" t="s">
        <v>74</v>
      </c>
      <c r="AG631">
        <v>58</v>
      </c>
      <c r="AH631">
        <v>19</v>
      </c>
      <c r="AI631">
        <v>19</v>
      </c>
      <c r="AJ631">
        <v>2</v>
      </c>
      <c r="AK631">
        <v>23</v>
      </c>
      <c r="AL631" t="s">
        <v>222</v>
      </c>
      <c r="AM631" t="s">
        <v>223</v>
      </c>
      <c r="AN631" t="s">
        <v>224</v>
      </c>
      <c r="AO631" t="s">
        <v>74</v>
      </c>
      <c r="AP631" t="s">
        <v>479</v>
      </c>
      <c r="AQ631" t="s">
        <v>74</v>
      </c>
      <c r="AR631" t="s">
        <v>480</v>
      </c>
      <c r="AS631" t="s">
        <v>481</v>
      </c>
      <c r="AT631" t="s">
        <v>8621</v>
      </c>
      <c r="AU631">
        <v>2023</v>
      </c>
      <c r="AV631">
        <v>15</v>
      </c>
      <c r="AW631">
        <v>10</v>
      </c>
      <c r="AX631" t="s">
        <v>74</v>
      </c>
      <c r="AY631" t="s">
        <v>74</v>
      </c>
      <c r="AZ631" t="s">
        <v>74</v>
      </c>
      <c r="BA631" t="s">
        <v>74</v>
      </c>
      <c r="BB631" t="s">
        <v>74</v>
      </c>
      <c r="BC631" t="s">
        <v>74</v>
      </c>
      <c r="BD631">
        <v>7750</v>
      </c>
      <c r="BE631" t="s">
        <v>12193</v>
      </c>
      <c r="BF631" t="str">
        <f>HYPERLINK("http://dx.doi.org/10.3390/su15107750","http://dx.doi.org/10.3390/su15107750")</f>
        <v>http://dx.doi.org/10.3390/su15107750</v>
      </c>
      <c r="BG631" t="s">
        <v>74</v>
      </c>
      <c r="BH631" t="s">
        <v>74</v>
      </c>
      <c r="BI631">
        <v>16</v>
      </c>
      <c r="BJ631" t="s">
        <v>484</v>
      </c>
      <c r="BK631" t="s">
        <v>186</v>
      </c>
      <c r="BL631" t="s">
        <v>485</v>
      </c>
      <c r="BM631" t="s">
        <v>12194</v>
      </c>
      <c r="BN631" t="s">
        <v>74</v>
      </c>
      <c r="BO631" t="s">
        <v>161</v>
      </c>
      <c r="BP631" t="s">
        <v>74</v>
      </c>
      <c r="BQ631" t="s">
        <v>74</v>
      </c>
      <c r="BR631" t="s">
        <v>106</v>
      </c>
      <c r="BS631" t="s">
        <v>12195</v>
      </c>
      <c r="BT631" t="str">
        <f>HYPERLINK("https%3A%2F%2Fwww.webofscience.com%2Fwos%2Fwoscc%2Ffull-record%2FWOS:000997240700001","View Full Record in Web of Science")</f>
        <v>View Full Record in Web of Science</v>
      </c>
    </row>
    <row r="632" spans="1:72" x14ac:dyDescent="0.2">
      <c r="A632" t="s">
        <v>72</v>
      </c>
      <c r="B632" t="s">
        <v>12196</v>
      </c>
      <c r="C632" t="s">
        <v>74</v>
      </c>
      <c r="D632" t="s">
        <v>74</v>
      </c>
      <c r="E632" t="s">
        <v>74</v>
      </c>
      <c r="F632" t="s">
        <v>12197</v>
      </c>
      <c r="G632" t="s">
        <v>74</v>
      </c>
      <c r="H632" t="s">
        <v>74</v>
      </c>
      <c r="I632" t="s">
        <v>12198</v>
      </c>
      <c r="J632" t="s">
        <v>5876</v>
      </c>
      <c r="K632" t="s">
        <v>74</v>
      </c>
      <c r="L632" t="s">
        <v>74</v>
      </c>
      <c r="M632" t="s">
        <v>78</v>
      </c>
      <c r="N632" t="s">
        <v>79</v>
      </c>
      <c r="O632" t="s">
        <v>74</v>
      </c>
      <c r="P632" t="s">
        <v>74</v>
      </c>
      <c r="Q632" t="s">
        <v>74</v>
      </c>
      <c r="R632" t="s">
        <v>74</v>
      </c>
      <c r="S632" t="s">
        <v>74</v>
      </c>
      <c r="T632" t="s">
        <v>12199</v>
      </c>
      <c r="U632" t="s">
        <v>12200</v>
      </c>
      <c r="V632" t="s">
        <v>12201</v>
      </c>
      <c r="W632" t="s">
        <v>12202</v>
      </c>
      <c r="X632" t="s">
        <v>12203</v>
      </c>
      <c r="Y632" t="s">
        <v>12204</v>
      </c>
      <c r="Z632" t="s">
        <v>12205</v>
      </c>
      <c r="AA632" t="s">
        <v>12206</v>
      </c>
      <c r="AB632" t="s">
        <v>12207</v>
      </c>
      <c r="AC632" t="s">
        <v>12208</v>
      </c>
      <c r="AD632" t="s">
        <v>12209</v>
      </c>
      <c r="AE632" t="s">
        <v>12210</v>
      </c>
      <c r="AF632" t="s">
        <v>74</v>
      </c>
      <c r="AG632">
        <v>72</v>
      </c>
      <c r="AH632">
        <v>73</v>
      </c>
      <c r="AI632">
        <v>79</v>
      </c>
      <c r="AJ632">
        <v>4</v>
      </c>
      <c r="AK632">
        <v>105</v>
      </c>
      <c r="AL632" t="s">
        <v>123</v>
      </c>
      <c r="AM632" t="s">
        <v>124</v>
      </c>
      <c r="AN632" t="s">
        <v>125</v>
      </c>
      <c r="AO632" t="s">
        <v>5888</v>
      </c>
      <c r="AP632" t="s">
        <v>5889</v>
      </c>
      <c r="AQ632" t="s">
        <v>74</v>
      </c>
      <c r="AR632" t="s">
        <v>5890</v>
      </c>
      <c r="AS632" t="s">
        <v>5891</v>
      </c>
      <c r="AT632" t="s">
        <v>7392</v>
      </c>
      <c r="AU632">
        <v>2020</v>
      </c>
      <c r="AV632">
        <v>252</v>
      </c>
      <c r="AW632" t="s">
        <v>74</v>
      </c>
      <c r="AX632" t="s">
        <v>74</v>
      </c>
      <c r="AY632" t="s">
        <v>74</v>
      </c>
      <c r="AZ632" t="s">
        <v>74</v>
      </c>
      <c r="BA632" t="s">
        <v>74</v>
      </c>
      <c r="BB632" t="s">
        <v>74</v>
      </c>
      <c r="BC632" t="s">
        <v>74</v>
      </c>
      <c r="BD632">
        <v>107791</v>
      </c>
      <c r="BE632" t="s">
        <v>12211</v>
      </c>
      <c r="BF632" t="str">
        <f>HYPERLINK("http://dx.doi.org/10.1016/j.fcr.2020.107791","http://dx.doi.org/10.1016/j.fcr.2020.107791")</f>
        <v>http://dx.doi.org/10.1016/j.fcr.2020.107791</v>
      </c>
      <c r="BG632" t="s">
        <v>74</v>
      </c>
      <c r="BH632" t="s">
        <v>74</v>
      </c>
      <c r="BI632">
        <v>16</v>
      </c>
      <c r="BJ632" t="s">
        <v>1357</v>
      </c>
      <c r="BK632" t="s">
        <v>102</v>
      </c>
      <c r="BL632" t="s">
        <v>103</v>
      </c>
      <c r="BM632" t="s">
        <v>12212</v>
      </c>
      <c r="BN632" t="s">
        <v>74</v>
      </c>
      <c r="BO632" t="s">
        <v>541</v>
      </c>
      <c r="BP632" t="s">
        <v>74</v>
      </c>
      <c r="BQ632" t="s">
        <v>74</v>
      </c>
      <c r="BR632" t="s">
        <v>106</v>
      </c>
      <c r="BS632" t="s">
        <v>12213</v>
      </c>
      <c r="BT632" t="str">
        <f>HYPERLINK("https%3A%2F%2Fwww.webofscience.com%2Fwos%2Fwoscc%2Ffull-record%2FWOS:000531082600003","View Full Record in Web of Science")</f>
        <v>View Full Record in Web of Science</v>
      </c>
    </row>
    <row r="633" spans="1:72" x14ac:dyDescent="0.2">
      <c r="A633" t="s">
        <v>72</v>
      </c>
      <c r="B633" t="s">
        <v>12214</v>
      </c>
      <c r="C633" t="s">
        <v>74</v>
      </c>
      <c r="D633" t="s">
        <v>74</v>
      </c>
      <c r="E633" t="s">
        <v>74</v>
      </c>
      <c r="F633" t="s">
        <v>12215</v>
      </c>
      <c r="G633" t="s">
        <v>74</v>
      </c>
      <c r="H633" t="s">
        <v>74</v>
      </c>
      <c r="I633" t="s">
        <v>12216</v>
      </c>
      <c r="J633" t="s">
        <v>2923</v>
      </c>
      <c r="K633" t="s">
        <v>74</v>
      </c>
      <c r="L633" t="s">
        <v>74</v>
      </c>
      <c r="M633" t="s">
        <v>78</v>
      </c>
      <c r="N633" t="s">
        <v>79</v>
      </c>
      <c r="O633" t="s">
        <v>74</v>
      </c>
      <c r="P633" t="s">
        <v>74</v>
      </c>
      <c r="Q633" t="s">
        <v>74</v>
      </c>
      <c r="R633" t="s">
        <v>74</v>
      </c>
      <c r="S633" t="s">
        <v>74</v>
      </c>
      <c r="T633" t="s">
        <v>12217</v>
      </c>
      <c r="U633" t="s">
        <v>12218</v>
      </c>
      <c r="V633" t="s">
        <v>12219</v>
      </c>
      <c r="W633" t="s">
        <v>12220</v>
      </c>
      <c r="X633" t="s">
        <v>12221</v>
      </c>
      <c r="Y633" t="s">
        <v>12222</v>
      </c>
      <c r="Z633" t="s">
        <v>12223</v>
      </c>
      <c r="AA633" t="s">
        <v>12224</v>
      </c>
      <c r="AB633" t="s">
        <v>12225</v>
      </c>
      <c r="AC633" t="s">
        <v>12226</v>
      </c>
      <c r="AD633" t="s">
        <v>12227</v>
      </c>
      <c r="AE633" t="s">
        <v>12228</v>
      </c>
      <c r="AF633" t="s">
        <v>74</v>
      </c>
      <c r="AG633">
        <v>105</v>
      </c>
      <c r="AH633">
        <v>0</v>
      </c>
      <c r="AI633">
        <v>0</v>
      </c>
      <c r="AJ633">
        <v>2</v>
      </c>
      <c r="AK633">
        <v>35</v>
      </c>
      <c r="AL633" t="s">
        <v>222</v>
      </c>
      <c r="AM633" t="s">
        <v>223</v>
      </c>
      <c r="AN633" t="s">
        <v>224</v>
      </c>
      <c r="AO633" t="s">
        <v>74</v>
      </c>
      <c r="AP633" t="s">
        <v>2935</v>
      </c>
      <c r="AQ633" t="s">
        <v>74</v>
      </c>
      <c r="AR633" t="s">
        <v>2936</v>
      </c>
      <c r="AS633" t="s">
        <v>2937</v>
      </c>
      <c r="AT633" t="s">
        <v>805</v>
      </c>
      <c r="AU633">
        <v>2022</v>
      </c>
      <c r="AV633">
        <v>19</v>
      </c>
      <c r="AW633">
        <v>22</v>
      </c>
      <c r="AX633" t="s">
        <v>74</v>
      </c>
      <c r="AY633" t="s">
        <v>74</v>
      </c>
      <c r="AZ633" t="s">
        <v>74</v>
      </c>
      <c r="BA633" t="s">
        <v>74</v>
      </c>
      <c r="BB633" t="s">
        <v>74</v>
      </c>
      <c r="BC633" t="s">
        <v>74</v>
      </c>
      <c r="BD633">
        <v>14891</v>
      </c>
      <c r="BE633" t="s">
        <v>12229</v>
      </c>
      <c r="BF633" t="str">
        <f>HYPERLINK("http://dx.doi.org/10.3390/ijerph192214891","http://dx.doi.org/10.3390/ijerph192214891")</f>
        <v>http://dx.doi.org/10.3390/ijerph192214891</v>
      </c>
      <c r="BG633" t="s">
        <v>74</v>
      </c>
      <c r="BH633" t="s">
        <v>74</v>
      </c>
      <c r="BI633">
        <v>20</v>
      </c>
      <c r="BJ633" t="s">
        <v>1042</v>
      </c>
      <c r="BK633" t="s">
        <v>186</v>
      </c>
      <c r="BL633" t="s">
        <v>1043</v>
      </c>
      <c r="BM633" t="s">
        <v>12230</v>
      </c>
      <c r="BN633">
        <v>36429609</v>
      </c>
      <c r="BO633" t="s">
        <v>161</v>
      </c>
      <c r="BP633" t="s">
        <v>74</v>
      </c>
      <c r="BQ633" t="s">
        <v>74</v>
      </c>
      <c r="BR633" t="s">
        <v>106</v>
      </c>
      <c r="BS633" t="s">
        <v>12231</v>
      </c>
      <c r="BT633" t="str">
        <f>HYPERLINK("https%3A%2F%2Fwww.webofscience.com%2Fwos%2Fwoscc%2Ffull-record%2FWOS:000887313200001","View Full Record in Web of Science")</f>
        <v>View Full Record in Web of Science</v>
      </c>
    </row>
    <row r="634" spans="1:72" x14ac:dyDescent="0.2">
      <c r="A634" t="s">
        <v>72</v>
      </c>
      <c r="B634" t="s">
        <v>12232</v>
      </c>
      <c r="C634" t="s">
        <v>74</v>
      </c>
      <c r="D634" t="s">
        <v>74</v>
      </c>
      <c r="E634" t="s">
        <v>74</v>
      </c>
      <c r="F634" t="s">
        <v>12233</v>
      </c>
      <c r="G634" t="s">
        <v>74</v>
      </c>
      <c r="H634" t="s">
        <v>74</v>
      </c>
      <c r="I634" t="s">
        <v>12234</v>
      </c>
      <c r="J634" t="s">
        <v>12235</v>
      </c>
      <c r="K634" t="s">
        <v>74</v>
      </c>
      <c r="L634" t="s">
        <v>74</v>
      </c>
      <c r="M634" t="s">
        <v>78</v>
      </c>
      <c r="N634" t="s">
        <v>79</v>
      </c>
      <c r="O634" t="s">
        <v>74</v>
      </c>
      <c r="P634" t="s">
        <v>74</v>
      </c>
      <c r="Q634" t="s">
        <v>74</v>
      </c>
      <c r="R634" t="s">
        <v>74</v>
      </c>
      <c r="S634" t="s">
        <v>74</v>
      </c>
      <c r="T634" t="s">
        <v>12236</v>
      </c>
      <c r="U634" t="s">
        <v>12237</v>
      </c>
      <c r="V634" t="s">
        <v>12238</v>
      </c>
      <c r="W634" t="s">
        <v>12239</v>
      </c>
      <c r="X634" t="s">
        <v>12240</v>
      </c>
      <c r="Y634" t="s">
        <v>12241</v>
      </c>
      <c r="Z634" t="s">
        <v>12242</v>
      </c>
      <c r="AA634" t="s">
        <v>12243</v>
      </c>
      <c r="AB634" t="s">
        <v>12244</v>
      </c>
      <c r="AC634" t="s">
        <v>12245</v>
      </c>
      <c r="AD634" t="s">
        <v>12246</v>
      </c>
      <c r="AE634" t="s">
        <v>12247</v>
      </c>
      <c r="AF634" t="s">
        <v>74</v>
      </c>
      <c r="AG634">
        <v>72</v>
      </c>
      <c r="AH634">
        <v>14</v>
      </c>
      <c r="AI634">
        <v>14</v>
      </c>
      <c r="AJ634">
        <v>2</v>
      </c>
      <c r="AK634">
        <v>24</v>
      </c>
      <c r="AL634" t="s">
        <v>504</v>
      </c>
      <c r="AM634" t="s">
        <v>505</v>
      </c>
      <c r="AN634" t="s">
        <v>506</v>
      </c>
      <c r="AO634" t="s">
        <v>12248</v>
      </c>
      <c r="AP634" t="s">
        <v>12249</v>
      </c>
      <c r="AQ634" t="s">
        <v>74</v>
      </c>
      <c r="AR634" t="s">
        <v>12250</v>
      </c>
      <c r="AS634" t="s">
        <v>12251</v>
      </c>
      <c r="AT634" t="s">
        <v>2017</v>
      </c>
      <c r="AU634">
        <v>2022</v>
      </c>
      <c r="AV634">
        <v>15</v>
      </c>
      <c r="AW634">
        <v>10</v>
      </c>
      <c r="AX634" t="s">
        <v>74</v>
      </c>
      <c r="AY634" t="s">
        <v>74</v>
      </c>
      <c r="AZ634" t="s">
        <v>74</v>
      </c>
      <c r="BA634" t="s">
        <v>74</v>
      </c>
      <c r="BB634">
        <v>1899</v>
      </c>
      <c r="BC634">
        <v>1912</v>
      </c>
      <c r="BD634" t="s">
        <v>74</v>
      </c>
      <c r="BE634" t="s">
        <v>12252</v>
      </c>
      <c r="BF634" t="str">
        <f>HYPERLINK("http://dx.doi.org/10.1007/s11869-022-01225-9","http://dx.doi.org/10.1007/s11869-022-01225-9")</f>
        <v>http://dx.doi.org/10.1007/s11869-022-01225-9</v>
      </c>
      <c r="BG634" t="s">
        <v>74</v>
      </c>
      <c r="BH634" t="s">
        <v>1014</v>
      </c>
      <c r="BI634">
        <v>14</v>
      </c>
      <c r="BJ634" t="s">
        <v>567</v>
      </c>
      <c r="BK634" t="s">
        <v>102</v>
      </c>
      <c r="BL634" t="s">
        <v>568</v>
      </c>
      <c r="BM634" t="s">
        <v>12253</v>
      </c>
      <c r="BN634" t="s">
        <v>74</v>
      </c>
      <c r="BO634" t="s">
        <v>74</v>
      </c>
      <c r="BP634" t="s">
        <v>74</v>
      </c>
      <c r="BQ634" t="s">
        <v>74</v>
      </c>
      <c r="BR634" t="s">
        <v>106</v>
      </c>
      <c r="BS634" t="s">
        <v>12254</v>
      </c>
      <c r="BT634" t="str">
        <f>HYPERLINK("https%3A%2F%2Fwww.webofscience.com%2Fwos%2Fwoscc%2Ffull-record%2FWOS:000824821600001","View Full Record in Web of Science")</f>
        <v>View Full Record in Web of Science</v>
      </c>
    </row>
    <row r="635" spans="1:72" x14ac:dyDescent="0.2">
      <c r="A635" t="s">
        <v>72</v>
      </c>
      <c r="B635" t="s">
        <v>12255</v>
      </c>
      <c r="C635" t="s">
        <v>74</v>
      </c>
      <c r="D635" t="s">
        <v>74</v>
      </c>
      <c r="E635" t="s">
        <v>74</v>
      </c>
      <c r="F635" t="s">
        <v>12256</v>
      </c>
      <c r="G635" t="s">
        <v>74</v>
      </c>
      <c r="H635" t="s">
        <v>74</v>
      </c>
      <c r="I635" t="s">
        <v>12257</v>
      </c>
      <c r="J635" t="s">
        <v>12258</v>
      </c>
      <c r="K635" t="s">
        <v>74</v>
      </c>
      <c r="L635" t="s">
        <v>74</v>
      </c>
      <c r="M635" t="s">
        <v>78</v>
      </c>
      <c r="N635" t="s">
        <v>79</v>
      </c>
      <c r="O635" t="s">
        <v>74</v>
      </c>
      <c r="P635" t="s">
        <v>74</v>
      </c>
      <c r="Q635" t="s">
        <v>74</v>
      </c>
      <c r="R635" t="s">
        <v>74</v>
      </c>
      <c r="S635" t="s">
        <v>74</v>
      </c>
      <c r="T635" t="s">
        <v>12259</v>
      </c>
      <c r="U635" t="s">
        <v>12260</v>
      </c>
      <c r="V635" t="s">
        <v>12261</v>
      </c>
      <c r="W635" t="s">
        <v>12262</v>
      </c>
      <c r="X635" t="s">
        <v>12263</v>
      </c>
      <c r="Y635" t="s">
        <v>12264</v>
      </c>
      <c r="Z635" t="s">
        <v>12265</v>
      </c>
      <c r="AA635" t="s">
        <v>12266</v>
      </c>
      <c r="AB635" t="s">
        <v>74</v>
      </c>
      <c r="AC635" t="s">
        <v>12267</v>
      </c>
      <c r="AD635" t="s">
        <v>12268</v>
      </c>
      <c r="AE635" t="s">
        <v>12269</v>
      </c>
      <c r="AF635" t="s">
        <v>74</v>
      </c>
      <c r="AG635">
        <v>64</v>
      </c>
      <c r="AH635">
        <v>0</v>
      </c>
      <c r="AI635">
        <v>0</v>
      </c>
      <c r="AJ635">
        <v>15</v>
      </c>
      <c r="AK635">
        <v>15</v>
      </c>
      <c r="AL635" t="s">
        <v>934</v>
      </c>
      <c r="AM635" t="s">
        <v>177</v>
      </c>
      <c r="AN635" t="s">
        <v>935</v>
      </c>
      <c r="AO635" t="s">
        <v>12270</v>
      </c>
      <c r="AP635" t="s">
        <v>12271</v>
      </c>
      <c r="AQ635" t="s">
        <v>74</v>
      </c>
      <c r="AR635" t="s">
        <v>12272</v>
      </c>
      <c r="AS635" t="s">
        <v>12273</v>
      </c>
      <c r="AT635" t="s">
        <v>4582</v>
      </c>
      <c r="AU635">
        <v>2026</v>
      </c>
      <c r="AV635">
        <v>289</v>
      </c>
      <c r="AW635" t="s">
        <v>74</v>
      </c>
      <c r="AX635" t="s">
        <v>2317</v>
      </c>
      <c r="AY635" t="s">
        <v>74</v>
      </c>
      <c r="AZ635" t="s">
        <v>74</v>
      </c>
      <c r="BA635" t="s">
        <v>74</v>
      </c>
      <c r="BB635" t="s">
        <v>74</v>
      </c>
      <c r="BC635" t="s">
        <v>74</v>
      </c>
      <c r="BD635">
        <v>124874</v>
      </c>
      <c r="BE635" t="s">
        <v>12274</v>
      </c>
      <c r="BF635" t="str">
        <f>HYPERLINK("http://dx.doi.org/10.1016/j.watres.2025.124874","http://dx.doi.org/10.1016/j.watres.2025.124874")</f>
        <v>http://dx.doi.org/10.1016/j.watres.2025.124874</v>
      </c>
      <c r="BG635" t="s">
        <v>74</v>
      </c>
      <c r="BH635" t="s">
        <v>962</v>
      </c>
      <c r="BI635">
        <v>10</v>
      </c>
      <c r="BJ635" t="s">
        <v>12275</v>
      </c>
      <c r="BK635" t="s">
        <v>102</v>
      </c>
      <c r="BL635" t="s">
        <v>12276</v>
      </c>
      <c r="BM635" t="s">
        <v>12277</v>
      </c>
      <c r="BN635">
        <v>41187548</v>
      </c>
      <c r="BO635" t="s">
        <v>74</v>
      </c>
      <c r="BP635" t="s">
        <v>74</v>
      </c>
      <c r="BQ635" t="s">
        <v>74</v>
      </c>
      <c r="BR635" t="s">
        <v>106</v>
      </c>
      <c r="BS635" t="s">
        <v>12278</v>
      </c>
      <c r="BT635" t="str">
        <f>HYPERLINK("https%3A%2F%2Fwww.webofscience.com%2Fwos%2Fwoscc%2Ffull-record%2FWOS:001613962400004","View Full Record in Web of Science")</f>
        <v>View Full Record in Web of Science</v>
      </c>
    </row>
    <row r="636" spans="1:72" x14ac:dyDescent="0.2">
      <c r="A636" t="s">
        <v>72</v>
      </c>
      <c r="B636" t="s">
        <v>12279</v>
      </c>
      <c r="C636" t="s">
        <v>74</v>
      </c>
      <c r="D636" t="s">
        <v>74</v>
      </c>
      <c r="E636" t="s">
        <v>74</v>
      </c>
      <c r="F636" t="s">
        <v>12280</v>
      </c>
      <c r="G636" t="s">
        <v>74</v>
      </c>
      <c r="H636" t="s">
        <v>74</v>
      </c>
      <c r="I636" t="s">
        <v>12281</v>
      </c>
      <c r="J636" t="s">
        <v>10180</v>
      </c>
      <c r="K636" t="s">
        <v>74</v>
      </c>
      <c r="L636" t="s">
        <v>74</v>
      </c>
      <c r="M636" t="s">
        <v>78</v>
      </c>
      <c r="N636" t="s">
        <v>79</v>
      </c>
      <c r="O636" t="s">
        <v>74</v>
      </c>
      <c r="P636" t="s">
        <v>74</v>
      </c>
      <c r="Q636" t="s">
        <v>74</v>
      </c>
      <c r="R636" t="s">
        <v>74</v>
      </c>
      <c r="S636" t="s">
        <v>74</v>
      </c>
      <c r="T636" t="s">
        <v>12282</v>
      </c>
      <c r="U636" t="s">
        <v>12283</v>
      </c>
      <c r="V636" t="s">
        <v>12284</v>
      </c>
      <c r="W636" t="s">
        <v>12285</v>
      </c>
      <c r="X636" t="s">
        <v>12286</v>
      </c>
      <c r="Y636" t="s">
        <v>12287</v>
      </c>
      <c r="Z636" t="s">
        <v>12288</v>
      </c>
      <c r="AA636" t="s">
        <v>12289</v>
      </c>
      <c r="AB636" t="s">
        <v>74</v>
      </c>
      <c r="AC636" t="s">
        <v>12290</v>
      </c>
      <c r="AD636" t="s">
        <v>12291</v>
      </c>
      <c r="AE636" t="s">
        <v>12292</v>
      </c>
      <c r="AF636" t="s">
        <v>74</v>
      </c>
      <c r="AG636">
        <v>52</v>
      </c>
      <c r="AH636">
        <v>1</v>
      </c>
      <c r="AI636">
        <v>1</v>
      </c>
      <c r="AJ636">
        <v>1</v>
      </c>
      <c r="AK636">
        <v>9</v>
      </c>
      <c r="AL636" t="s">
        <v>4471</v>
      </c>
      <c r="AM636" t="s">
        <v>4472</v>
      </c>
      <c r="AN636" t="s">
        <v>4473</v>
      </c>
      <c r="AO636" t="s">
        <v>10192</v>
      </c>
      <c r="AP636" t="s">
        <v>10193</v>
      </c>
      <c r="AQ636" t="s">
        <v>74</v>
      </c>
      <c r="AR636" t="s">
        <v>10194</v>
      </c>
      <c r="AS636" t="s">
        <v>10195</v>
      </c>
      <c r="AT636" t="s">
        <v>12293</v>
      </c>
      <c r="AU636">
        <v>2024</v>
      </c>
      <c r="AV636">
        <v>55</v>
      </c>
      <c r="AW636">
        <v>19</v>
      </c>
      <c r="AX636" t="s">
        <v>74</v>
      </c>
      <c r="AY636" t="s">
        <v>74</v>
      </c>
      <c r="AZ636" t="s">
        <v>74</v>
      </c>
      <c r="BA636" t="s">
        <v>74</v>
      </c>
      <c r="BB636">
        <v>2909</v>
      </c>
      <c r="BC636">
        <v>2922</v>
      </c>
      <c r="BD636" t="s">
        <v>74</v>
      </c>
      <c r="BE636" t="s">
        <v>12294</v>
      </c>
      <c r="BF636" t="str">
        <f>HYPERLINK("http://dx.doi.org/10.1080/00103624.2024.2378985","http://dx.doi.org/10.1080/00103624.2024.2378985")</f>
        <v>http://dx.doi.org/10.1080/00103624.2024.2378985</v>
      </c>
      <c r="BG636" t="s">
        <v>74</v>
      </c>
      <c r="BH636" t="s">
        <v>4174</v>
      </c>
      <c r="BI636">
        <v>14</v>
      </c>
      <c r="BJ636" t="s">
        <v>10199</v>
      </c>
      <c r="BK636" t="s">
        <v>102</v>
      </c>
      <c r="BL636" t="s">
        <v>10200</v>
      </c>
      <c r="BM636" t="s">
        <v>12295</v>
      </c>
      <c r="BN636" t="s">
        <v>74</v>
      </c>
      <c r="BO636" t="s">
        <v>74</v>
      </c>
      <c r="BP636" t="s">
        <v>74</v>
      </c>
      <c r="BQ636" t="s">
        <v>74</v>
      </c>
      <c r="BR636" t="s">
        <v>106</v>
      </c>
      <c r="BS636" t="s">
        <v>12296</v>
      </c>
      <c r="BT636" t="str">
        <f>HYPERLINK("https%3A%2F%2Fwww.webofscience.com%2Fwos%2Fwoscc%2Ffull-record%2FWOS:001270429900001","View Full Record in Web of Science")</f>
        <v>View Full Record in Web of Science</v>
      </c>
    </row>
    <row r="637" spans="1:72" x14ac:dyDescent="0.2">
      <c r="A637" t="s">
        <v>72</v>
      </c>
      <c r="B637" t="s">
        <v>12297</v>
      </c>
      <c r="C637" t="s">
        <v>74</v>
      </c>
      <c r="D637" t="s">
        <v>74</v>
      </c>
      <c r="E637" t="s">
        <v>74</v>
      </c>
      <c r="F637" t="s">
        <v>12298</v>
      </c>
      <c r="G637" t="s">
        <v>74</v>
      </c>
      <c r="H637" t="s">
        <v>74</v>
      </c>
      <c r="I637" t="s">
        <v>12299</v>
      </c>
      <c r="J637" t="s">
        <v>12300</v>
      </c>
      <c r="K637" t="s">
        <v>74</v>
      </c>
      <c r="L637" t="s">
        <v>74</v>
      </c>
      <c r="M637" t="s">
        <v>78</v>
      </c>
      <c r="N637" t="s">
        <v>79</v>
      </c>
      <c r="O637" t="s">
        <v>74</v>
      </c>
      <c r="P637" t="s">
        <v>74</v>
      </c>
      <c r="Q637" t="s">
        <v>74</v>
      </c>
      <c r="R637" t="s">
        <v>74</v>
      </c>
      <c r="S637" t="s">
        <v>74</v>
      </c>
      <c r="T637" t="s">
        <v>12301</v>
      </c>
      <c r="U637" t="s">
        <v>12302</v>
      </c>
      <c r="V637" t="s">
        <v>12303</v>
      </c>
      <c r="W637" t="s">
        <v>12304</v>
      </c>
      <c r="X637" t="s">
        <v>4895</v>
      </c>
      <c r="Y637" t="s">
        <v>12305</v>
      </c>
      <c r="Z637" t="s">
        <v>12306</v>
      </c>
      <c r="AA637" t="s">
        <v>12307</v>
      </c>
      <c r="AB637" t="s">
        <v>12308</v>
      </c>
      <c r="AC637" t="s">
        <v>74</v>
      </c>
      <c r="AD637" t="s">
        <v>74</v>
      </c>
      <c r="AE637" t="s">
        <v>74</v>
      </c>
      <c r="AF637" t="s">
        <v>74</v>
      </c>
      <c r="AG637">
        <v>32</v>
      </c>
      <c r="AH637">
        <v>0</v>
      </c>
      <c r="AI637">
        <v>0</v>
      </c>
      <c r="AJ637">
        <v>1</v>
      </c>
      <c r="AK637">
        <v>1</v>
      </c>
      <c r="AL637" t="s">
        <v>12309</v>
      </c>
      <c r="AM637" t="s">
        <v>12310</v>
      </c>
      <c r="AN637" t="s">
        <v>12311</v>
      </c>
      <c r="AO637" t="s">
        <v>12312</v>
      </c>
      <c r="AP637" t="s">
        <v>12313</v>
      </c>
      <c r="AQ637" t="s">
        <v>74</v>
      </c>
      <c r="AR637" t="s">
        <v>12300</v>
      </c>
      <c r="AS637" t="s">
        <v>12314</v>
      </c>
      <c r="AT637" t="s">
        <v>281</v>
      </c>
      <c r="AU637">
        <v>2025</v>
      </c>
      <c r="AV637">
        <v>24</v>
      </c>
      <c r="AW637">
        <v>2</v>
      </c>
      <c r="AX637" t="s">
        <v>74</v>
      </c>
      <c r="AY637" t="s">
        <v>74</v>
      </c>
      <c r="AZ637" t="s">
        <v>74</v>
      </c>
      <c r="BA637" t="s">
        <v>74</v>
      </c>
      <c r="BB637">
        <v>109</v>
      </c>
      <c r="BC637">
        <v>122</v>
      </c>
      <c r="BD637" t="s">
        <v>74</v>
      </c>
      <c r="BE637" t="s">
        <v>12315</v>
      </c>
      <c r="BF637" t="str">
        <f>HYPERLINK("http://dx.doi.org/10.30682/nm2502g","http://dx.doi.org/10.30682/nm2502g")</f>
        <v>http://dx.doi.org/10.30682/nm2502g</v>
      </c>
      <c r="BG637" t="s">
        <v>74</v>
      </c>
      <c r="BH637" t="s">
        <v>74</v>
      </c>
      <c r="BI637">
        <v>14</v>
      </c>
      <c r="BJ637" t="s">
        <v>12316</v>
      </c>
      <c r="BK637" t="s">
        <v>102</v>
      </c>
      <c r="BL637" t="s">
        <v>103</v>
      </c>
      <c r="BM637" t="s">
        <v>12317</v>
      </c>
      <c r="BN637" t="s">
        <v>74</v>
      </c>
      <c r="BO637" t="s">
        <v>231</v>
      </c>
      <c r="BP637" t="s">
        <v>74</v>
      </c>
      <c r="BQ637" t="s">
        <v>74</v>
      </c>
      <c r="BR637" t="s">
        <v>106</v>
      </c>
      <c r="BS637" t="s">
        <v>12318</v>
      </c>
      <c r="BT637" t="str">
        <f>HYPERLINK("https%3A%2F%2Fwww.webofscience.com%2Fwos%2Fwoscc%2Ffull-record%2FWOS:001510764500007","View Full Record in Web of Science")</f>
        <v>View Full Record in Web of Science</v>
      </c>
    </row>
    <row r="638" spans="1:72" x14ac:dyDescent="0.2">
      <c r="A638" t="s">
        <v>72</v>
      </c>
      <c r="B638" t="s">
        <v>12319</v>
      </c>
      <c r="C638" t="s">
        <v>74</v>
      </c>
      <c r="D638" t="s">
        <v>74</v>
      </c>
      <c r="E638" t="s">
        <v>74</v>
      </c>
      <c r="F638" t="s">
        <v>12320</v>
      </c>
      <c r="G638" t="s">
        <v>74</v>
      </c>
      <c r="H638" t="s">
        <v>74</v>
      </c>
      <c r="I638" t="s">
        <v>12321</v>
      </c>
      <c r="J638" t="s">
        <v>138</v>
      </c>
      <c r="K638" t="s">
        <v>74</v>
      </c>
      <c r="L638" t="s">
        <v>74</v>
      </c>
      <c r="M638" t="s">
        <v>78</v>
      </c>
      <c r="N638" t="s">
        <v>79</v>
      </c>
      <c r="O638" t="s">
        <v>74</v>
      </c>
      <c r="P638" t="s">
        <v>74</v>
      </c>
      <c r="Q638" t="s">
        <v>74</v>
      </c>
      <c r="R638" t="s">
        <v>74</v>
      </c>
      <c r="S638" t="s">
        <v>74</v>
      </c>
      <c r="T638" t="s">
        <v>74</v>
      </c>
      <c r="U638" t="s">
        <v>12322</v>
      </c>
      <c r="V638" t="s">
        <v>12323</v>
      </c>
      <c r="W638" t="s">
        <v>12324</v>
      </c>
      <c r="X638" t="s">
        <v>12325</v>
      </c>
      <c r="Y638" t="s">
        <v>12326</v>
      </c>
      <c r="Z638" t="s">
        <v>12327</v>
      </c>
      <c r="AA638" t="s">
        <v>74</v>
      </c>
      <c r="AB638" t="s">
        <v>12328</v>
      </c>
      <c r="AC638" t="s">
        <v>12329</v>
      </c>
      <c r="AD638" t="s">
        <v>12330</v>
      </c>
      <c r="AE638" t="s">
        <v>12331</v>
      </c>
      <c r="AF638" t="s">
        <v>74</v>
      </c>
      <c r="AG638">
        <v>62</v>
      </c>
      <c r="AH638">
        <v>2</v>
      </c>
      <c r="AI638">
        <v>2</v>
      </c>
      <c r="AJ638">
        <v>5</v>
      </c>
      <c r="AK638">
        <v>29</v>
      </c>
      <c r="AL638" t="s">
        <v>150</v>
      </c>
      <c r="AM638" t="s">
        <v>151</v>
      </c>
      <c r="AN638" t="s">
        <v>152</v>
      </c>
      <c r="AO638" t="s">
        <v>153</v>
      </c>
      <c r="AP638" t="s">
        <v>74</v>
      </c>
      <c r="AQ638" t="s">
        <v>74</v>
      </c>
      <c r="AR638" t="s">
        <v>138</v>
      </c>
      <c r="AS638" t="s">
        <v>154</v>
      </c>
      <c r="AT638" t="s">
        <v>12332</v>
      </c>
      <c r="AU638">
        <v>2024</v>
      </c>
      <c r="AV638">
        <v>19</v>
      </c>
      <c r="AW638">
        <v>8</v>
      </c>
      <c r="AX638" t="s">
        <v>74</v>
      </c>
      <c r="AY638" t="s">
        <v>74</v>
      </c>
      <c r="AZ638" t="s">
        <v>74</v>
      </c>
      <c r="BA638" t="s">
        <v>74</v>
      </c>
      <c r="BB638" t="s">
        <v>74</v>
      </c>
      <c r="BC638" t="s">
        <v>74</v>
      </c>
      <c r="BD638" t="s">
        <v>12333</v>
      </c>
      <c r="BE638" t="s">
        <v>12334</v>
      </c>
      <c r="BF638" t="str">
        <f>HYPERLINK("http://dx.doi.org/10.1371/journal.pone.0308399","http://dx.doi.org/10.1371/journal.pone.0308399")</f>
        <v>http://dx.doi.org/10.1371/journal.pone.0308399</v>
      </c>
      <c r="BG638" t="s">
        <v>74</v>
      </c>
      <c r="BH638" t="s">
        <v>74</v>
      </c>
      <c r="BI638">
        <v>30</v>
      </c>
      <c r="BJ638" t="s">
        <v>158</v>
      </c>
      <c r="BK638" t="s">
        <v>102</v>
      </c>
      <c r="BL638" t="s">
        <v>159</v>
      </c>
      <c r="BM638" t="s">
        <v>12335</v>
      </c>
      <c r="BN638">
        <v>39208333</v>
      </c>
      <c r="BO638" t="s">
        <v>161</v>
      </c>
      <c r="BP638" t="s">
        <v>74</v>
      </c>
      <c r="BQ638" t="s">
        <v>74</v>
      </c>
      <c r="BR638" t="s">
        <v>106</v>
      </c>
      <c r="BS638" t="s">
        <v>12336</v>
      </c>
      <c r="BT638" t="str">
        <f>HYPERLINK("https%3A%2F%2Fwww.webofscience.com%2Fwos%2Fwoscc%2Ffull-record%2FWOS:001304208400075","View Full Record in Web of Science")</f>
        <v>View Full Record in Web of Science</v>
      </c>
    </row>
    <row r="639" spans="1:72" x14ac:dyDescent="0.2">
      <c r="A639" t="s">
        <v>72</v>
      </c>
      <c r="B639" t="s">
        <v>6381</v>
      </c>
      <c r="C639" t="s">
        <v>74</v>
      </c>
      <c r="D639" t="s">
        <v>74</v>
      </c>
      <c r="E639" t="s">
        <v>74</v>
      </c>
      <c r="F639" t="s">
        <v>6382</v>
      </c>
      <c r="G639" t="s">
        <v>74</v>
      </c>
      <c r="H639" t="s">
        <v>74</v>
      </c>
      <c r="I639" t="s">
        <v>12337</v>
      </c>
      <c r="J639" t="s">
        <v>6150</v>
      </c>
      <c r="K639" t="s">
        <v>74</v>
      </c>
      <c r="L639" t="s">
        <v>74</v>
      </c>
      <c r="M639" t="s">
        <v>78</v>
      </c>
      <c r="N639" t="s">
        <v>79</v>
      </c>
      <c r="O639" t="s">
        <v>74</v>
      </c>
      <c r="P639" t="s">
        <v>74</v>
      </c>
      <c r="Q639" t="s">
        <v>74</v>
      </c>
      <c r="R639" t="s">
        <v>74</v>
      </c>
      <c r="S639" t="s">
        <v>74</v>
      </c>
      <c r="T639" t="s">
        <v>12338</v>
      </c>
      <c r="U639" t="s">
        <v>12339</v>
      </c>
      <c r="V639" t="s">
        <v>12340</v>
      </c>
      <c r="W639" t="s">
        <v>12341</v>
      </c>
      <c r="X639" t="s">
        <v>6389</v>
      </c>
      <c r="Y639" t="s">
        <v>12342</v>
      </c>
      <c r="Z639" t="s">
        <v>6391</v>
      </c>
      <c r="AA639" t="s">
        <v>12343</v>
      </c>
      <c r="AB639" t="s">
        <v>12344</v>
      </c>
      <c r="AC639" t="s">
        <v>74</v>
      </c>
      <c r="AD639" t="s">
        <v>74</v>
      </c>
      <c r="AE639" t="s">
        <v>74</v>
      </c>
      <c r="AF639" t="s">
        <v>74</v>
      </c>
      <c r="AG639">
        <v>46</v>
      </c>
      <c r="AH639">
        <v>9</v>
      </c>
      <c r="AI639">
        <v>10</v>
      </c>
      <c r="AJ639">
        <v>3</v>
      </c>
      <c r="AK639">
        <v>33</v>
      </c>
      <c r="AL639" t="s">
        <v>3724</v>
      </c>
      <c r="AM639" t="s">
        <v>1996</v>
      </c>
      <c r="AN639" t="s">
        <v>3725</v>
      </c>
      <c r="AO639" t="s">
        <v>6161</v>
      </c>
      <c r="AP639" t="s">
        <v>6162</v>
      </c>
      <c r="AQ639" t="s">
        <v>74</v>
      </c>
      <c r="AR639" t="s">
        <v>6163</v>
      </c>
      <c r="AS639" t="s">
        <v>6164</v>
      </c>
      <c r="AT639" t="s">
        <v>1109</v>
      </c>
      <c r="AU639">
        <v>2021</v>
      </c>
      <c r="AV639">
        <v>36</v>
      </c>
      <c r="AW639">
        <v>6</v>
      </c>
      <c r="AX639" t="s">
        <v>74</v>
      </c>
      <c r="AY639" t="s">
        <v>74</v>
      </c>
      <c r="AZ639" t="s">
        <v>74</v>
      </c>
      <c r="BA639" t="s">
        <v>74</v>
      </c>
      <c r="BB639">
        <v>576</v>
      </c>
      <c r="BC639">
        <v>586</v>
      </c>
      <c r="BD639" t="s">
        <v>74</v>
      </c>
      <c r="BE639" t="s">
        <v>12345</v>
      </c>
      <c r="BF639" t="str">
        <f>HYPERLINK("http://dx.doi.org/10.1017/S1742170521000193","http://dx.doi.org/10.1017/S1742170521000193")</f>
        <v>http://dx.doi.org/10.1017/S1742170521000193</v>
      </c>
      <c r="BG639" t="s">
        <v>74</v>
      </c>
      <c r="BH639" t="s">
        <v>74</v>
      </c>
      <c r="BI639">
        <v>11</v>
      </c>
      <c r="BJ639" t="s">
        <v>101</v>
      </c>
      <c r="BK639" t="s">
        <v>102</v>
      </c>
      <c r="BL639" t="s">
        <v>103</v>
      </c>
      <c r="BM639" t="s">
        <v>12346</v>
      </c>
      <c r="BN639" t="s">
        <v>74</v>
      </c>
      <c r="BO639" t="s">
        <v>74</v>
      </c>
      <c r="BP639" t="s">
        <v>74</v>
      </c>
      <c r="BQ639" t="s">
        <v>74</v>
      </c>
      <c r="BR639" t="s">
        <v>106</v>
      </c>
      <c r="BS639" t="s">
        <v>12347</v>
      </c>
      <c r="BT639" t="str">
        <f>HYPERLINK("https%3A%2F%2Fwww.webofscience.com%2Fwos%2Fwoscc%2Ffull-record%2FWOS:000779405900010","View Full Record in Web of Science")</f>
        <v>View Full Record in Web of Science</v>
      </c>
    </row>
    <row r="640" spans="1:72" x14ac:dyDescent="0.2">
      <c r="A640" t="s">
        <v>72</v>
      </c>
      <c r="B640" t="s">
        <v>12348</v>
      </c>
      <c r="C640" t="s">
        <v>74</v>
      </c>
      <c r="D640" t="s">
        <v>74</v>
      </c>
      <c r="E640" t="s">
        <v>74</v>
      </c>
      <c r="F640" t="s">
        <v>12349</v>
      </c>
      <c r="G640" t="s">
        <v>74</v>
      </c>
      <c r="H640" t="s">
        <v>74</v>
      </c>
      <c r="I640" t="s">
        <v>12350</v>
      </c>
      <c r="J640" t="s">
        <v>12351</v>
      </c>
      <c r="K640" t="s">
        <v>74</v>
      </c>
      <c r="L640" t="s">
        <v>74</v>
      </c>
      <c r="M640" t="s">
        <v>78</v>
      </c>
      <c r="N640" t="s">
        <v>79</v>
      </c>
      <c r="O640" t="s">
        <v>74</v>
      </c>
      <c r="P640" t="s">
        <v>74</v>
      </c>
      <c r="Q640" t="s">
        <v>74</v>
      </c>
      <c r="R640" t="s">
        <v>74</v>
      </c>
      <c r="S640" t="s">
        <v>74</v>
      </c>
      <c r="T640" t="s">
        <v>12352</v>
      </c>
      <c r="U640" t="s">
        <v>12353</v>
      </c>
      <c r="V640" t="s">
        <v>12354</v>
      </c>
      <c r="W640" t="s">
        <v>12355</v>
      </c>
      <c r="X640" t="s">
        <v>12356</v>
      </c>
      <c r="Y640" t="s">
        <v>12357</v>
      </c>
      <c r="Z640" t="s">
        <v>12358</v>
      </c>
      <c r="AA640" t="s">
        <v>12359</v>
      </c>
      <c r="AB640" t="s">
        <v>12360</v>
      </c>
      <c r="AC640" t="s">
        <v>12361</v>
      </c>
      <c r="AD640" t="s">
        <v>12362</v>
      </c>
      <c r="AE640" t="s">
        <v>12363</v>
      </c>
      <c r="AF640" t="s">
        <v>74</v>
      </c>
      <c r="AG640">
        <v>46</v>
      </c>
      <c r="AH640">
        <v>1</v>
      </c>
      <c r="AI640">
        <v>1</v>
      </c>
      <c r="AJ640">
        <v>2</v>
      </c>
      <c r="AK640">
        <v>13</v>
      </c>
      <c r="AL640" t="s">
        <v>222</v>
      </c>
      <c r="AM640" t="s">
        <v>223</v>
      </c>
      <c r="AN640" t="s">
        <v>224</v>
      </c>
      <c r="AO640" t="s">
        <v>74</v>
      </c>
      <c r="AP640" t="s">
        <v>12364</v>
      </c>
      <c r="AQ640" t="s">
        <v>74</v>
      </c>
      <c r="AR640" t="s">
        <v>12351</v>
      </c>
      <c r="AS640" t="s">
        <v>12365</v>
      </c>
      <c r="AT640" t="s">
        <v>281</v>
      </c>
      <c r="AU640">
        <v>2024</v>
      </c>
      <c r="AV640">
        <v>29</v>
      </c>
      <c r="AW640">
        <v>12</v>
      </c>
      <c r="AX640" t="s">
        <v>74</v>
      </c>
      <c r="AY640" t="s">
        <v>74</v>
      </c>
      <c r="AZ640" t="s">
        <v>74</v>
      </c>
      <c r="BA640" t="s">
        <v>74</v>
      </c>
      <c r="BB640" t="s">
        <v>74</v>
      </c>
      <c r="BC640" t="s">
        <v>74</v>
      </c>
      <c r="BD640">
        <v>2717</v>
      </c>
      <c r="BE640" t="s">
        <v>12366</v>
      </c>
      <c r="BF640" t="str">
        <f>HYPERLINK("http://dx.doi.org/10.3390/molecules29122717","http://dx.doi.org/10.3390/molecules29122717")</f>
        <v>http://dx.doi.org/10.3390/molecules29122717</v>
      </c>
      <c r="BG640" t="s">
        <v>74</v>
      </c>
      <c r="BH640" t="s">
        <v>74</v>
      </c>
      <c r="BI640">
        <v>16</v>
      </c>
      <c r="BJ640" t="s">
        <v>12367</v>
      </c>
      <c r="BK640" t="s">
        <v>102</v>
      </c>
      <c r="BL640" t="s">
        <v>12368</v>
      </c>
      <c r="BM640" t="s">
        <v>12369</v>
      </c>
      <c r="BN640">
        <v>38930782</v>
      </c>
      <c r="BO640" t="s">
        <v>161</v>
      </c>
      <c r="BP640" t="s">
        <v>74</v>
      </c>
      <c r="BQ640" t="s">
        <v>74</v>
      </c>
      <c r="BR640" t="s">
        <v>106</v>
      </c>
      <c r="BS640" t="s">
        <v>12370</v>
      </c>
      <c r="BT640" t="str">
        <f>HYPERLINK("https%3A%2F%2Fwww.webofscience.com%2Fwos%2Fwoscc%2Ffull-record%2FWOS:001256983200001","View Full Record in Web of Science")</f>
        <v>View Full Record in Web of Science</v>
      </c>
    </row>
    <row r="641" spans="1:72" x14ac:dyDescent="0.2">
      <c r="A641" t="s">
        <v>72</v>
      </c>
      <c r="B641" t="s">
        <v>12371</v>
      </c>
      <c r="C641" t="s">
        <v>74</v>
      </c>
      <c r="D641" t="s">
        <v>74</v>
      </c>
      <c r="E641" t="s">
        <v>74</v>
      </c>
      <c r="F641" t="s">
        <v>12372</v>
      </c>
      <c r="G641" t="s">
        <v>74</v>
      </c>
      <c r="H641" t="s">
        <v>74</v>
      </c>
      <c r="I641" t="s">
        <v>12373</v>
      </c>
      <c r="J641" t="s">
        <v>1451</v>
      </c>
      <c r="K641" t="s">
        <v>74</v>
      </c>
      <c r="L641" t="s">
        <v>74</v>
      </c>
      <c r="M641" t="s">
        <v>78</v>
      </c>
      <c r="N641" t="s">
        <v>79</v>
      </c>
      <c r="O641" t="s">
        <v>74</v>
      </c>
      <c r="P641" t="s">
        <v>74</v>
      </c>
      <c r="Q641" t="s">
        <v>74</v>
      </c>
      <c r="R641" t="s">
        <v>74</v>
      </c>
      <c r="S641" t="s">
        <v>74</v>
      </c>
      <c r="T641" t="s">
        <v>12374</v>
      </c>
      <c r="U641" t="s">
        <v>12375</v>
      </c>
      <c r="V641" t="s">
        <v>12376</v>
      </c>
      <c r="W641" t="s">
        <v>12377</v>
      </c>
      <c r="X641" t="s">
        <v>12378</v>
      </c>
      <c r="Y641" t="s">
        <v>12379</v>
      </c>
      <c r="Z641" t="s">
        <v>12380</v>
      </c>
      <c r="AA641" t="s">
        <v>12381</v>
      </c>
      <c r="AB641" t="s">
        <v>12382</v>
      </c>
      <c r="AC641" t="s">
        <v>12383</v>
      </c>
      <c r="AD641" t="s">
        <v>12384</v>
      </c>
      <c r="AE641" t="s">
        <v>12385</v>
      </c>
      <c r="AF641" t="s">
        <v>74</v>
      </c>
      <c r="AG641">
        <v>72</v>
      </c>
      <c r="AH641">
        <v>19</v>
      </c>
      <c r="AI641">
        <v>21</v>
      </c>
      <c r="AJ641">
        <v>31</v>
      </c>
      <c r="AK641">
        <v>180</v>
      </c>
      <c r="AL641" t="s">
        <v>123</v>
      </c>
      <c r="AM641" t="s">
        <v>124</v>
      </c>
      <c r="AN641" t="s">
        <v>125</v>
      </c>
      <c r="AO641" t="s">
        <v>1464</v>
      </c>
      <c r="AP641" t="s">
        <v>1465</v>
      </c>
      <c r="AQ641" t="s">
        <v>74</v>
      </c>
      <c r="AR641" t="s">
        <v>1466</v>
      </c>
      <c r="AS641" t="s">
        <v>1467</v>
      </c>
      <c r="AT641" t="s">
        <v>1632</v>
      </c>
      <c r="AU641">
        <v>2024</v>
      </c>
      <c r="AV641">
        <v>359</v>
      </c>
      <c r="AW641" t="s">
        <v>74</v>
      </c>
      <c r="AX641" t="s">
        <v>74</v>
      </c>
      <c r="AY641" t="s">
        <v>74</v>
      </c>
      <c r="AZ641" t="s">
        <v>74</v>
      </c>
      <c r="BA641" t="s">
        <v>74</v>
      </c>
      <c r="BB641" t="s">
        <v>74</v>
      </c>
      <c r="BC641" t="s">
        <v>74</v>
      </c>
      <c r="BD641">
        <v>108762</v>
      </c>
      <c r="BE641" t="s">
        <v>12386</v>
      </c>
      <c r="BF641" t="str">
        <f>HYPERLINK("http://dx.doi.org/10.1016/j.agee.2023.108762","http://dx.doi.org/10.1016/j.agee.2023.108762")</f>
        <v>http://dx.doi.org/10.1016/j.agee.2023.108762</v>
      </c>
      <c r="BG641" t="s">
        <v>74</v>
      </c>
      <c r="BH641" t="s">
        <v>1688</v>
      </c>
      <c r="BI641">
        <v>14</v>
      </c>
      <c r="BJ641" t="s">
        <v>1470</v>
      </c>
      <c r="BK641" t="s">
        <v>102</v>
      </c>
      <c r="BL641" t="s">
        <v>1471</v>
      </c>
      <c r="BM641" t="s">
        <v>12387</v>
      </c>
      <c r="BN641" t="s">
        <v>74</v>
      </c>
      <c r="BO641" t="s">
        <v>74</v>
      </c>
      <c r="BP641" t="s">
        <v>74</v>
      </c>
      <c r="BQ641" t="s">
        <v>74</v>
      </c>
      <c r="BR641" t="s">
        <v>106</v>
      </c>
      <c r="BS641" t="s">
        <v>12388</v>
      </c>
      <c r="BT641" t="str">
        <f>HYPERLINK("https%3A%2F%2Fwww.webofscience.com%2Fwos%2Fwoscc%2Ffull-record%2FWOS:001087137100001","View Full Record in Web of Science")</f>
        <v>View Full Record in Web of Science</v>
      </c>
    </row>
    <row r="642" spans="1:72" x14ac:dyDescent="0.2">
      <c r="A642" t="s">
        <v>72</v>
      </c>
      <c r="B642" t="s">
        <v>12389</v>
      </c>
      <c r="C642" t="s">
        <v>74</v>
      </c>
      <c r="D642" t="s">
        <v>74</v>
      </c>
      <c r="E642" t="s">
        <v>74</v>
      </c>
      <c r="F642" t="s">
        <v>12390</v>
      </c>
      <c r="G642" t="s">
        <v>74</v>
      </c>
      <c r="H642" t="s">
        <v>74</v>
      </c>
      <c r="I642" t="s">
        <v>12391</v>
      </c>
      <c r="J642" t="s">
        <v>12392</v>
      </c>
      <c r="K642" t="s">
        <v>74</v>
      </c>
      <c r="L642" t="s">
        <v>74</v>
      </c>
      <c r="M642" t="s">
        <v>78</v>
      </c>
      <c r="N642" t="s">
        <v>79</v>
      </c>
      <c r="O642" t="s">
        <v>74</v>
      </c>
      <c r="P642" t="s">
        <v>74</v>
      </c>
      <c r="Q642" t="s">
        <v>74</v>
      </c>
      <c r="R642" t="s">
        <v>74</v>
      </c>
      <c r="S642" t="s">
        <v>74</v>
      </c>
      <c r="T642" t="s">
        <v>12393</v>
      </c>
      <c r="U642" t="s">
        <v>12394</v>
      </c>
      <c r="V642" t="s">
        <v>12395</v>
      </c>
      <c r="W642" t="s">
        <v>12396</v>
      </c>
      <c r="X642" t="s">
        <v>12397</v>
      </c>
      <c r="Y642" t="s">
        <v>12398</v>
      </c>
      <c r="Z642" t="s">
        <v>12399</v>
      </c>
      <c r="AA642" t="s">
        <v>12400</v>
      </c>
      <c r="AB642" t="s">
        <v>74</v>
      </c>
      <c r="AC642" t="s">
        <v>12401</v>
      </c>
      <c r="AD642" t="s">
        <v>12402</v>
      </c>
      <c r="AE642" t="s">
        <v>12403</v>
      </c>
      <c r="AF642" t="s">
        <v>74</v>
      </c>
      <c r="AG642">
        <v>61</v>
      </c>
      <c r="AH642">
        <v>7</v>
      </c>
      <c r="AI642">
        <v>8</v>
      </c>
      <c r="AJ642">
        <v>44</v>
      </c>
      <c r="AK642">
        <v>128</v>
      </c>
      <c r="AL642" t="s">
        <v>222</v>
      </c>
      <c r="AM642" t="s">
        <v>223</v>
      </c>
      <c r="AN642" t="s">
        <v>478</v>
      </c>
      <c r="AO642" t="s">
        <v>12404</v>
      </c>
      <c r="AP642" t="s">
        <v>74</v>
      </c>
      <c r="AQ642" t="s">
        <v>74</v>
      </c>
      <c r="AR642" t="s">
        <v>12392</v>
      </c>
      <c r="AS642" t="s">
        <v>12405</v>
      </c>
      <c r="AT642" t="s">
        <v>1963</v>
      </c>
      <c r="AU642">
        <v>2024</v>
      </c>
      <c r="AV642">
        <v>13</v>
      </c>
      <c r="AW642">
        <v>17</v>
      </c>
      <c r="AX642" t="s">
        <v>74</v>
      </c>
      <c r="AY642" t="s">
        <v>74</v>
      </c>
      <c r="AZ642" t="s">
        <v>74</v>
      </c>
      <c r="BA642" t="s">
        <v>74</v>
      </c>
      <c r="BB642" t="s">
        <v>74</v>
      </c>
      <c r="BC642" t="s">
        <v>74</v>
      </c>
      <c r="BD642">
        <v>2503</v>
      </c>
      <c r="BE642" t="s">
        <v>12406</v>
      </c>
      <c r="BF642" t="str">
        <f>HYPERLINK("http://dx.doi.org/10.3390/plants13172503","http://dx.doi.org/10.3390/plants13172503")</f>
        <v>http://dx.doi.org/10.3390/plants13172503</v>
      </c>
      <c r="BG642" t="s">
        <v>74</v>
      </c>
      <c r="BH642" t="s">
        <v>74</v>
      </c>
      <c r="BI642">
        <v>21</v>
      </c>
      <c r="BJ642" t="s">
        <v>3850</v>
      </c>
      <c r="BK642" t="s">
        <v>102</v>
      </c>
      <c r="BL642" t="s">
        <v>3850</v>
      </c>
      <c r="BM642" t="s">
        <v>12407</v>
      </c>
      <c r="BN642">
        <v>39273988</v>
      </c>
      <c r="BO642" t="s">
        <v>161</v>
      </c>
      <c r="BP642" t="s">
        <v>74</v>
      </c>
      <c r="BQ642" t="s">
        <v>74</v>
      </c>
      <c r="BR642" t="s">
        <v>106</v>
      </c>
      <c r="BS642" t="s">
        <v>12408</v>
      </c>
      <c r="BT642" t="str">
        <f>HYPERLINK("https%3A%2F%2Fwww.webofscience.com%2Fwos%2Fwoscc%2Ffull-record%2FWOS:001311503000001","View Full Record in Web of Science")</f>
        <v>View Full Record in Web of Science</v>
      </c>
    </row>
    <row r="643" spans="1:72" x14ac:dyDescent="0.2">
      <c r="A643" t="s">
        <v>72</v>
      </c>
      <c r="B643" t="s">
        <v>12409</v>
      </c>
      <c r="C643" t="s">
        <v>74</v>
      </c>
      <c r="D643" t="s">
        <v>74</v>
      </c>
      <c r="E643" t="s">
        <v>74</v>
      </c>
      <c r="F643" t="s">
        <v>12410</v>
      </c>
      <c r="G643" t="s">
        <v>74</v>
      </c>
      <c r="H643" t="s">
        <v>74</v>
      </c>
      <c r="I643" t="s">
        <v>12411</v>
      </c>
      <c r="J643" t="s">
        <v>520</v>
      </c>
      <c r="K643" t="s">
        <v>74</v>
      </c>
      <c r="L643" t="s">
        <v>74</v>
      </c>
      <c r="M643" t="s">
        <v>78</v>
      </c>
      <c r="N643" t="s">
        <v>79</v>
      </c>
      <c r="O643" t="s">
        <v>74</v>
      </c>
      <c r="P643" t="s">
        <v>74</v>
      </c>
      <c r="Q643" t="s">
        <v>74</v>
      </c>
      <c r="R643" t="s">
        <v>74</v>
      </c>
      <c r="S643" t="s">
        <v>74</v>
      </c>
      <c r="T643" t="s">
        <v>12412</v>
      </c>
      <c r="U643" t="s">
        <v>12413</v>
      </c>
      <c r="V643" t="s">
        <v>12414</v>
      </c>
      <c r="W643" t="s">
        <v>12415</v>
      </c>
      <c r="X643" t="s">
        <v>12416</v>
      </c>
      <c r="Y643" t="s">
        <v>12417</v>
      </c>
      <c r="Z643" t="s">
        <v>12418</v>
      </c>
      <c r="AA643" t="s">
        <v>12419</v>
      </c>
      <c r="AB643" t="s">
        <v>12420</v>
      </c>
      <c r="AC643" t="s">
        <v>12421</v>
      </c>
      <c r="AD643" t="s">
        <v>12422</v>
      </c>
      <c r="AE643" t="s">
        <v>12423</v>
      </c>
      <c r="AF643" t="s">
        <v>74</v>
      </c>
      <c r="AG643">
        <v>64</v>
      </c>
      <c r="AH643">
        <v>11</v>
      </c>
      <c r="AI643">
        <v>12</v>
      </c>
      <c r="AJ643">
        <v>13</v>
      </c>
      <c r="AK643">
        <v>122</v>
      </c>
      <c r="AL643" t="s">
        <v>530</v>
      </c>
      <c r="AM643" t="s">
        <v>531</v>
      </c>
      <c r="AN643" t="s">
        <v>532</v>
      </c>
      <c r="AO643" t="s">
        <v>533</v>
      </c>
      <c r="AP643" t="s">
        <v>534</v>
      </c>
      <c r="AQ643" t="s">
        <v>74</v>
      </c>
      <c r="AR643" t="s">
        <v>535</v>
      </c>
      <c r="AS643" t="s">
        <v>536</v>
      </c>
      <c r="AT643" t="s">
        <v>12424</v>
      </c>
      <c r="AU643">
        <v>2023</v>
      </c>
      <c r="AV643">
        <v>120</v>
      </c>
      <c r="AW643">
        <v>43</v>
      </c>
      <c r="AX643" t="s">
        <v>74</v>
      </c>
      <c r="AY643" t="s">
        <v>74</v>
      </c>
      <c r="AZ643" t="s">
        <v>74</v>
      </c>
      <c r="BA643" t="s">
        <v>74</v>
      </c>
      <c r="BB643" t="s">
        <v>74</v>
      </c>
      <c r="BC643" t="s">
        <v>74</v>
      </c>
      <c r="BD643" t="s">
        <v>12425</v>
      </c>
      <c r="BE643" t="s">
        <v>12426</v>
      </c>
      <c r="BF643" t="str">
        <f>HYPERLINK("http://dx.doi.org/10.1073/pnas.2304826120","http://dx.doi.org/10.1073/pnas.2304826120")</f>
        <v>http://dx.doi.org/10.1073/pnas.2304826120</v>
      </c>
      <c r="BG643" t="s">
        <v>74</v>
      </c>
      <c r="BH643" t="s">
        <v>74</v>
      </c>
      <c r="BI643">
        <v>8</v>
      </c>
      <c r="BJ643" t="s">
        <v>158</v>
      </c>
      <c r="BK643" t="s">
        <v>102</v>
      </c>
      <c r="BL643" t="s">
        <v>159</v>
      </c>
      <c r="BM643" t="s">
        <v>12427</v>
      </c>
      <c r="BN643">
        <v>37844251</v>
      </c>
      <c r="BO643" t="s">
        <v>541</v>
      </c>
      <c r="BP643" t="s">
        <v>74</v>
      </c>
      <c r="BQ643" t="s">
        <v>74</v>
      </c>
      <c r="BR643" t="s">
        <v>106</v>
      </c>
      <c r="BS643" t="s">
        <v>12428</v>
      </c>
      <c r="BT643" t="str">
        <f>HYPERLINK("https%3A%2F%2Fwww.webofscience.com%2Fwos%2Fwoscc%2Ffull-record%2FWOS:001101149100003","View Full Record in Web of Science")</f>
        <v>View Full Record in Web of Science</v>
      </c>
    </row>
    <row r="644" spans="1:72" x14ac:dyDescent="0.2">
      <c r="A644" t="s">
        <v>72</v>
      </c>
      <c r="B644" t="s">
        <v>12429</v>
      </c>
      <c r="C644" t="s">
        <v>74</v>
      </c>
      <c r="D644" t="s">
        <v>74</v>
      </c>
      <c r="E644" t="s">
        <v>74</v>
      </c>
      <c r="F644" t="s">
        <v>12430</v>
      </c>
      <c r="G644" t="s">
        <v>74</v>
      </c>
      <c r="H644" t="s">
        <v>74</v>
      </c>
      <c r="I644" t="s">
        <v>12431</v>
      </c>
      <c r="J644" t="s">
        <v>12432</v>
      </c>
      <c r="K644" t="s">
        <v>74</v>
      </c>
      <c r="L644" t="s">
        <v>74</v>
      </c>
      <c r="M644" t="s">
        <v>78</v>
      </c>
      <c r="N644" t="s">
        <v>79</v>
      </c>
      <c r="O644" t="s">
        <v>74</v>
      </c>
      <c r="P644" t="s">
        <v>74</v>
      </c>
      <c r="Q644" t="s">
        <v>74</v>
      </c>
      <c r="R644" t="s">
        <v>74</v>
      </c>
      <c r="S644" t="s">
        <v>74</v>
      </c>
      <c r="T644" t="s">
        <v>12433</v>
      </c>
      <c r="U644" t="s">
        <v>12434</v>
      </c>
      <c r="V644" t="s">
        <v>12435</v>
      </c>
      <c r="W644" t="s">
        <v>12436</v>
      </c>
      <c r="X644" t="s">
        <v>12437</v>
      </c>
      <c r="Y644" t="s">
        <v>12438</v>
      </c>
      <c r="Z644" t="s">
        <v>12439</v>
      </c>
      <c r="AA644" t="s">
        <v>12440</v>
      </c>
      <c r="AB644" t="s">
        <v>12441</v>
      </c>
      <c r="AC644" t="s">
        <v>74</v>
      </c>
      <c r="AD644" t="s">
        <v>74</v>
      </c>
      <c r="AE644" t="s">
        <v>74</v>
      </c>
      <c r="AF644" t="s">
        <v>74</v>
      </c>
      <c r="AG644">
        <v>65</v>
      </c>
      <c r="AH644">
        <v>3</v>
      </c>
      <c r="AI644">
        <v>6</v>
      </c>
      <c r="AJ644">
        <v>1</v>
      </c>
      <c r="AK644">
        <v>25</v>
      </c>
      <c r="AL644" t="s">
        <v>12442</v>
      </c>
      <c r="AM644" t="s">
        <v>630</v>
      </c>
      <c r="AN644" t="s">
        <v>12443</v>
      </c>
      <c r="AO644" t="s">
        <v>12444</v>
      </c>
      <c r="AP644" t="s">
        <v>12445</v>
      </c>
      <c r="AQ644" t="s">
        <v>74</v>
      </c>
      <c r="AR644" t="s">
        <v>12446</v>
      </c>
      <c r="AS644" t="s">
        <v>12447</v>
      </c>
      <c r="AT644" t="s">
        <v>1109</v>
      </c>
      <c r="AU644">
        <v>2017</v>
      </c>
      <c r="AV644">
        <v>5</v>
      </c>
      <c r="AW644">
        <v>4</v>
      </c>
      <c r="AX644" t="s">
        <v>74</v>
      </c>
      <c r="AY644" t="s">
        <v>74</v>
      </c>
      <c r="AZ644" t="s">
        <v>74</v>
      </c>
      <c r="BA644" t="s">
        <v>74</v>
      </c>
      <c r="BB644">
        <v>325</v>
      </c>
      <c r="BC644">
        <v>334</v>
      </c>
      <c r="BD644" t="s">
        <v>74</v>
      </c>
      <c r="BE644" t="s">
        <v>12448</v>
      </c>
      <c r="BF644" t="str">
        <f>HYPERLINK("http://dx.doi.org/10.1016/j.iswcr.2017.05.007","http://dx.doi.org/10.1016/j.iswcr.2017.05.007")</f>
        <v>http://dx.doi.org/10.1016/j.iswcr.2017.05.007</v>
      </c>
      <c r="BG644" t="s">
        <v>74</v>
      </c>
      <c r="BH644" t="s">
        <v>74</v>
      </c>
      <c r="BI644">
        <v>10</v>
      </c>
      <c r="BJ644" t="s">
        <v>4979</v>
      </c>
      <c r="BK644" t="s">
        <v>102</v>
      </c>
      <c r="BL644" t="s">
        <v>4980</v>
      </c>
      <c r="BM644" t="s">
        <v>12449</v>
      </c>
      <c r="BN644" t="s">
        <v>74</v>
      </c>
      <c r="BO644" t="s">
        <v>231</v>
      </c>
      <c r="BP644" t="s">
        <v>74</v>
      </c>
      <c r="BQ644" t="s">
        <v>74</v>
      </c>
      <c r="BR644" t="s">
        <v>106</v>
      </c>
      <c r="BS644" t="s">
        <v>12450</v>
      </c>
      <c r="BT644" t="str">
        <f>HYPERLINK("https%3A%2F%2Fwww.webofscience.com%2Fwos%2Fwoscc%2Ffull-record%2FWOS:000417100500009","View Full Record in Web of Science")</f>
        <v>View Full Record in Web of Science</v>
      </c>
    </row>
    <row r="645" spans="1:72" x14ac:dyDescent="0.2">
      <c r="A645" t="s">
        <v>72</v>
      </c>
      <c r="B645" t="s">
        <v>12451</v>
      </c>
      <c r="C645" t="s">
        <v>74</v>
      </c>
      <c r="D645" t="s">
        <v>74</v>
      </c>
      <c r="E645" t="s">
        <v>74</v>
      </c>
      <c r="F645" t="s">
        <v>12452</v>
      </c>
      <c r="G645" t="s">
        <v>74</v>
      </c>
      <c r="H645" t="s">
        <v>74</v>
      </c>
      <c r="I645" t="s">
        <v>12453</v>
      </c>
      <c r="J645" t="s">
        <v>848</v>
      </c>
      <c r="K645" t="s">
        <v>74</v>
      </c>
      <c r="L645" t="s">
        <v>74</v>
      </c>
      <c r="M645" t="s">
        <v>78</v>
      </c>
      <c r="N645" t="s">
        <v>79</v>
      </c>
      <c r="O645" t="s">
        <v>74</v>
      </c>
      <c r="P645" t="s">
        <v>74</v>
      </c>
      <c r="Q645" t="s">
        <v>74</v>
      </c>
      <c r="R645" t="s">
        <v>74</v>
      </c>
      <c r="S645" t="s">
        <v>74</v>
      </c>
      <c r="T645" t="s">
        <v>12454</v>
      </c>
      <c r="U645" t="s">
        <v>12455</v>
      </c>
      <c r="V645" t="s">
        <v>12456</v>
      </c>
      <c r="W645" t="s">
        <v>12457</v>
      </c>
      <c r="X645" t="s">
        <v>74</v>
      </c>
      <c r="Y645" t="s">
        <v>12458</v>
      </c>
      <c r="Z645" t="s">
        <v>12459</v>
      </c>
      <c r="AA645" t="s">
        <v>12460</v>
      </c>
      <c r="AB645" t="s">
        <v>74</v>
      </c>
      <c r="AC645" t="s">
        <v>12461</v>
      </c>
      <c r="AD645" t="s">
        <v>12461</v>
      </c>
      <c r="AE645" t="s">
        <v>12462</v>
      </c>
      <c r="AF645" t="s">
        <v>74</v>
      </c>
      <c r="AG645">
        <v>29</v>
      </c>
      <c r="AH645">
        <v>1</v>
      </c>
      <c r="AI645">
        <v>1</v>
      </c>
      <c r="AJ645">
        <v>2</v>
      </c>
      <c r="AK645">
        <v>2</v>
      </c>
      <c r="AL645" t="s">
        <v>655</v>
      </c>
      <c r="AM645" t="s">
        <v>405</v>
      </c>
      <c r="AN645" t="s">
        <v>656</v>
      </c>
      <c r="AO645" t="s">
        <v>74</v>
      </c>
      <c r="AP645" t="s">
        <v>859</v>
      </c>
      <c r="AQ645" t="s">
        <v>74</v>
      </c>
      <c r="AR645" t="s">
        <v>860</v>
      </c>
      <c r="AS645" t="s">
        <v>861</v>
      </c>
      <c r="AT645" t="s">
        <v>8087</v>
      </c>
      <c r="AU645">
        <v>2025</v>
      </c>
      <c r="AV645">
        <v>9</v>
      </c>
      <c r="AW645" t="s">
        <v>74</v>
      </c>
      <c r="AX645" t="s">
        <v>74</v>
      </c>
      <c r="AY645" t="s">
        <v>74</v>
      </c>
      <c r="AZ645" t="s">
        <v>74</v>
      </c>
      <c r="BA645" t="s">
        <v>74</v>
      </c>
      <c r="BB645" t="s">
        <v>74</v>
      </c>
      <c r="BC645" t="s">
        <v>74</v>
      </c>
      <c r="BD645">
        <v>1571263</v>
      </c>
      <c r="BE645" t="s">
        <v>12463</v>
      </c>
      <c r="BF645" t="str">
        <f>HYPERLINK("http://dx.doi.org/10.3389/fsufs.2025.1571263","http://dx.doi.org/10.3389/fsufs.2025.1571263")</f>
        <v>http://dx.doi.org/10.3389/fsufs.2025.1571263</v>
      </c>
      <c r="BG645" t="s">
        <v>74</v>
      </c>
      <c r="BH645" t="s">
        <v>74</v>
      </c>
      <c r="BI645">
        <v>15</v>
      </c>
      <c r="BJ645" t="s">
        <v>864</v>
      </c>
      <c r="BK645" t="s">
        <v>102</v>
      </c>
      <c r="BL645" t="s">
        <v>864</v>
      </c>
      <c r="BM645" t="s">
        <v>12464</v>
      </c>
      <c r="BN645" t="s">
        <v>74</v>
      </c>
      <c r="BO645" t="s">
        <v>231</v>
      </c>
      <c r="BP645" t="s">
        <v>74</v>
      </c>
      <c r="BQ645" t="s">
        <v>74</v>
      </c>
      <c r="BR645" t="s">
        <v>106</v>
      </c>
      <c r="BS645" t="s">
        <v>12465</v>
      </c>
      <c r="BT645" t="str">
        <f>HYPERLINK("https%3A%2F%2Fwww.webofscience.com%2Fwos%2Fwoscc%2Ffull-record%2FWOS:001487243600001","View Full Record in Web of Science")</f>
        <v>View Full Record in Web of Science</v>
      </c>
    </row>
    <row r="646" spans="1:72" x14ac:dyDescent="0.2">
      <c r="A646" t="s">
        <v>72</v>
      </c>
      <c r="B646" t="s">
        <v>12466</v>
      </c>
      <c r="C646" t="s">
        <v>74</v>
      </c>
      <c r="D646" t="s">
        <v>74</v>
      </c>
      <c r="E646" t="s">
        <v>74</v>
      </c>
      <c r="F646" t="s">
        <v>12467</v>
      </c>
      <c r="G646" t="s">
        <v>74</v>
      </c>
      <c r="H646" t="s">
        <v>74</v>
      </c>
      <c r="I646" t="s">
        <v>12468</v>
      </c>
      <c r="J646" t="s">
        <v>9285</v>
      </c>
      <c r="K646" t="s">
        <v>74</v>
      </c>
      <c r="L646" t="s">
        <v>74</v>
      </c>
      <c r="M646" t="s">
        <v>78</v>
      </c>
      <c r="N646" t="s">
        <v>79</v>
      </c>
      <c r="O646" t="s">
        <v>74</v>
      </c>
      <c r="P646" t="s">
        <v>74</v>
      </c>
      <c r="Q646" t="s">
        <v>74</v>
      </c>
      <c r="R646" t="s">
        <v>74</v>
      </c>
      <c r="S646" t="s">
        <v>74</v>
      </c>
      <c r="T646" t="s">
        <v>12469</v>
      </c>
      <c r="U646" t="s">
        <v>12470</v>
      </c>
      <c r="V646" t="s">
        <v>12471</v>
      </c>
      <c r="W646" t="s">
        <v>12472</v>
      </c>
      <c r="X646" t="s">
        <v>12473</v>
      </c>
      <c r="Y646" t="s">
        <v>12474</v>
      </c>
      <c r="Z646" t="s">
        <v>12475</v>
      </c>
      <c r="AA646" t="s">
        <v>12476</v>
      </c>
      <c r="AB646" t="s">
        <v>74</v>
      </c>
      <c r="AC646" t="s">
        <v>12477</v>
      </c>
      <c r="AD646" t="s">
        <v>12478</v>
      </c>
      <c r="AE646" t="s">
        <v>12479</v>
      </c>
      <c r="AF646" t="s">
        <v>74</v>
      </c>
      <c r="AG646">
        <v>34</v>
      </c>
      <c r="AH646">
        <v>33</v>
      </c>
      <c r="AI646">
        <v>35</v>
      </c>
      <c r="AJ646">
        <v>15</v>
      </c>
      <c r="AK646">
        <v>210</v>
      </c>
      <c r="AL646" t="s">
        <v>247</v>
      </c>
      <c r="AM646" t="s">
        <v>248</v>
      </c>
      <c r="AN646" t="s">
        <v>249</v>
      </c>
      <c r="AO646" t="s">
        <v>9297</v>
      </c>
      <c r="AP646" t="s">
        <v>9298</v>
      </c>
      <c r="AQ646" t="s">
        <v>74</v>
      </c>
      <c r="AR646" t="s">
        <v>9299</v>
      </c>
      <c r="AS646" t="s">
        <v>9300</v>
      </c>
      <c r="AT646" t="s">
        <v>9558</v>
      </c>
      <c r="AU646">
        <v>2019</v>
      </c>
      <c r="AV646">
        <v>99</v>
      </c>
      <c r="AW646">
        <v>11</v>
      </c>
      <c r="AX646" t="s">
        <v>74</v>
      </c>
      <c r="AY646" t="s">
        <v>74</v>
      </c>
      <c r="AZ646" t="s">
        <v>74</v>
      </c>
      <c r="BA646" t="s">
        <v>74</v>
      </c>
      <c r="BB646">
        <v>4889</v>
      </c>
      <c r="BC646">
        <v>4897</v>
      </c>
      <c r="BD646" t="s">
        <v>74</v>
      </c>
      <c r="BE646" t="s">
        <v>12480</v>
      </c>
      <c r="BF646" t="str">
        <f>HYPERLINK("http://dx.doi.org/10.1002/jsfa.9714","http://dx.doi.org/10.1002/jsfa.9714")</f>
        <v>http://dx.doi.org/10.1002/jsfa.9714</v>
      </c>
      <c r="BG646" t="s">
        <v>74</v>
      </c>
      <c r="BH646" t="s">
        <v>74</v>
      </c>
      <c r="BI646">
        <v>9</v>
      </c>
      <c r="BJ646" t="s">
        <v>5220</v>
      </c>
      <c r="BK646" t="s">
        <v>102</v>
      </c>
      <c r="BL646" t="s">
        <v>5221</v>
      </c>
      <c r="BM646" t="s">
        <v>12481</v>
      </c>
      <c r="BN646">
        <v>30924951</v>
      </c>
      <c r="BO646" t="s">
        <v>74</v>
      </c>
      <c r="BP646" t="s">
        <v>74</v>
      </c>
      <c r="BQ646" t="s">
        <v>74</v>
      </c>
      <c r="BR646" t="s">
        <v>106</v>
      </c>
      <c r="BS646" t="s">
        <v>12482</v>
      </c>
      <c r="BT646" t="str">
        <f>HYPERLINK("https%3A%2F%2Fwww.webofscience.com%2Fwos%2Fwoscc%2Ffull-record%2FWOS:000475479900003","View Full Record in Web of Science")</f>
        <v>View Full Record in Web of Science</v>
      </c>
    </row>
    <row r="647" spans="1:72" x14ac:dyDescent="0.2">
      <c r="A647" t="s">
        <v>72</v>
      </c>
      <c r="B647" t="s">
        <v>12483</v>
      </c>
      <c r="C647" t="s">
        <v>74</v>
      </c>
      <c r="D647" t="s">
        <v>74</v>
      </c>
      <c r="E647" t="s">
        <v>74</v>
      </c>
      <c r="F647" t="s">
        <v>12484</v>
      </c>
      <c r="G647" t="s">
        <v>74</v>
      </c>
      <c r="H647" t="s">
        <v>74</v>
      </c>
      <c r="I647" t="s">
        <v>12485</v>
      </c>
      <c r="J647" t="s">
        <v>12486</v>
      </c>
      <c r="K647" t="s">
        <v>74</v>
      </c>
      <c r="L647" t="s">
        <v>74</v>
      </c>
      <c r="M647" t="s">
        <v>78</v>
      </c>
      <c r="N647" t="s">
        <v>4673</v>
      </c>
      <c r="O647" t="s">
        <v>12487</v>
      </c>
      <c r="P647" t="s">
        <v>12488</v>
      </c>
      <c r="Q647" t="s">
        <v>12489</v>
      </c>
      <c r="R647" t="s">
        <v>74</v>
      </c>
      <c r="S647" t="s">
        <v>12490</v>
      </c>
      <c r="T647" t="s">
        <v>12491</v>
      </c>
      <c r="U647" t="s">
        <v>12492</v>
      </c>
      <c r="V647" t="s">
        <v>12493</v>
      </c>
      <c r="W647" t="s">
        <v>12494</v>
      </c>
      <c r="X647" t="s">
        <v>12495</v>
      </c>
      <c r="Y647" t="s">
        <v>12496</v>
      </c>
      <c r="Z647" t="s">
        <v>12497</v>
      </c>
      <c r="AA647" t="s">
        <v>12498</v>
      </c>
      <c r="AB647" t="s">
        <v>74</v>
      </c>
      <c r="AC647" t="s">
        <v>74</v>
      </c>
      <c r="AD647" t="s">
        <v>74</v>
      </c>
      <c r="AE647" t="s">
        <v>74</v>
      </c>
      <c r="AF647" t="s">
        <v>74</v>
      </c>
      <c r="AG647">
        <v>32</v>
      </c>
      <c r="AH647">
        <v>0</v>
      </c>
      <c r="AI647">
        <v>0</v>
      </c>
      <c r="AJ647">
        <v>4</v>
      </c>
      <c r="AK647">
        <v>12</v>
      </c>
      <c r="AL647" t="s">
        <v>12499</v>
      </c>
      <c r="AM647" t="s">
        <v>12500</v>
      </c>
      <c r="AN647" t="s">
        <v>12501</v>
      </c>
      <c r="AO647" t="s">
        <v>12502</v>
      </c>
      <c r="AP647" t="s">
        <v>74</v>
      </c>
      <c r="AQ647" t="s">
        <v>74</v>
      </c>
      <c r="AR647" t="s">
        <v>12486</v>
      </c>
      <c r="AS647" t="s">
        <v>12503</v>
      </c>
      <c r="AT647" t="s">
        <v>74</v>
      </c>
      <c r="AU647">
        <v>2023</v>
      </c>
      <c r="AV647">
        <v>67</v>
      </c>
      <c r="AW647" t="s">
        <v>74</v>
      </c>
      <c r="AX647" t="s">
        <v>74</v>
      </c>
      <c r="AY647" t="s">
        <v>74</v>
      </c>
      <c r="AZ647" t="s">
        <v>1070</v>
      </c>
      <c r="BA647" t="s">
        <v>74</v>
      </c>
      <c r="BB647">
        <v>85</v>
      </c>
      <c r="BC647">
        <v>95</v>
      </c>
      <c r="BD647" t="s">
        <v>74</v>
      </c>
      <c r="BE647" t="s">
        <v>12504</v>
      </c>
      <c r="BF647" t="str">
        <f>HYPERLINK("http://dx.doi.org/10.12871/00021857202307","http://dx.doi.org/10.12871/00021857202307")</f>
        <v>http://dx.doi.org/10.12871/00021857202307</v>
      </c>
      <c r="BG647" t="s">
        <v>74</v>
      </c>
      <c r="BH647" t="s">
        <v>74</v>
      </c>
      <c r="BI647">
        <v>11</v>
      </c>
      <c r="BJ647" t="s">
        <v>12505</v>
      </c>
      <c r="BK647" t="s">
        <v>4693</v>
      </c>
      <c r="BL647" t="s">
        <v>12506</v>
      </c>
      <c r="BM647" t="s">
        <v>12507</v>
      </c>
      <c r="BN647" t="s">
        <v>74</v>
      </c>
      <c r="BO647" t="s">
        <v>74</v>
      </c>
      <c r="BP647" t="s">
        <v>74</v>
      </c>
      <c r="BQ647" t="s">
        <v>74</v>
      </c>
      <c r="BR647" t="s">
        <v>106</v>
      </c>
      <c r="BS647" t="s">
        <v>12508</v>
      </c>
      <c r="BT647" t="str">
        <f>HYPERLINK("https%3A%2F%2Fwww.webofscience.com%2Fwos%2Fwoscc%2Ffull-record%2FWOS:001139365700009","View Full Record in Web of Science")</f>
        <v>View Full Record in Web of Science</v>
      </c>
    </row>
    <row r="648" spans="1:72" x14ac:dyDescent="0.2">
      <c r="A648" t="s">
        <v>72</v>
      </c>
      <c r="B648" t="s">
        <v>12509</v>
      </c>
      <c r="C648" t="s">
        <v>74</v>
      </c>
      <c r="D648" t="s">
        <v>74</v>
      </c>
      <c r="E648" t="s">
        <v>74</v>
      </c>
      <c r="F648" t="s">
        <v>12510</v>
      </c>
      <c r="G648" t="s">
        <v>74</v>
      </c>
      <c r="H648" t="s">
        <v>74</v>
      </c>
      <c r="I648" t="s">
        <v>12511</v>
      </c>
      <c r="J648" t="s">
        <v>970</v>
      </c>
      <c r="K648" t="s">
        <v>74</v>
      </c>
      <c r="L648" t="s">
        <v>74</v>
      </c>
      <c r="M648" t="s">
        <v>78</v>
      </c>
      <c r="N648" t="s">
        <v>79</v>
      </c>
      <c r="O648" t="s">
        <v>74</v>
      </c>
      <c r="P648" t="s">
        <v>74</v>
      </c>
      <c r="Q648" t="s">
        <v>74</v>
      </c>
      <c r="R648" t="s">
        <v>74</v>
      </c>
      <c r="S648" t="s">
        <v>74</v>
      </c>
      <c r="T648" t="s">
        <v>12512</v>
      </c>
      <c r="U648" t="s">
        <v>12513</v>
      </c>
      <c r="V648" t="s">
        <v>12514</v>
      </c>
      <c r="W648" t="s">
        <v>12515</v>
      </c>
      <c r="X648" t="s">
        <v>12516</v>
      </c>
      <c r="Y648" t="s">
        <v>12517</v>
      </c>
      <c r="Z648" t="s">
        <v>12518</v>
      </c>
      <c r="AA648" t="s">
        <v>12519</v>
      </c>
      <c r="AB648" t="s">
        <v>74</v>
      </c>
      <c r="AC648" t="s">
        <v>74</v>
      </c>
      <c r="AD648" t="s">
        <v>74</v>
      </c>
      <c r="AE648" t="s">
        <v>74</v>
      </c>
      <c r="AF648" t="s">
        <v>74</v>
      </c>
      <c r="AG648">
        <v>86</v>
      </c>
      <c r="AH648">
        <v>0</v>
      </c>
      <c r="AI648">
        <v>0</v>
      </c>
      <c r="AJ648">
        <v>2</v>
      </c>
      <c r="AK648">
        <v>2</v>
      </c>
      <c r="AL648" t="s">
        <v>123</v>
      </c>
      <c r="AM648" t="s">
        <v>124</v>
      </c>
      <c r="AN648" t="s">
        <v>125</v>
      </c>
      <c r="AO648" t="s">
        <v>983</v>
      </c>
      <c r="AP648" t="s">
        <v>984</v>
      </c>
      <c r="AQ648" t="s">
        <v>74</v>
      </c>
      <c r="AR648" t="s">
        <v>985</v>
      </c>
      <c r="AS648" t="s">
        <v>986</v>
      </c>
      <c r="AT648" t="s">
        <v>1109</v>
      </c>
      <c r="AU648">
        <v>2025</v>
      </c>
      <c r="AV648">
        <v>181</v>
      </c>
      <c r="AW648" t="s">
        <v>74</v>
      </c>
      <c r="AX648" t="s">
        <v>74</v>
      </c>
      <c r="AY648" t="s">
        <v>74</v>
      </c>
      <c r="AZ648" t="s">
        <v>74</v>
      </c>
      <c r="BA648" t="s">
        <v>74</v>
      </c>
      <c r="BB648" t="s">
        <v>74</v>
      </c>
      <c r="BC648" t="s">
        <v>74</v>
      </c>
      <c r="BD648">
        <v>103653</v>
      </c>
      <c r="BE648" t="s">
        <v>12520</v>
      </c>
      <c r="BF648" t="str">
        <f>HYPERLINK("http://dx.doi.org/10.1016/j.forpol.2025.103653","http://dx.doi.org/10.1016/j.forpol.2025.103653")</f>
        <v>http://dx.doi.org/10.1016/j.forpol.2025.103653</v>
      </c>
      <c r="BG648" t="s">
        <v>74</v>
      </c>
      <c r="BH648" t="s">
        <v>2319</v>
      </c>
      <c r="BI648">
        <v>12</v>
      </c>
      <c r="BJ648" t="s">
        <v>988</v>
      </c>
      <c r="BK648" t="s">
        <v>186</v>
      </c>
      <c r="BL648" t="s">
        <v>989</v>
      </c>
      <c r="BM648" t="s">
        <v>12521</v>
      </c>
      <c r="BN648" t="s">
        <v>74</v>
      </c>
      <c r="BO648" t="s">
        <v>74</v>
      </c>
      <c r="BP648" t="s">
        <v>74</v>
      </c>
      <c r="BQ648" t="s">
        <v>74</v>
      </c>
      <c r="BR648" t="s">
        <v>106</v>
      </c>
      <c r="BS648" t="s">
        <v>12522</v>
      </c>
      <c r="BT648" t="str">
        <f>HYPERLINK("https%3A%2F%2Fwww.webofscience.com%2Fwos%2Fwoscc%2Ffull-record%2FWOS:001600196000001","View Full Record in Web of Science")</f>
        <v>View Full Record in Web of Science</v>
      </c>
    </row>
    <row r="649" spans="1:72" x14ac:dyDescent="0.2">
      <c r="A649" t="s">
        <v>72</v>
      </c>
      <c r="B649" t="s">
        <v>12523</v>
      </c>
      <c r="C649" t="s">
        <v>74</v>
      </c>
      <c r="D649" t="s">
        <v>74</v>
      </c>
      <c r="E649" t="s">
        <v>74</v>
      </c>
      <c r="F649" t="s">
        <v>12524</v>
      </c>
      <c r="G649" t="s">
        <v>74</v>
      </c>
      <c r="H649" t="s">
        <v>74</v>
      </c>
      <c r="I649" t="s">
        <v>12525</v>
      </c>
      <c r="J649" t="s">
        <v>645</v>
      </c>
      <c r="K649" t="s">
        <v>74</v>
      </c>
      <c r="L649" t="s">
        <v>74</v>
      </c>
      <c r="M649" t="s">
        <v>78</v>
      </c>
      <c r="N649" t="s">
        <v>79</v>
      </c>
      <c r="O649" t="s">
        <v>74</v>
      </c>
      <c r="P649" t="s">
        <v>74</v>
      </c>
      <c r="Q649" t="s">
        <v>74</v>
      </c>
      <c r="R649" t="s">
        <v>74</v>
      </c>
      <c r="S649" t="s">
        <v>74</v>
      </c>
      <c r="T649" t="s">
        <v>12526</v>
      </c>
      <c r="U649" t="s">
        <v>12527</v>
      </c>
      <c r="V649" t="s">
        <v>12528</v>
      </c>
      <c r="W649" t="s">
        <v>12529</v>
      </c>
      <c r="X649" t="s">
        <v>12530</v>
      </c>
      <c r="Y649" t="s">
        <v>12531</v>
      </c>
      <c r="Z649" t="s">
        <v>12532</v>
      </c>
      <c r="AA649" t="s">
        <v>12533</v>
      </c>
      <c r="AB649" t="s">
        <v>74</v>
      </c>
      <c r="AC649" t="s">
        <v>12534</v>
      </c>
      <c r="AD649" t="s">
        <v>12534</v>
      </c>
      <c r="AE649" t="s">
        <v>12535</v>
      </c>
      <c r="AF649" t="s">
        <v>74</v>
      </c>
      <c r="AG649">
        <v>32</v>
      </c>
      <c r="AH649">
        <v>0</v>
      </c>
      <c r="AI649">
        <v>0</v>
      </c>
      <c r="AJ649">
        <v>3</v>
      </c>
      <c r="AK649">
        <v>3</v>
      </c>
      <c r="AL649" t="s">
        <v>655</v>
      </c>
      <c r="AM649" t="s">
        <v>405</v>
      </c>
      <c r="AN649" t="s">
        <v>656</v>
      </c>
      <c r="AO649" t="s">
        <v>74</v>
      </c>
      <c r="AP649" t="s">
        <v>657</v>
      </c>
      <c r="AQ649" t="s">
        <v>74</v>
      </c>
      <c r="AR649" t="s">
        <v>658</v>
      </c>
      <c r="AS649" t="s">
        <v>659</v>
      </c>
      <c r="AT649" t="s">
        <v>12536</v>
      </c>
      <c r="AU649">
        <v>2025</v>
      </c>
      <c r="AV649">
        <v>13</v>
      </c>
      <c r="AW649" t="s">
        <v>74</v>
      </c>
      <c r="AX649" t="s">
        <v>74</v>
      </c>
      <c r="AY649" t="s">
        <v>74</v>
      </c>
      <c r="AZ649" t="s">
        <v>74</v>
      </c>
      <c r="BA649" t="s">
        <v>74</v>
      </c>
      <c r="BB649" t="s">
        <v>74</v>
      </c>
      <c r="BC649" t="s">
        <v>74</v>
      </c>
      <c r="BD649">
        <v>1654540</v>
      </c>
      <c r="BE649" t="s">
        <v>12537</v>
      </c>
      <c r="BF649" t="str">
        <f>HYPERLINK("http://dx.doi.org/10.3389/fenvs.2025.1654540","http://dx.doi.org/10.3389/fenvs.2025.1654540")</f>
        <v>http://dx.doi.org/10.3389/fenvs.2025.1654540</v>
      </c>
      <c r="BG649" t="s">
        <v>74</v>
      </c>
      <c r="BH649" t="s">
        <v>74</v>
      </c>
      <c r="BI649">
        <v>18</v>
      </c>
      <c r="BJ649" t="s">
        <v>567</v>
      </c>
      <c r="BK649" t="s">
        <v>102</v>
      </c>
      <c r="BL649" t="s">
        <v>568</v>
      </c>
      <c r="BM649" t="s">
        <v>12538</v>
      </c>
      <c r="BN649" t="s">
        <v>74</v>
      </c>
      <c r="BO649" t="s">
        <v>231</v>
      </c>
      <c r="BP649" t="s">
        <v>74</v>
      </c>
      <c r="BQ649" t="s">
        <v>74</v>
      </c>
      <c r="BR649" t="s">
        <v>106</v>
      </c>
      <c r="BS649" t="s">
        <v>12539</v>
      </c>
      <c r="BT649" t="str">
        <f>HYPERLINK("https%3A%2F%2Fwww.webofscience.com%2Fwos%2Fwoscc%2Ffull-record%2FWOS:001598368500001","View Full Record in Web of Science")</f>
        <v>View Full Record in Web of Science</v>
      </c>
    </row>
    <row r="650" spans="1:72" x14ac:dyDescent="0.2">
      <c r="A650" t="s">
        <v>72</v>
      </c>
      <c r="B650" t="s">
        <v>12540</v>
      </c>
      <c r="C650" t="s">
        <v>74</v>
      </c>
      <c r="D650" t="s">
        <v>74</v>
      </c>
      <c r="E650" t="s">
        <v>74</v>
      </c>
      <c r="F650" t="s">
        <v>12541</v>
      </c>
      <c r="G650" t="s">
        <v>74</v>
      </c>
      <c r="H650" t="s">
        <v>74</v>
      </c>
      <c r="I650" t="s">
        <v>12542</v>
      </c>
      <c r="J650" t="s">
        <v>2923</v>
      </c>
      <c r="K650" t="s">
        <v>74</v>
      </c>
      <c r="L650" t="s">
        <v>74</v>
      </c>
      <c r="M650" t="s">
        <v>78</v>
      </c>
      <c r="N650" t="s">
        <v>79</v>
      </c>
      <c r="O650" t="s">
        <v>74</v>
      </c>
      <c r="P650" t="s">
        <v>74</v>
      </c>
      <c r="Q650" t="s">
        <v>74</v>
      </c>
      <c r="R650" t="s">
        <v>74</v>
      </c>
      <c r="S650" t="s">
        <v>74</v>
      </c>
      <c r="T650" t="s">
        <v>12543</v>
      </c>
      <c r="U650" t="s">
        <v>12544</v>
      </c>
      <c r="V650" t="s">
        <v>12545</v>
      </c>
      <c r="W650" t="s">
        <v>12546</v>
      </c>
      <c r="X650" t="s">
        <v>12547</v>
      </c>
      <c r="Y650" t="s">
        <v>12548</v>
      </c>
      <c r="Z650" t="s">
        <v>12549</v>
      </c>
      <c r="AA650" t="s">
        <v>74</v>
      </c>
      <c r="AB650" t="s">
        <v>12550</v>
      </c>
      <c r="AC650" t="s">
        <v>12551</v>
      </c>
      <c r="AD650" t="s">
        <v>12552</v>
      </c>
      <c r="AE650" t="s">
        <v>12553</v>
      </c>
      <c r="AF650" t="s">
        <v>74</v>
      </c>
      <c r="AG650">
        <v>55</v>
      </c>
      <c r="AH650">
        <v>18</v>
      </c>
      <c r="AI650">
        <v>18</v>
      </c>
      <c r="AJ650">
        <v>1</v>
      </c>
      <c r="AK650">
        <v>33</v>
      </c>
      <c r="AL650" t="s">
        <v>12554</v>
      </c>
      <c r="AM650" t="s">
        <v>223</v>
      </c>
      <c r="AN650" t="s">
        <v>224</v>
      </c>
      <c r="AO650" t="s">
        <v>2935</v>
      </c>
      <c r="AP650" t="s">
        <v>74</v>
      </c>
      <c r="AQ650" t="s">
        <v>74</v>
      </c>
      <c r="AR650" t="s">
        <v>2936</v>
      </c>
      <c r="AS650" t="s">
        <v>2937</v>
      </c>
      <c r="AT650" t="s">
        <v>183</v>
      </c>
      <c r="AU650">
        <v>2016</v>
      </c>
      <c r="AV650">
        <v>13</v>
      </c>
      <c r="AW650">
        <v>7</v>
      </c>
      <c r="AX650" t="s">
        <v>74</v>
      </c>
      <c r="AY650" t="s">
        <v>74</v>
      </c>
      <c r="AZ650" t="s">
        <v>74</v>
      </c>
      <c r="BA650" t="s">
        <v>74</v>
      </c>
      <c r="BB650" t="s">
        <v>74</v>
      </c>
      <c r="BC650" t="s">
        <v>74</v>
      </c>
      <c r="BD650">
        <v>688</v>
      </c>
      <c r="BE650" t="s">
        <v>12555</v>
      </c>
      <c r="BF650" t="str">
        <f>HYPERLINK("http://dx.doi.org/10.3390/ijerph13070688","http://dx.doi.org/10.3390/ijerph13070688")</f>
        <v>http://dx.doi.org/10.3390/ijerph13070688</v>
      </c>
      <c r="BG650" t="s">
        <v>74</v>
      </c>
      <c r="BH650" t="s">
        <v>74</v>
      </c>
      <c r="BI650">
        <v>16</v>
      </c>
      <c r="BJ650" t="s">
        <v>1042</v>
      </c>
      <c r="BK650" t="s">
        <v>102</v>
      </c>
      <c r="BL650" t="s">
        <v>1043</v>
      </c>
      <c r="BM650" t="s">
        <v>12556</v>
      </c>
      <c r="BN650">
        <v>27399754</v>
      </c>
      <c r="BO650" t="s">
        <v>161</v>
      </c>
      <c r="BP650" t="s">
        <v>74</v>
      </c>
      <c r="BQ650" t="s">
        <v>74</v>
      </c>
      <c r="BR650" t="s">
        <v>106</v>
      </c>
      <c r="BS650" t="s">
        <v>12557</v>
      </c>
      <c r="BT650" t="str">
        <f>HYPERLINK("https%3A%2F%2Fwww.webofscience.com%2Fwos%2Fwoscc%2Ffull-record%2FWOS:000380759800064","View Full Record in Web of Science")</f>
        <v>View Full Record in Web of Science</v>
      </c>
    </row>
    <row r="651" spans="1:72" x14ac:dyDescent="0.2">
      <c r="A651" t="s">
        <v>72</v>
      </c>
      <c r="B651" t="s">
        <v>12558</v>
      </c>
      <c r="C651" t="s">
        <v>74</v>
      </c>
      <c r="D651" t="s">
        <v>74</v>
      </c>
      <c r="E651" t="s">
        <v>74</v>
      </c>
      <c r="F651" t="s">
        <v>12559</v>
      </c>
      <c r="G651" t="s">
        <v>74</v>
      </c>
      <c r="H651" t="s">
        <v>74</v>
      </c>
      <c r="I651" t="s">
        <v>12560</v>
      </c>
      <c r="J651" t="s">
        <v>12561</v>
      </c>
      <c r="K651" t="s">
        <v>74</v>
      </c>
      <c r="L651" t="s">
        <v>74</v>
      </c>
      <c r="M651" t="s">
        <v>78</v>
      </c>
      <c r="N651" t="s">
        <v>79</v>
      </c>
      <c r="O651" t="s">
        <v>74</v>
      </c>
      <c r="P651" t="s">
        <v>74</v>
      </c>
      <c r="Q651" t="s">
        <v>74</v>
      </c>
      <c r="R651" t="s">
        <v>74</v>
      </c>
      <c r="S651" t="s">
        <v>74</v>
      </c>
      <c r="T651" t="s">
        <v>74</v>
      </c>
      <c r="U651" t="s">
        <v>12562</v>
      </c>
      <c r="V651" t="s">
        <v>12563</v>
      </c>
      <c r="W651" t="s">
        <v>12564</v>
      </c>
      <c r="X651" t="s">
        <v>12565</v>
      </c>
      <c r="Y651" t="s">
        <v>12566</v>
      </c>
      <c r="Z651" t="s">
        <v>12567</v>
      </c>
      <c r="AA651" t="s">
        <v>74</v>
      </c>
      <c r="AB651" t="s">
        <v>12568</v>
      </c>
      <c r="AC651" t="s">
        <v>12569</v>
      </c>
      <c r="AD651" t="s">
        <v>12570</v>
      </c>
      <c r="AE651" t="s">
        <v>12571</v>
      </c>
      <c r="AF651" t="s">
        <v>74</v>
      </c>
      <c r="AG651">
        <v>67</v>
      </c>
      <c r="AH651">
        <v>8</v>
      </c>
      <c r="AI651">
        <v>10</v>
      </c>
      <c r="AJ651">
        <v>3</v>
      </c>
      <c r="AK651">
        <v>17</v>
      </c>
      <c r="AL651" t="s">
        <v>123</v>
      </c>
      <c r="AM651" t="s">
        <v>124</v>
      </c>
      <c r="AN651" t="s">
        <v>125</v>
      </c>
      <c r="AO651" t="s">
        <v>12572</v>
      </c>
      <c r="AP651" t="s">
        <v>12573</v>
      </c>
      <c r="AQ651" t="s">
        <v>74</v>
      </c>
      <c r="AR651" t="s">
        <v>12574</v>
      </c>
      <c r="AS651" t="s">
        <v>12575</v>
      </c>
      <c r="AT651" t="s">
        <v>99</v>
      </c>
      <c r="AU651">
        <v>2024</v>
      </c>
      <c r="AV651">
        <v>49</v>
      </c>
      <c r="AW651" t="s">
        <v>74</v>
      </c>
      <c r="AX651" t="s">
        <v>74</v>
      </c>
      <c r="AY651" t="s">
        <v>74</v>
      </c>
      <c r="AZ651" t="s">
        <v>74</v>
      </c>
      <c r="BA651" t="s">
        <v>74</v>
      </c>
      <c r="BB651" t="s">
        <v>74</v>
      </c>
      <c r="BC651" t="s">
        <v>74</v>
      </c>
      <c r="BD651">
        <v>100941</v>
      </c>
      <c r="BE651" t="s">
        <v>12576</v>
      </c>
      <c r="BF651" t="str">
        <f>HYPERLINK("http://dx.doi.org/10.1016/j.envdev.2023.100941","http://dx.doi.org/10.1016/j.envdev.2023.100941")</f>
        <v>http://dx.doi.org/10.1016/j.envdev.2023.100941</v>
      </c>
      <c r="BG651" t="s">
        <v>74</v>
      </c>
      <c r="BH651" t="s">
        <v>1712</v>
      </c>
      <c r="BI651">
        <v>16</v>
      </c>
      <c r="BJ651" t="s">
        <v>567</v>
      </c>
      <c r="BK651" t="s">
        <v>102</v>
      </c>
      <c r="BL651" t="s">
        <v>568</v>
      </c>
      <c r="BM651" t="s">
        <v>12577</v>
      </c>
      <c r="BN651" t="s">
        <v>74</v>
      </c>
      <c r="BO651" t="s">
        <v>1208</v>
      </c>
      <c r="BP651" t="s">
        <v>74</v>
      </c>
      <c r="BQ651" t="s">
        <v>74</v>
      </c>
      <c r="BR651" t="s">
        <v>106</v>
      </c>
      <c r="BS651" t="s">
        <v>12578</v>
      </c>
      <c r="BT651" t="str">
        <f>HYPERLINK("https%3A%2F%2Fwww.webofscience.com%2Fwos%2Fwoscc%2Ffull-record%2FWOS:001129951000001","View Full Record in Web of Science")</f>
        <v>View Full Record in Web of Science</v>
      </c>
    </row>
    <row r="652" spans="1:72" x14ac:dyDescent="0.2">
      <c r="A652" t="s">
        <v>72</v>
      </c>
      <c r="B652" t="s">
        <v>12579</v>
      </c>
      <c r="C652" t="s">
        <v>74</v>
      </c>
      <c r="D652" t="s">
        <v>74</v>
      </c>
      <c r="E652" t="s">
        <v>74</v>
      </c>
      <c r="F652" t="s">
        <v>12580</v>
      </c>
      <c r="G652" t="s">
        <v>74</v>
      </c>
      <c r="H652" t="s">
        <v>74</v>
      </c>
      <c r="I652" t="s">
        <v>12581</v>
      </c>
      <c r="J652" t="s">
        <v>9055</v>
      </c>
      <c r="K652" t="s">
        <v>74</v>
      </c>
      <c r="L652" t="s">
        <v>74</v>
      </c>
      <c r="M652" t="s">
        <v>78</v>
      </c>
      <c r="N652" t="s">
        <v>79</v>
      </c>
      <c r="O652" t="s">
        <v>74</v>
      </c>
      <c r="P652" t="s">
        <v>74</v>
      </c>
      <c r="Q652" t="s">
        <v>74</v>
      </c>
      <c r="R652" t="s">
        <v>74</v>
      </c>
      <c r="S652" t="s">
        <v>74</v>
      </c>
      <c r="T652" t="s">
        <v>12582</v>
      </c>
      <c r="U652" t="s">
        <v>12583</v>
      </c>
      <c r="V652" t="s">
        <v>12584</v>
      </c>
      <c r="W652" t="s">
        <v>12585</v>
      </c>
      <c r="X652" t="s">
        <v>12586</v>
      </c>
      <c r="Y652" t="s">
        <v>12587</v>
      </c>
      <c r="Z652" t="s">
        <v>12588</v>
      </c>
      <c r="AA652" t="s">
        <v>12589</v>
      </c>
      <c r="AB652" t="s">
        <v>12590</v>
      </c>
      <c r="AC652" t="s">
        <v>12591</v>
      </c>
      <c r="AD652" t="s">
        <v>12591</v>
      </c>
      <c r="AE652" t="s">
        <v>12592</v>
      </c>
      <c r="AF652" t="s">
        <v>74</v>
      </c>
      <c r="AG652">
        <v>15</v>
      </c>
      <c r="AH652">
        <v>20</v>
      </c>
      <c r="AI652">
        <v>21</v>
      </c>
      <c r="AJ652">
        <v>0</v>
      </c>
      <c r="AK652">
        <v>30</v>
      </c>
      <c r="AL652" t="s">
        <v>12593</v>
      </c>
      <c r="AM652" t="s">
        <v>12594</v>
      </c>
      <c r="AN652" t="s">
        <v>12595</v>
      </c>
      <c r="AO652" t="s">
        <v>9066</v>
      </c>
      <c r="AP652" t="s">
        <v>9067</v>
      </c>
      <c r="AQ652" t="s">
        <v>74</v>
      </c>
      <c r="AR652" t="s">
        <v>9068</v>
      </c>
      <c r="AS652" t="s">
        <v>9069</v>
      </c>
      <c r="AT652" t="s">
        <v>12596</v>
      </c>
      <c r="AU652">
        <v>2014</v>
      </c>
      <c r="AV652">
        <v>52</v>
      </c>
      <c r="AW652" t="s">
        <v>12597</v>
      </c>
      <c r="AX652" t="s">
        <v>74</v>
      </c>
      <c r="AY652" t="s">
        <v>74</v>
      </c>
      <c r="AZ652" t="s">
        <v>74</v>
      </c>
      <c r="BA652" t="s">
        <v>74</v>
      </c>
      <c r="BB652">
        <v>861</v>
      </c>
      <c r="BC652">
        <v>866</v>
      </c>
      <c r="BD652" t="s">
        <v>74</v>
      </c>
      <c r="BE652" t="s">
        <v>12598</v>
      </c>
      <c r="BF652" t="str">
        <f>HYPERLINK("http://dx.doi.org/10.1080/19443994.2013.826329","http://dx.doi.org/10.1080/19443994.2013.826329")</f>
        <v>http://dx.doi.org/10.1080/19443994.2013.826329</v>
      </c>
      <c r="BG652" t="s">
        <v>74</v>
      </c>
      <c r="BH652" t="s">
        <v>74</v>
      </c>
      <c r="BI652">
        <v>6</v>
      </c>
      <c r="BJ652" t="s">
        <v>9071</v>
      </c>
      <c r="BK652" t="s">
        <v>102</v>
      </c>
      <c r="BL652" t="s">
        <v>9072</v>
      </c>
      <c r="BM652" t="s">
        <v>12599</v>
      </c>
      <c r="BN652" t="s">
        <v>74</v>
      </c>
      <c r="BO652" t="s">
        <v>74</v>
      </c>
      <c r="BP652" t="s">
        <v>74</v>
      </c>
      <c r="BQ652" t="s">
        <v>74</v>
      </c>
      <c r="BR652" t="s">
        <v>106</v>
      </c>
      <c r="BS652" t="s">
        <v>12600</v>
      </c>
      <c r="BT652" t="str">
        <f>HYPERLINK("https%3A%2F%2Fwww.webofscience.com%2Fwos%2Fwoscc%2Ffull-record%2FWOS:000331032800037","View Full Record in Web of Science")</f>
        <v>View Full Record in Web of Science</v>
      </c>
    </row>
    <row r="653" spans="1:72" x14ac:dyDescent="0.2">
      <c r="A653" t="s">
        <v>72</v>
      </c>
      <c r="B653" t="s">
        <v>12601</v>
      </c>
      <c r="C653" t="s">
        <v>74</v>
      </c>
      <c r="D653" t="s">
        <v>74</v>
      </c>
      <c r="E653" t="s">
        <v>74</v>
      </c>
      <c r="F653" t="s">
        <v>12602</v>
      </c>
      <c r="G653" t="s">
        <v>74</v>
      </c>
      <c r="H653" t="s">
        <v>74</v>
      </c>
      <c r="I653" t="s">
        <v>12603</v>
      </c>
      <c r="J653" t="s">
        <v>1231</v>
      </c>
      <c r="K653" t="s">
        <v>74</v>
      </c>
      <c r="L653" t="s">
        <v>74</v>
      </c>
      <c r="M653" t="s">
        <v>78</v>
      </c>
      <c r="N653" t="s">
        <v>79</v>
      </c>
      <c r="O653" t="s">
        <v>74</v>
      </c>
      <c r="P653" t="s">
        <v>74</v>
      </c>
      <c r="Q653" t="s">
        <v>74</v>
      </c>
      <c r="R653" t="s">
        <v>74</v>
      </c>
      <c r="S653" t="s">
        <v>74</v>
      </c>
      <c r="T653" t="s">
        <v>12604</v>
      </c>
      <c r="U653" t="s">
        <v>12605</v>
      </c>
      <c r="V653" t="s">
        <v>12606</v>
      </c>
      <c r="W653" t="s">
        <v>12607</v>
      </c>
      <c r="X653" t="s">
        <v>12608</v>
      </c>
      <c r="Y653" t="s">
        <v>12609</v>
      </c>
      <c r="Z653" t="s">
        <v>12610</v>
      </c>
      <c r="AA653" t="s">
        <v>12611</v>
      </c>
      <c r="AB653" t="s">
        <v>12612</v>
      </c>
      <c r="AC653" t="s">
        <v>74</v>
      </c>
      <c r="AD653" t="s">
        <v>74</v>
      </c>
      <c r="AE653" t="s">
        <v>74</v>
      </c>
      <c r="AF653" t="s">
        <v>74</v>
      </c>
      <c r="AG653">
        <v>65</v>
      </c>
      <c r="AH653">
        <v>22</v>
      </c>
      <c r="AI653">
        <v>27</v>
      </c>
      <c r="AJ653">
        <v>3</v>
      </c>
      <c r="AK653">
        <v>43</v>
      </c>
      <c r="AL653" t="s">
        <v>1242</v>
      </c>
      <c r="AM653" t="s">
        <v>1243</v>
      </c>
      <c r="AN653" t="s">
        <v>1244</v>
      </c>
      <c r="AO653" t="s">
        <v>1245</v>
      </c>
      <c r="AP653" t="s">
        <v>1246</v>
      </c>
      <c r="AQ653" t="s">
        <v>74</v>
      </c>
      <c r="AR653" t="s">
        <v>1247</v>
      </c>
      <c r="AS653" t="s">
        <v>1248</v>
      </c>
      <c r="AT653" t="s">
        <v>636</v>
      </c>
      <c r="AU653">
        <v>2018</v>
      </c>
      <c r="AV653">
        <v>25</v>
      </c>
      <c r="AW653">
        <v>10</v>
      </c>
      <c r="AX653" t="s">
        <v>74</v>
      </c>
      <c r="AY653" t="s">
        <v>74</v>
      </c>
      <c r="AZ653" t="s">
        <v>1070</v>
      </c>
      <c r="BA653" t="s">
        <v>74</v>
      </c>
      <c r="BB653">
        <v>9501</v>
      </c>
      <c r="BC653">
        <v>9509</v>
      </c>
      <c r="BD653" t="s">
        <v>74</v>
      </c>
      <c r="BE653" t="s">
        <v>12613</v>
      </c>
      <c r="BF653" t="str">
        <f>HYPERLINK("http://dx.doi.org/10.1007/s11356-018-1255-4","http://dx.doi.org/10.1007/s11356-018-1255-4")</f>
        <v>http://dx.doi.org/10.1007/s11356-018-1255-4</v>
      </c>
      <c r="BG653" t="s">
        <v>74</v>
      </c>
      <c r="BH653" t="s">
        <v>74</v>
      </c>
      <c r="BI653">
        <v>9</v>
      </c>
      <c r="BJ653" t="s">
        <v>567</v>
      </c>
      <c r="BK653" t="s">
        <v>102</v>
      </c>
      <c r="BL653" t="s">
        <v>568</v>
      </c>
      <c r="BM653" t="s">
        <v>12614</v>
      </c>
      <c r="BN653">
        <v>29353361</v>
      </c>
      <c r="BO653" t="s">
        <v>74</v>
      </c>
      <c r="BP653" t="s">
        <v>74</v>
      </c>
      <c r="BQ653" t="s">
        <v>74</v>
      </c>
      <c r="BR653" t="s">
        <v>106</v>
      </c>
      <c r="BS653" t="s">
        <v>12615</v>
      </c>
      <c r="BT653" t="str">
        <f>HYPERLINK("https%3A%2F%2Fwww.webofscience.com%2Fwos%2Fwoscc%2Ffull-record%2FWOS:000429561900030","View Full Record in Web of Science")</f>
        <v>View Full Record in Web of Science</v>
      </c>
    </row>
    <row r="654" spans="1:72" x14ac:dyDescent="0.2">
      <c r="A654" t="s">
        <v>72</v>
      </c>
      <c r="B654" t="s">
        <v>12616</v>
      </c>
      <c r="C654" t="s">
        <v>74</v>
      </c>
      <c r="D654" t="s">
        <v>74</v>
      </c>
      <c r="E654" t="s">
        <v>74</v>
      </c>
      <c r="F654" t="s">
        <v>12617</v>
      </c>
      <c r="G654" t="s">
        <v>74</v>
      </c>
      <c r="H654" t="s">
        <v>74</v>
      </c>
      <c r="I654" t="s">
        <v>12618</v>
      </c>
      <c r="J654" t="s">
        <v>3791</v>
      </c>
      <c r="K654" t="s">
        <v>74</v>
      </c>
      <c r="L654" t="s">
        <v>74</v>
      </c>
      <c r="M654" t="s">
        <v>78</v>
      </c>
      <c r="N654" t="s">
        <v>79</v>
      </c>
      <c r="O654" t="s">
        <v>74</v>
      </c>
      <c r="P654" t="s">
        <v>74</v>
      </c>
      <c r="Q654" t="s">
        <v>74</v>
      </c>
      <c r="R654" t="s">
        <v>74</v>
      </c>
      <c r="S654" t="s">
        <v>74</v>
      </c>
      <c r="T654" t="s">
        <v>12619</v>
      </c>
      <c r="U654" t="s">
        <v>12620</v>
      </c>
      <c r="V654" t="s">
        <v>12621</v>
      </c>
      <c r="W654" t="s">
        <v>12622</v>
      </c>
      <c r="X654" t="s">
        <v>1586</v>
      </c>
      <c r="Y654" t="s">
        <v>12623</v>
      </c>
      <c r="Z654" t="s">
        <v>12624</v>
      </c>
      <c r="AA654" t="s">
        <v>74</v>
      </c>
      <c r="AB654" t="s">
        <v>74</v>
      </c>
      <c r="AC654" t="s">
        <v>74</v>
      </c>
      <c r="AD654" t="s">
        <v>74</v>
      </c>
      <c r="AE654" t="s">
        <v>74</v>
      </c>
      <c r="AF654" t="s">
        <v>74</v>
      </c>
      <c r="AG654">
        <v>75</v>
      </c>
      <c r="AH654">
        <v>0</v>
      </c>
      <c r="AI654">
        <v>1</v>
      </c>
      <c r="AJ654">
        <v>27</v>
      </c>
      <c r="AK654">
        <v>29</v>
      </c>
      <c r="AL654" t="s">
        <v>123</v>
      </c>
      <c r="AM654" t="s">
        <v>124</v>
      </c>
      <c r="AN654" t="s">
        <v>125</v>
      </c>
      <c r="AO654" t="s">
        <v>3804</v>
      </c>
      <c r="AP654" t="s">
        <v>74</v>
      </c>
      <c r="AQ654" t="s">
        <v>74</v>
      </c>
      <c r="AR654" t="s">
        <v>3805</v>
      </c>
      <c r="AS654" t="s">
        <v>3806</v>
      </c>
      <c r="AT654" t="s">
        <v>1752</v>
      </c>
      <c r="AU654">
        <v>2025</v>
      </c>
      <c r="AV654">
        <v>39</v>
      </c>
      <c r="AW654" t="s">
        <v>74</v>
      </c>
      <c r="AX654" t="s">
        <v>74</v>
      </c>
      <c r="AY654" t="s">
        <v>74</v>
      </c>
      <c r="AZ654" t="s">
        <v>74</v>
      </c>
      <c r="BA654" t="s">
        <v>74</v>
      </c>
      <c r="BB654" t="s">
        <v>74</v>
      </c>
      <c r="BC654" t="s">
        <v>74</v>
      </c>
      <c r="BD654">
        <v>104250</v>
      </c>
      <c r="BE654" t="s">
        <v>12625</v>
      </c>
      <c r="BF654" t="str">
        <f>HYPERLINK("http://dx.doi.org/10.1016/j.eti.2025.104250","http://dx.doi.org/10.1016/j.eti.2025.104250")</f>
        <v>http://dx.doi.org/10.1016/j.eti.2025.104250</v>
      </c>
      <c r="BG654" t="s">
        <v>74</v>
      </c>
      <c r="BH654" t="s">
        <v>339</v>
      </c>
      <c r="BI654">
        <v>13</v>
      </c>
      <c r="BJ654" t="s">
        <v>3808</v>
      </c>
      <c r="BK654" t="s">
        <v>102</v>
      </c>
      <c r="BL654" t="s">
        <v>3809</v>
      </c>
      <c r="BM654" t="s">
        <v>12626</v>
      </c>
      <c r="BN654" t="s">
        <v>74</v>
      </c>
      <c r="BO654" t="s">
        <v>231</v>
      </c>
      <c r="BP654" t="s">
        <v>74</v>
      </c>
      <c r="BQ654" t="s">
        <v>74</v>
      </c>
      <c r="BR654" t="s">
        <v>106</v>
      </c>
      <c r="BS654" t="s">
        <v>12627</v>
      </c>
      <c r="BT654" t="str">
        <f>HYPERLINK("https%3A%2F%2Fwww.webofscience.com%2Fwos%2Fwoscc%2Ffull-record%2FWOS:001490068600002","View Full Record in Web of Science")</f>
        <v>View Full Record in Web of Science</v>
      </c>
    </row>
    <row r="655" spans="1:72" x14ac:dyDescent="0.2">
      <c r="A655" t="s">
        <v>72</v>
      </c>
      <c r="B655" t="s">
        <v>12628</v>
      </c>
      <c r="C655" t="s">
        <v>74</v>
      </c>
      <c r="D655" t="s">
        <v>74</v>
      </c>
      <c r="E655" t="s">
        <v>74</v>
      </c>
      <c r="F655" t="s">
        <v>12629</v>
      </c>
      <c r="G655" t="s">
        <v>74</v>
      </c>
      <c r="H655" t="s">
        <v>74</v>
      </c>
      <c r="I655" t="s">
        <v>12630</v>
      </c>
      <c r="J655" t="s">
        <v>12631</v>
      </c>
      <c r="K655" t="s">
        <v>74</v>
      </c>
      <c r="L655" t="s">
        <v>74</v>
      </c>
      <c r="M655" t="s">
        <v>78</v>
      </c>
      <c r="N655" t="s">
        <v>79</v>
      </c>
      <c r="O655" t="s">
        <v>74</v>
      </c>
      <c r="P655" t="s">
        <v>74</v>
      </c>
      <c r="Q655" t="s">
        <v>74</v>
      </c>
      <c r="R655" t="s">
        <v>74</v>
      </c>
      <c r="S655" t="s">
        <v>74</v>
      </c>
      <c r="T655" t="s">
        <v>12632</v>
      </c>
      <c r="U655" t="s">
        <v>2327</v>
      </c>
      <c r="V655" t="s">
        <v>12633</v>
      </c>
      <c r="W655" t="s">
        <v>12634</v>
      </c>
      <c r="X655" t="s">
        <v>12635</v>
      </c>
      <c r="Y655" t="s">
        <v>12636</v>
      </c>
      <c r="Z655" t="s">
        <v>12637</v>
      </c>
      <c r="AA655" t="s">
        <v>12638</v>
      </c>
      <c r="AB655" t="s">
        <v>12639</v>
      </c>
      <c r="AC655" t="s">
        <v>12640</v>
      </c>
      <c r="AD655" t="s">
        <v>12640</v>
      </c>
      <c r="AE655" t="s">
        <v>12641</v>
      </c>
      <c r="AF655" t="s">
        <v>74</v>
      </c>
      <c r="AG655">
        <v>41</v>
      </c>
      <c r="AH655">
        <v>1</v>
      </c>
      <c r="AI655">
        <v>2</v>
      </c>
      <c r="AJ655">
        <v>10</v>
      </c>
      <c r="AK655">
        <v>11</v>
      </c>
      <c r="AL655" t="s">
        <v>504</v>
      </c>
      <c r="AM655" t="s">
        <v>505</v>
      </c>
      <c r="AN655" t="s">
        <v>506</v>
      </c>
      <c r="AO655" t="s">
        <v>12642</v>
      </c>
      <c r="AP655" t="s">
        <v>12643</v>
      </c>
      <c r="AQ655" t="s">
        <v>74</v>
      </c>
      <c r="AR655" t="s">
        <v>12644</v>
      </c>
      <c r="AS655" t="s">
        <v>12645</v>
      </c>
      <c r="AT655" t="s">
        <v>2017</v>
      </c>
      <c r="AU655">
        <v>2025</v>
      </c>
      <c r="AV655">
        <v>33</v>
      </c>
      <c r="AW655">
        <v>5</v>
      </c>
      <c r="AX655" t="s">
        <v>74</v>
      </c>
      <c r="AY655" t="s">
        <v>74</v>
      </c>
      <c r="AZ655" t="s">
        <v>74</v>
      </c>
      <c r="BA655" t="s">
        <v>74</v>
      </c>
      <c r="BB655" t="s">
        <v>74</v>
      </c>
      <c r="BC655" t="s">
        <v>74</v>
      </c>
      <c r="BD655">
        <v>359</v>
      </c>
      <c r="BE655" t="s">
        <v>12646</v>
      </c>
      <c r="BF655" t="str">
        <f>HYPERLINK("http://dx.doi.org/10.1007/s10499-025-02040-6","http://dx.doi.org/10.1007/s10499-025-02040-6")</f>
        <v>http://dx.doi.org/10.1007/s10499-025-02040-6</v>
      </c>
      <c r="BG655" t="s">
        <v>74</v>
      </c>
      <c r="BH655" t="s">
        <v>74</v>
      </c>
      <c r="BI655">
        <v>21</v>
      </c>
      <c r="BJ655" t="s">
        <v>12647</v>
      </c>
      <c r="BK655" t="s">
        <v>102</v>
      </c>
      <c r="BL655" t="s">
        <v>12647</v>
      </c>
      <c r="BM655" t="s">
        <v>12648</v>
      </c>
      <c r="BN655" t="s">
        <v>74</v>
      </c>
      <c r="BO655" t="s">
        <v>74</v>
      </c>
      <c r="BP655" t="s">
        <v>74</v>
      </c>
      <c r="BQ655" t="s">
        <v>74</v>
      </c>
      <c r="BR655" t="s">
        <v>106</v>
      </c>
      <c r="BS655" t="s">
        <v>12649</v>
      </c>
      <c r="BT655" t="str">
        <f>HYPERLINK("https%3A%2F%2Fwww.webofscience.com%2Fwos%2Fwoscc%2Ffull-record%2FWOS:001495043000001","View Full Record in Web of Science")</f>
        <v>View Full Record in Web of Science</v>
      </c>
    </row>
    <row r="656" spans="1:72" x14ac:dyDescent="0.2">
      <c r="A656" t="s">
        <v>72</v>
      </c>
      <c r="B656" t="s">
        <v>12650</v>
      </c>
      <c r="C656" t="s">
        <v>74</v>
      </c>
      <c r="D656" t="s">
        <v>74</v>
      </c>
      <c r="E656" t="s">
        <v>74</v>
      </c>
      <c r="F656" t="s">
        <v>12651</v>
      </c>
      <c r="G656" t="s">
        <v>74</v>
      </c>
      <c r="H656" t="s">
        <v>74</v>
      </c>
      <c r="I656" t="s">
        <v>12652</v>
      </c>
      <c r="J656" t="s">
        <v>4059</v>
      </c>
      <c r="K656" t="s">
        <v>74</v>
      </c>
      <c r="L656" t="s">
        <v>74</v>
      </c>
      <c r="M656" t="s">
        <v>78</v>
      </c>
      <c r="N656" t="s">
        <v>79</v>
      </c>
      <c r="O656" t="s">
        <v>74</v>
      </c>
      <c r="P656" t="s">
        <v>74</v>
      </c>
      <c r="Q656" t="s">
        <v>74</v>
      </c>
      <c r="R656" t="s">
        <v>74</v>
      </c>
      <c r="S656" t="s">
        <v>74</v>
      </c>
      <c r="T656" t="s">
        <v>12653</v>
      </c>
      <c r="U656" t="s">
        <v>12654</v>
      </c>
      <c r="V656" t="s">
        <v>12655</v>
      </c>
      <c r="W656" t="s">
        <v>12656</v>
      </c>
      <c r="X656" t="s">
        <v>12657</v>
      </c>
      <c r="Y656" t="s">
        <v>12658</v>
      </c>
      <c r="Z656" t="s">
        <v>12659</v>
      </c>
      <c r="AA656" t="s">
        <v>12660</v>
      </c>
      <c r="AB656" t="s">
        <v>12661</v>
      </c>
      <c r="AC656" t="s">
        <v>74</v>
      </c>
      <c r="AD656" t="s">
        <v>74</v>
      </c>
      <c r="AE656" t="s">
        <v>74</v>
      </c>
      <c r="AF656" t="s">
        <v>74</v>
      </c>
      <c r="AG656">
        <v>104</v>
      </c>
      <c r="AH656">
        <v>7</v>
      </c>
      <c r="AI656">
        <v>8</v>
      </c>
      <c r="AJ656">
        <v>11</v>
      </c>
      <c r="AK656">
        <v>45</v>
      </c>
      <c r="AL656" t="s">
        <v>123</v>
      </c>
      <c r="AM656" t="s">
        <v>124</v>
      </c>
      <c r="AN656" t="s">
        <v>125</v>
      </c>
      <c r="AO656" t="s">
        <v>4069</v>
      </c>
      <c r="AP656" t="s">
        <v>74</v>
      </c>
      <c r="AQ656" t="s">
        <v>74</v>
      </c>
      <c r="AR656" t="s">
        <v>4070</v>
      </c>
      <c r="AS656" t="s">
        <v>4071</v>
      </c>
      <c r="AT656" t="s">
        <v>99</v>
      </c>
      <c r="AU656">
        <v>2024</v>
      </c>
      <c r="AV656">
        <v>45</v>
      </c>
      <c r="AW656" t="s">
        <v>74</v>
      </c>
      <c r="AX656" t="s">
        <v>74</v>
      </c>
      <c r="AY656" t="s">
        <v>74</v>
      </c>
      <c r="AZ656" t="s">
        <v>74</v>
      </c>
      <c r="BA656" t="s">
        <v>74</v>
      </c>
      <c r="BB656">
        <v>476</v>
      </c>
      <c r="BC656">
        <v>487</v>
      </c>
      <c r="BD656" t="s">
        <v>74</v>
      </c>
      <c r="BE656" t="s">
        <v>12662</v>
      </c>
      <c r="BF656" t="str">
        <f>HYPERLINK("http://dx.doi.org/10.1016/j.spc.2024.01.019","http://dx.doi.org/10.1016/j.spc.2024.01.019")</f>
        <v>http://dx.doi.org/10.1016/j.spc.2024.01.019</v>
      </c>
      <c r="BG656" t="s">
        <v>74</v>
      </c>
      <c r="BH656" t="s">
        <v>2430</v>
      </c>
      <c r="BI656">
        <v>12</v>
      </c>
      <c r="BJ656" t="s">
        <v>4073</v>
      </c>
      <c r="BK656" t="s">
        <v>186</v>
      </c>
      <c r="BL656" t="s">
        <v>485</v>
      </c>
      <c r="BM656" t="s">
        <v>12663</v>
      </c>
      <c r="BN656" t="s">
        <v>74</v>
      </c>
      <c r="BO656" t="s">
        <v>541</v>
      </c>
      <c r="BP656" t="s">
        <v>74</v>
      </c>
      <c r="BQ656" t="s">
        <v>74</v>
      </c>
      <c r="BR656" t="s">
        <v>106</v>
      </c>
      <c r="BS656" t="s">
        <v>12664</v>
      </c>
      <c r="BT656" t="str">
        <f>HYPERLINK("https%3A%2F%2Fwww.webofscience.com%2Fwos%2Fwoscc%2Ffull-record%2FWOS:001179380000001","View Full Record in Web of Science")</f>
        <v>View Full Record in Web of Science</v>
      </c>
    </row>
    <row r="657" spans="1:72" x14ac:dyDescent="0.2">
      <c r="A657" t="s">
        <v>72</v>
      </c>
      <c r="B657" t="s">
        <v>12665</v>
      </c>
      <c r="C657" t="s">
        <v>74</v>
      </c>
      <c r="D657" t="s">
        <v>74</v>
      </c>
      <c r="E657" t="s">
        <v>74</v>
      </c>
      <c r="F657" t="s">
        <v>12666</v>
      </c>
      <c r="G657" t="s">
        <v>74</v>
      </c>
      <c r="H657" t="s">
        <v>74</v>
      </c>
      <c r="I657" t="s">
        <v>12667</v>
      </c>
      <c r="J657" t="s">
        <v>1891</v>
      </c>
      <c r="K657" t="s">
        <v>74</v>
      </c>
      <c r="L657" t="s">
        <v>74</v>
      </c>
      <c r="M657" t="s">
        <v>78</v>
      </c>
      <c r="N657" t="s">
        <v>79</v>
      </c>
      <c r="O657" t="s">
        <v>74</v>
      </c>
      <c r="P657" t="s">
        <v>74</v>
      </c>
      <c r="Q657" t="s">
        <v>74</v>
      </c>
      <c r="R657" t="s">
        <v>74</v>
      </c>
      <c r="S657" t="s">
        <v>74</v>
      </c>
      <c r="T657" t="s">
        <v>12668</v>
      </c>
      <c r="U657" t="s">
        <v>12669</v>
      </c>
      <c r="V657" t="s">
        <v>12670</v>
      </c>
      <c r="W657" t="s">
        <v>12671</v>
      </c>
      <c r="X657" t="s">
        <v>12672</v>
      </c>
      <c r="Y657" t="s">
        <v>12673</v>
      </c>
      <c r="Z657" t="s">
        <v>12674</v>
      </c>
      <c r="AA657" t="s">
        <v>12675</v>
      </c>
      <c r="AB657" t="s">
        <v>12676</v>
      </c>
      <c r="AC657" t="s">
        <v>12677</v>
      </c>
      <c r="AD657" t="s">
        <v>12678</v>
      </c>
      <c r="AE657" t="s">
        <v>12679</v>
      </c>
      <c r="AF657" t="s">
        <v>74</v>
      </c>
      <c r="AG657">
        <v>31</v>
      </c>
      <c r="AH657">
        <v>5</v>
      </c>
      <c r="AI657">
        <v>8</v>
      </c>
      <c r="AJ657">
        <v>5</v>
      </c>
      <c r="AK657">
        <v>37</v>
      </c>
      <c r="AL657" t="s">
        <v>222</v>
      </c>
      <c r="AM657" t="s">
        <v>223</v>
      </c>
      <c r="AN657" t="s">
        <v>478</v>
      </c>
      <c r="AO657" t="s">
        <v>74</v>
      </c>
      <c r="AP657" t="s">
        <v>1904</v>
      </c>
      <c r="AQ657" t="s">
        <v>74</v>
      </c>
      <c r="AR657" t="s">
        <v>1891</v>
      </c>
      <c r="AS657" t="s">
        <v>1905</v>
      </c>
      <c r="AT657" t="s">
        <v>1963</v>
      </c>
      <c r="AU657">
        <v>2021</v>
      </c>
      <c r="AV657">
        <v>12</v>
      </c>
      <c r="AW657">
        <v>9</v>
      </c>
      <c r="AX657" t="s">
        <v>74</v>
      </c>
      <c r="AY657" t="s">
        <v>74</v>
      </c>
      <c r="AZ657" t="s">
        <v>74</v>
      </c>
      <c r="BA657" t="s">
        <v>74</v>
      </c>
      <c r="BB657" t="s">
        <v>74</v>
      </c>
      <c r="BC657" t="s">
        <v>74</v>
      </c>
      <c r="BD657">
        <v>1240</v>
      </c>
      <c r="BE657" t="s">
        <v>12680</v>
      </c>
      <c r="BF657" t="str">
        <f>HYPERLINK("http://dx.doi.org/10.3390/f12091240","http://dx.doi.org/10.3390/f12091240")</f>
        <v>http://dx.doi.org/10.3390/f12091240</v>
      </c>
      <c r="BG657" t="s">
        <v>74</v>
      </c>
      <c r="BH657" t="s">
        <v>74</v>
      </c>
      <c r="BI657">
        <v>15</v>
      </c>
      <c r="BJ657" t="s">
        <v>132</v>
      </c>
      <c r="BK657" t="s">
        <v>102</v>
      </c>
      <c r="BL657" t="s">
        <v>132</v>
      </c>
      <c r="BM657" t="s">
        <v>12681</v>
      </c>
      <c r="BN657" t="s">
        <v>74</v>
      </c>
      <c r="BO657" t="s">
        <v>161</v>
      </c>
      <c r="BP657" t="s">
        <v>74</v>
      </c>
      <c r="BQ657" t="s">
        <v>74</v>
      </c>
      <c r="BR657" t="s">
        <v>106</v>
      </c>
      <c r="BS657" t="s">
        <v>12682</v>
      </c>
      <c r="BT657" t="str">
        <f>HYPERLINK("https%3A%2F%2Fwww.webofscience.com%2Fwos%2Fwoscc%2Ffull-record%2FWOS:000699606200001","View Full Record in Web of Science")</f>
        <v>View Full Record in Web of Science</v>
      </c>
    </row>
    <row r="658" spans="1:72" x14ac:dyDescent="0.2">
      <c r="A658" t="s">
        <v>72</v>
      </c>
      <c r="B658" t="s">
        <v>12683</v>
      </c>
      <c r="C658" t="s">
        <v>74</v>
      </c>
      <c r="D658" t="s">
        <v>74</v>
      </c>
      <c r="E658" t="s">
        <v>74</v>
      </c>
      <c r="F658" t="s">
        <v>12684</v>
      </c>
      <c r="G658" t="s">
        <v>74</v>
      </c>
      <c r="H658" t="s">
        <v>74</v>
      </c>
      <c r="I658" t="s">
        <v>12685</v>
      </c>
      <c r="J658" t="s">
        <v>520</v>
      </c>
      <c r="K658" t="s">
        <v>74</v>
      </c>
      <c r="L658" t="s">
        <v>74</v>
      </c>
      <c r="M658" t="s">
        <v>78</v>
      </c>
      <c r="N658" t="s">
        <v>79</v>
      </c>
      <c r="O658" t="s">
        <v>74</v>
      </c>
      <c r="P658" t="s">
        <v>74</v>
      </c>
      <c r="Q658" t="s">
        <v>74</v>
      </c>
      <c r="R658" t="s">
        <v>74</v>
      </c>
      <c r="S658" t="s">
        <v>74</v>
      </c>
      <c r="T658" t="s">
        <v>12686</v>
      </c>
      <c r="U658" t="s">
        <v>12687</v>
      </c>
      <c r="V658" t="s">
        <v>12688</v>
      </c>
      <c r="W658" t="s">
        <v>12689</v>
      </c>
      <c r="X658" t="s">
        <v>12690</v>
      </c>
      <c r="Y658" t="s">
        <v>12691</v>
      </c>
      <c r="Z658" t="s">
        <v>12692</v>
      </c>
      <c r="AA658" t="s">
        <v>74</v>
      </c>
      <c r="AB658" t="s">
        <v>12693</v>
      </c>
      <c r="AC658" t="s">
        <v>74</v>
      </c>
      <c r="AD658" t="s">
        <v>74</v>
      </c>
      <c r="AE658" t="s">
        <v>74</v>
      </c>
      <c r="AF658" t="s">
        <v>74</v>
      </c>
      <c r="AG658">
        <v>58</v>
      </c>
      <c r="AH658">
        <v>7</v>
      </c>
      <c r="AI658">
        <v>7</v>
      </c>
      <c r="AJ658">
        <v>10</v>
      </c>
      <c r="AK658">
        <v>17</v>
      </c>
      <c r="AL658" t="s">
        <v>530</v>
      </c>
      <c r="AM658" t="s">
        <v>531</v>
      </c>
      <c r="AN658" t="s">
        <v>532</v>
      </c>
      <c r="AO658" t="s">
        <v>533</v>
      </c>
      <c r="AP658" t="s">
        <v>534</v>
      </c>
      <c r="AQ658" t="s">
        <v>74</v>
      </c>
      <c r="AR658" t="s">
        <v>535</v>
      </c>
      <c r="AS658" t="s">
        <v>536</v>
      </c>
      <c r="AT658" t="s">
        <v>7596</v>
      </c>
      <c r="AU658">
        <v>2025</v>
      </c>
      <c r="AV658">
        <v>122</v>
      </c>
      <c r="AW658">
        <v>6</v>
      </c>
      <c r="AX658" t="s">
        <v>74</v>
      </c>
      <c r="AY658" t="s">
        <v>74</v>
      </c>
      <c r="AZ658" t="s">
        <v>74</v>
      </c>
      <c r="BA658" t="s">
        <v>74</v>
      </c>
      <c r="BB658" t="s">
        <v>74</v>
      </c>
      <c r="BC658" t="s">
        <v>74</v>
      </c>
      <c r="BD658">
        <v>2404839122</v>
      </c>
      <c r="BE658" t="s">
        <v>12694</v>
      </c>
      <c r="BF658" t="str">
        <f>HYPERLINK("http://dx.doi.org/10.1073/pnas.2404839122","http://dx.doi.org/10.1073/pnas.2404839122")</f>
        <v>http://dx.doi.org/10.1073/pnas.2404839122</v>
      </c>
      <c r="BG658" t="s">
        <v>74</v>
      </c>
      <c r="BH658" t="s">
        <v>74</v>
      </c>
      <c r="BI658">
        <v>9</v>
      </c>
      <c r="BJ658" t="s">
        <v>158</v>
      </c>
      <c r="BK658" t="s">
        <v>102</v>
      </c>
      <c r="BL658" t="s">
        <v>159</v>
      </c>
      <c r="BM658" t="s">
        <v>12695</v>
      </c>
      <c r="BN658">
        <v>39899713</v>
      </c>
      <c r="BO658" t="s">
        <v>1208</v>
      </c>
      <c r="BP658" t="s">
        <v>74</v>
      </c>
      <c r="BQ658" t="s">
        <v>74</v>
      </c>
      <c r="BR658" t="s">
        <v>106</v>
      </c>
      <c r="BS658" t="s">
        <v>12696</v>
      </c>
      <c r="BT658" t="str">
        <f>HYPERLINK("https%3A%2F%2Fwww.webofscience.com%2Fwos%2Fwoscc%2Ffull-record%2FWOS:001438766700024","View Full Record in Web of Science")</f>
        <v>View Full Record in Web of Science</v>
      </c>
    </row>
    <row r="659" spans="1:72" x14ac:dyDescent="0.2">
      <c r="A659" t="s">
        <v>72</v>
      </c>
      <c r="B659" t="s">
        <v>12697</v>
      </c>
      <c r="C659" t="s">
        <v>74</v>
      </c>
      <c r="D659" t="s">
        <v>74</v>
      </c>
      <c r="E659" t="s">
        <v>74</v>
      </c>
      <c r="F659" t="s">
        <v>12698</v>
      </c>
      <c r="G659" t="s">
        <v>74</v>
      </c>
      <c r="H659" t="s">
        <v>74</v>
      </c>
      <c r="I659" t="s">
        <v>12699</v>
      </c>
      <c r="J659" t="s">
        <v>1526</v>
      </c>
      <c r="K659" t="s">
        <v>74</v>
      </c>
      <c r="L659" t="s">
        <v>74</v>
      </c>
      <c r="M659" t="s">
        <v>78</v>
      </c>
      <c r="N659" t="s">
        <v>79</v>
      </c>
      <c r="O659" t="s">
        <v>74</v>
      </c>
      <c r="P659" t="s">
        <v>74</v>
      </c>
      <c r="Q659" t="s">
        <v>74</v>
      </c>
      <c r="R659" t="s">
        <v>74</v>
      </c>
      <c r="S659" t="s">
        <v>74</v>
      </c>
      <c r="T659" t="s">
        <v>12700</v>
      </c>
      <c r="U659" t="s">
        <v>12701</v>
      </c>
      <c r="V659" t="s">
        <v>12702</v>
      </c>
      <c r="W659" t="s">
        <v>12703</v>
      </c>
      <c r="X659" t="s">
        <v>12704</v>
      </c>
      <c r="Y659" t="s">
        <v>12705</v>
      </c>
      <c r="Z659" t="s">
        <v>12706</v>
      </c>
      <c r="AA659" t="s">
        <v>12707</v>
      </c>
      <c r="AB659" t="s">
        <v>12708</v>
      </c>
      <c r="AC659" t="s">
        <v>12709</v>
      </c>
      <c r="AD659" t="s">
        <v>12710</v>
      </c>
      <c r="AE659" t="s">
        <v>12711</v>
      </c>
      <c r="AF659" t="s">
        <v>74</v>
      </c>
      <c r="AG659">
        <v>98</v>
      </c>
      <c r="AH659">
        <v>46</v>
      </c>
      <c r="AI659">
        <v>56</v>
      </c>
      <c r="AJ659">
        <v>4</v>
      </c>
      <c r="AK659">
        <v>108</v>
      </c>
      <c r="AL659" t="s">
        <v>176</v>
      </c>
      <c r="AM659" t="s">
        <v>177</v>
      </c>
      <c r="AN659" t="s">
        <v>178</v>
      </c>
      <c r="AO659" t="s">
        <v>1538</v>
      </c>
      <c r="AP659" t="s">
        <v>1539</v>
      </c>
      <c r="AQ659" t="s">
        <v>74</v>
      </c>
      <c r="AR659" t="s">
        <v>1540</v>
      </c>
      <c r="AS659" t="s">
        <v>1541</v>
      </c>
      <c r="AT659" t="s">
        <v>7392</v>
      </c>
      <c r="AU659">
        <v>2019</v>
      </c>
      <c r="AV659">
        <v>224</v>
      </c>
      <c r="AW659" t="s">
        <v>74</v>
      </c>
      <c r="AX659" t="s">
        <v>74</v>
      </c>
      <c r="AY659" t="s">
        <v>74</v>
      </c>
      <c r="AZ659" t="s">
        <v>74</v>
      </c>
      <c r="BA659" t="s">
        <v>74</v>
      </c>
      <c r="BB659">
        <v>72</v>
      </c>
      <c r="BC659">
        <v>87</v>
      </c>
      <c r="BD659" t="s">
        <v>74</v>
      </c>
      <c r="BE659" t="s">
        <v>12712</v>
      </c>
      <c r="BF659" t="str">
        <f>HYPERLINK("http://dx.doi.org/10.1016/j.jclepro.2019.03.215","http://dx.doi.org/10.1016/j.jclepro.2019.03.215")</f>
        <v>http://dx.doi.org/10.1016/j.jclepro.2019.03.215</v>
      </c>
      <c r="BG659" t="s">
        <v>74</v>
      </c>
      <c r="BH659" t="s">
        <v>74</v>
      </c>
      <c r="BI659">
        <v>16</v>
      </c>
      <c r="BJ659" t="s">
        <v>1543</v>
      </c>
      <c r="BK659" t="s">
        <v>102</v>
      </c>
      <c r="BL659" t="s">
        <v>1544</v>
      </c>
      <c r="BM659" t="s">
        <v>12713</v>
      </c>
      <c r="BN659" t="s">
        <v>74</v>
      </c>
      <c r="BO659" t="s">
        <v>74</v>
      </c>
      <c r="BP659" t="s">
        <v>74</v>
      </c>
      <c r="BQ659" t="s">
        <v>74</v>
      </c>
      <c r="BR659" t="s">
        <v>106</v>
      </c>
      <c r="BS659" t="s">
        <v>12714</v>
      </c>
      <c r="BT659" t="str">
        <f>HYPERLINK("https%3A%2F%2Fwww.webofscience.com%2Fwos%2Fwoscc%2Ffull-record%2FWOS:000469151900007","View Full Record in Web of Science")</f>
        <v>View Full Record in Web of Science</v>
      </c>
    </row>
    <row r="660" spans="1:72" x14ac:dyDescent="0.2">
      <c r="A660" t="s">
        <v>72</v>
      </c>
      <c r="B660" t="s">
        <v>12715</v>
      </c>
      <c r="C660" t="s">
        <v>74</v>
      </c>
      <c r="D660" t="s">
        <v>74</v>
      </c>
      <c r="E660" t="s">
        <v>74</v>
      </c>
      <c r="F660" t="s">
        <v>12716</v>
      </c>
      <c r="G660" t="s">
        <v>74</v>
      </c>
      <c r="H660" t="s">
        <v>74</v>
      </c>
      <c r="I660" t="s">
        <v>12717</v>
      </c>
      <c r="J660" t="s">
        <v>1451</v>
      </c>
      <c r="K660" t="s">
        <v>74</v>
      </c>
      <c r="L660" t="s">
        <v>74</v>
      </c>
      <c r="M660" t="s">
        <v>78</v>
      </c>
      <c r="N660" t="s">
        <v>79</v>
      </c>
      <c r="O660" t="s">
        <v>74</v>
      </c>
      <c r="P660" t="s">
        <v>74</v>
      </c>
      <c r="Q660" t="s">
        <v>74</v>
      </c>
      <c r="R660" t="s">
        <v>74</v>
      </c>
      <c r="S660" t="s">
        <v>74</v>
      </c>
      <c r="T660" t="s">
        <v>12718</v>
      </c>
      <c r="U660" t="s">
        <v>12719</v>
      </c>
      <c r="V660" t="s">
        <v>12720</v>
      </c>
      <c r="W660" t="s">
        <v>12721</v>
      </c>
      <c r="X660" t="s">
        <v>12722</v>
      </c>
      <c r="Y660" t="s">
        <v>12723</v>
      </c>
      <c r="Z660" t="s">
        <v>12724</v>
      </c>
      <c r="AA660" t="s">
        <v>12725</v>
      </c>
      <c r="AB660" t="s">
        <v>12726</v>
      </c>
      <c r="AC660" t="s">
        <v>12727</v>
      </c>
      <c r="AD660" t="s">
        <v>12728</v>
      </c>
      <c r="AE660" t="s">
        <v>12729</v>
      </c>
      <c r="AF660" t="s">
        <v>74</v>
      </c>
      <c r="AG660">
        <v>65</v>
      </c>
      <c r="AH660">
        <v>9</v>
      </c>
      <c r="AI660">
        <v>9</v>
      </c>
      <c r="AJ660">
        <v>8</v>
      </c>
      <c r="AK660">
        <v>34</v>
      </c>
      <c r="AL660" t="s">
        <v>123</v>
      </c>
      <c r="AM660" t="s">
        <v>124</v>
      </c>
      <c r="AN660" t="s">
        <v>125</v>
      </c>
      <c r="AO660" t="s">
        <v>1464</v>
      </c>
      <c r="AP660" t="s">
        <v>1465</v>
      </c>
      <c r="AQ660" t="s">
        <v>74</v>
      </c>
      <c r="AR660" t="s">
        <v>1466</v>
      </c>
      <c r="AS660" t="s">
        <v>1467</v>
      </c>
      <c r="AT660" t="s">
        <v>12730</v>
      </c>
      <c r="AU660">
        <v>2025</v>
      </c>
      <c r="AV660">
        <v>379</v>
      </c>
      <c r="AW660" t="s">
        <v>74</v>
      </c>
      <c r="AX660" t="s">
        <v>74</v>
      </c>
      <c r="AY660" t="s">
        <v>74</v>
      </c>
      <c r="AZ660" t="s">
        <v>74</v>
      </c>
      <c r="BA660" t="s">
        <v>74</v>
      </c>
      <c r="BB660" t="s">
        <v>74</v>
      </c>
      <c r="BC660" t="s">
        <v>74</v>
      </c>
      <c r="BD660">
        <v>109364</v>
      </c>
      <c r="BE660" t="s">
        <v>12731</v>
      </c>
      <c r="BF660" t="str">
        <f>HYPERLINK("http://dx.doi.org/10.1016/j.agee.2024.109364","http://dx.doi.org/10.1016/j.agee.2024.109364")</f>
        <v>http://dx.doi.org/10.1016/j.agee.2024.109364</v>
      </c>
      <c r="BG660" t="s">
        <v>74</v>
      </c>
      <c r="BH660" t="s">
        <v>1594</v>
      </c>
      <c r="BI660">
        <v>11</v>
      </c>
      <c r="BJ660" t="s">
        <v>1470</v>
      </c>
      <c r="BK660" t="s">
        <v>102</v>
      </c>
      <c r="BL660" t="s">
        <v>1471</v>
      </c>
      <c r="BM660" t="s">
        <v>12732</v>
      </c>
      <c r="BN660" t="s">
        <v>74</v>
      </c>
      <c r="BO660" t="s">
        <v>74</v>
      </c>
      <c r="BP660" t="s">
        <v>74</v>
      </c>
      <c r="BQ660" t="s">
        <v>74</v>
      </c>
      <c r="BR660" t="s">
        <v>106</v>
      </c>
      <c r="BS660" t="s">
        <v>12733</v>
      </c>
      <c r="BT660" t="str">
        <f>HYPERLINK("https%3A%2F%2Fwww.webofscience.com%2Fwos%2Fwoscc%2Ffull-record%2FWOS:001355870300001","View Full Record in Web of Science")</f>
        <v>View Full Record in Web of Science</v>
      </c>
    </row>
    <row r="661" spans="1:72" x14ac:dyDescent="0.2">
      <c r="A661" t="s">
        <v>72</v>
      </c>
      <c r="B661" t="s">
        <v>12734</v>
      </c>
      <c r="C661" t="s">
        <v>74</v>
      </c>
      <c r="D661" t="s">
        <v>74</v>
      </c>
      <c r="E661" t="s">
        <v>74</v>
      </c>
      <c r="F661" t="s">
        <v>12735</v>
      </c>
      <c r="G661" t="s">
        <v>74</v>
      </c>
      <c r="H661" t="s">
        <v>74</v>
      </c>
      <c r="I661" t="s">
        <v>12736</v>
      </c>
      <c r="J661" t="s">
        <v>1231</v>
      </c>
      <c r="K661" t="s">
        <v>74</v>
      </c>
      <c r="L661" t="s">
        <v>74</v>
      </c>
      <c r="M661" t="s">
        <v>78</v>
      </c>
      <c r="N661" t="s">
        <v>79</v>
      </c>
      <c r="O661" t="s">
        <v>74</v>
      </c>
      <c r="P661" t="s">
        <v>74</v>
      </c>
      <c r="Q661" t="s">
        <v>74</v>
      </c>
      <c r="R661" t="s">
        <v>74</v>
      </c>
      <c r="S661" t="s">
        <v>74</v>
      </c>
      <c r="T661" t="s">
        <v>12737</v>
      </c>
      <c r="U661" t="s">
        <v>12738</v>
      </c>
      <c r="V661" t="s">
        <v>12739</v>
      </c>
      <c r="W661" t="s">
        <v>12740</v>
      </c>
      <c r="X661" t="s">
        <v>12741</v>
      </c>
      <c r="Y661" t="s">
        <v>12742</v>
      </c>
      <c r="Z661" t="s">
        <v>12743</v>
      </c>
      <c r="AA661" t="s">
        <v>74</v>
      </c>
      <c r="AB661" t="s">
        <v>74</v>
      </c>
      <c r="AC661" t="s">
        <v>74</v>
      </c>
      <c r="AD661" t="s">
        <v>74</v>
      </c>
      <c r="AE661" t="s">
        <v>74</v>
      </c>
      <c r="AF661" t="s">
        <v>74</v>
      </c>
      <c r="AG661">
        <v>104</v>
      </c>
      <c r="AH661">
        <v>2</v>
      </c>
      <c r="AI661">
        <v>2</v>
      </c>
      <c r="AJ661">
        <v>1</v>
      </c>
      <c r="AK661">
        <v>16</v>
      </c>
      <c r="AL661" t="s">
        <v>1242</v>
      </c>
      <c r="AM661" t="s">
        <v>1243</v>
      </c>
      <c r="AN661" t="s">
        <v>1244</v>
      </c>
      <c r="AO661" t="s">
        <v>1245</v>
      </c>
      <c r="AP661" t="s">
        <v>1246</v>
      </c>
      <c r="AQ661" t="s">
        <v>74</v>
      </c>
      <c r="AR661" t="s">
        <v>1247</v>
      </c>
      <c r="AS661" t="s">
        <v>1248</v>
      </c>
      <c r="AT661" t="s">
        <v>281</v>
      </c>
      <c r="AU661">
        <v>2021</v>
      </c>
      <c r="AV661">
        <v>28</v>
      </c>
      <c r="AW661">
        <v>21</v>
      </c>
      <c r="AX661" t="s">
        <v>74</v>
      </c>
      <c r="AY661" t="s">
        <v>74</v>
      </c>
      <c r="AZ661" t="s">
        <v>74</v>
      </c>
      <c r="BA661" t="s">
        <v>74</v>
      </c>
      <c r="BB661">
        <v>27132</v>
      </c>
      <c r="BC661">
        <v>27146</v>
      </c>
      <c r="BD661" t="s">
        <v>74</v>
      </c>
      <c r="BE661" t="s">
        <v>12744</v>
      </c>
      <c r="BF661" t="str">
        <f>HYPERLINK("http://dx.doi.org/10.1007/s11356-021-12593-7","http://dx.doi.org/10.1007/s11356-021-12593-7")</f>
        <v>http://dx.doi.org/10.1007/s11356-021-12593-7</v>
      </c>
      <c r="BG661" t="s">
        <v>74</v>
      </c>
      <c r="BH661" t="s">
        <v>9918</v>
      </c>
      <c r="BI661">
        <v>15</v>
      </c>
      <c r="BJ661" t="s">
        <v>567</v>
      </c>
      <c r="BK661" t="s">
        <v>102</v>
      </c>
      <c r="BL661" t="s">
        <v>568</v>
      </c>
      <c r="BM661" t="s">
        <v>12745</v>
      </c>
      <c r="BN661">
        <v>33502709</v>
      </c>
      <c r="BO661" t="s">
        <v>74</v>
      </c>
      <c r="BP661" t="s">
        <v>74</v>
      </c>
      <c r="BQ661" t="s">
        <v>74</v>
      </c>
      <c r="BR661" t="s">
        <v>106</v>
      </c>
      <c r="BS661" t="s">
        <v>12746</v>
      </c>
      <c r="BT661" t="str">
        <f>HYPERLINK("https%3A%2F%2Fwww.webofscience.com%2Fwos%2Fwoscc%2Ffull-record%2FWOS:000612289200001","View Full Record in Web of Science")</f>
        <v>View Full Record in Web of Science</v>
      </c>
    </row>
    <row r="662" spans="1:72" x14ac:dyDescent="0.2">
      <c r="A662" t="s">
        <v>72</v>
      </c>
      <c r="B662" t="s">
        <v>12747</v>
      </c>
      <c r="C662" t="s">
        <v>74</v>
      </c>
      <c r="D662" t="s">
        <v>74</v>
      </c>
      <c r="E662" t="s">
        <v>74</v>
      </c>
      <c r="F662" t="s">
        <v>12748</v>
      </c>
      <c r="G662" t="s">
        <v>74</v>
      </c>
      <c r="H662" t="s">
        <v>74</v>
      </c>
      <c r="I662" t="s">
        <v>12749</v>
      </c>
      <c r="J662" t="s">
        <v>12392</v>
      </c>
      <c r="K662" t="s">
        <v>74</v>
      </c>
      <c r="L662" t="s">
        <v>74</v>
      </c>
      <c r="M662" t="s">
        <v>78</v>
      </c>
      <c r="N662" t="s">
        <v>79</v>
      </c>
      <c r="O662" t="s">
        <v>74</v>
      </c>
      <c r="P662" t="s">
        <v>74</v>
      </c>
      <c r="Q662" t="s">
        <v>74</v>
      </c>
      <c r="R662" t="s">
        <v>74</v>
      </c>
      <c r="S662" t="s">
        <v>74</v>
      </c>
      <c r="T662" t="s">
        <v>12750</v>
      </c>
      <c r="U662" t="s">
        <v>12751</v>
      </c>
      <c r="V662" t="s">
        <v>12752</v>
      </c>
      <c r="W662" t="s">
        <v>12753</v>
      </c>
      <c r="X662" t="s">
        <v>12754</v>
      </c>
      <c r="Y662" t="s">
        <v>12755</v>
      </c>
      <c r="Z662" t="s">
        <v>12756</v>
      </c>
      <c r="AA662" t="s">
        <v>12757</v>
      </c>
      <c r="AB662" t="s">
        <v>12758</v>
      </c>
      <c r="AC662" t="s">
        <v>74</v>
      </c>
      <c r="AD662" t="s">
        <v>74</v>
      </c>
      <c r="AE662" t="s">
        <v>74</v>
      </c>
      <c r="AF662" t="s">
        <v>74</v>
      </c>
      <c r="AG662">
        <v>49</v>
      </c>
      <c r="AH662">
        <v>3</v>
      </c>
      <c r="AI662">
        <v>3</v>
      </c>
      <c r="AJ662">
        <v>5</v>
      </c>
      <c r="AK662">
        <v>39</v>
      </c>
      <c r="AL662" t="s">
        <v>222</v>
      </c>
      <c r="AM662" t="s">
        <v>223</v>
      </c>
      <c r="AN662" t="s">
        <v>224</v>
      </c>
      <c r="AO662" t="s">
        <v>12404</v>
      </c>
      <c r="AP662" t="s">
        <v>74</v>
      </c>
      <c r="AQ662" t="s">
        <v>74</v>
      </c>
      <c r="AR662" t="s">
        <v>12392</v>
      </c>
      <c r="AS662" t="s">
        <v>12405</v>
      </c>
      <c r="AT662" t="s">
        <v>459</v>
      </c>
      <c r="AU662">
        <v>2024</v>
      </c>
      <c r="AV662">
        <v>13</v>
      </c>
      <c r="AW662">
        <v>4</v>
      </c>
      <c r="AX662" t="s">
        <v>74</v>
      </c>
      <c r="AY662" t="s">
        <v>74</v>
      </c>
      <c r="AZ662" t="s">
        <v>74</v>
      </c>
      <c r="BA662" t="s">
        <v>74</v>
      </c>
      <c r="BB662" t="s">
        <v>74</v>
      </c>
      <c r="BC662" t="s">
        <v>74</v>
      </c>
      <c r="BD662">
        <v>552</v>
      </c>
      <c r="BE662" t="s">
        <v>12759</v>
      </c>
      <c r="BF662" t="str">
        <f>HYPERLINK("http://dx.doi.org/10.3390/plants13040552","http://dx.doi.org/10.3390/plants13040552")</f>
        <v>http://dx.doi.org/10.3390/plants13040552</v>
      </c>
      <c r="BG662" t="s">
        <v>74</v>
      </c>
      <c r="BH662" t="s">
        <v>74</v>
      </c>
      <c r="BI662">
        <v>12</v>
      </c>
      <c r="BJ662" t="s">
        <v>3850</v>
      </c>
      <c r="BK662" t="s">
        <v>102</v>
      </c>
      <c r="BL662" t="s">
        <v>3850</v>
      </c>
      <c r="BM662" t="s">
        <v>12760</v>
      </c>
      <c r="BN662">
        <v>38498582</v>
      </c>
      <c r="BO662" t="s">
        <v>161</v>
      </c>
      <c r="BP662" t="s">
        <v>74</v>
      </c>
      <c r="BQ662" t="s">
        <v>74</v>
      </c>
      <c r="BR662" t="s">
        <v>106</v>
      </c>
      <c r="BS662" t="s">
        <v>12761</v>
      </c>
      <c r="BT662" t="str">
        <f>HYPERLINK("https%3A%2F%2Fwww.webofscience.com%2Fwos%2Fwoscc%2Ffull-record%2FWOS:001168425700001","View Full Record in Web of Science")</f>
        <v>View Full Record in Web of Science</v>
      </c>
    </row>
    <row r="663" spans="1:72" x14ac:dyDescent="0.2">
      <c r="A663" t="s">
        <v>72</v>
      </c>
      <c r="B663" t="s">
        <v>12762</v>
      </c>
      <c r="C663" t="s">
        <v>74</v>
      </c>
      <c r="D663" t="s">
        <v>74</v>
      </c>
      <c r="E663" t="s">
        <v>74</v>
      </c>
      <c r="F663" t="s">
        <v>12763</v>
      </c>
      <c r="G663" t="s">
        <v>74</v>
      </c>
      <c r="H663" t="s">
        <v>74</v>
      </c>
      <c r="I663" t="s">
        <v>12764</v>
      </c>
      <c r="J663" t="s">
        <v>1344</v>
      </c>
      <c r="K663" t="s">
        <v>74</v>
      </c>
      <c r="L663" t="s">
        <v>74</v>
      </c>
      <c r="M663" t="s">
        <v>78</v>
      </c>
      <c r="N663" t="s">
        <v>79</v>
      </c>
      <c r="O663" t="s">
        <v>74</v>
      </c>
      <c r="P663" t="s">
        <v>74</v>
      </c>
      <c r="Q663" t="s">
        <v>74</v>
      </c>
      <c r="R663" t="s">
        <v>74</v>
      </c>
      <c r="S663" t="s">
        <v>74</v>
      </c>
      <c r="T663" t="s">
        <v>12765</v>
      </c>
      <c r="U663" t="s">
        <v>12766</v>
      </c>
      <c r="V663" t="s">
        <v>12767</v>
      </c>
      <c r="W663" t="s">
        <v>12768</v>
      </c>
      <c r="X663" t="s">
        <v>12769</v>
      </c>
      <c r="Y663" t="s">
        <v>12770</v>
      </c>
      <c r="Z663" t="s">
        <v>12771</v>
      </c>
      <c r="AA663" t="s">
        <v>12772</v>
      </c>
      <c r="AB663" t="s">
        <v>74</v>
      </c>
      <c r="AC663" t="s">
        <v>12773</v>
      </c>
      <c r="AD663" t="s">
        <v>12773</v>
      </c>
      <c r="AE663" t="s">
        <v>456</v>
      </c>
      <c r="AF663" t="s">
        <v>74</v>
      </c>
      <c r="AG663">
        <v>31</v>
      </c>
      <c r="AH663">
        <v>6</v>
      </c>
      <c r="AI663">
        <v>7</v>
      </c>
      <c r="AJ663">
        <v>7</v>
      </c>
      <c r="AK663">
        <v>40</v>
      </c>
      <c r="AL663" t="s">
        <v>222</v>
      </c>
      <c r="AM663" t="s">
        <v>223</v>
      </c>
      <c r="AN663" t="s">
        <v>224</v>
      </c>
      <c r="AO663" t="s">
        <v>74</v>
      </c>
      <c r="AP663" t="s">
        <v>1354</v>
      </c>
      <c r="AQ663" t="s">
        <v>74</v>
      </c>
      <c r="AR663" t="s">
        <v>1344</v>
      </c>
      <c r="AS663" t="s">
        <v>1355</v>
      </c>
      <c r="AT663" t="s">
        <v>1109</v>
      </c>
      <c r="AU663">
        <v>2023</v>
      </c>
      <c r="AV663">
        <v>13</v>
      </c>
      <c r="AW663">
        <v>12</v>
      </c>
      <c r="AX663" t="s">
        <v>74</v>
      </c>
      <c r="AY663" t="s">
        <v>74</v>
      </c>
      <c r="AZ663" t="s">
        <v>74</v>
      </c>
      <c r="BA663" t="s">
        <v>74</v>
      </c>
      <c r="BB663" t="s">
        <v>74</v>
      </c>
      <c r="BC663" t="s">
        <v>74</v>
      </c>
      <c r="BD663">
        <v>2242</v>
      </c>
      <c r="BE663" t="s">
        <v>12774</v>
      </c>
      <c r="BF663" t="str">
        <f>HYPERLINK("http://dx.doi.org/10.3390/agriculture13122242","http://dx.doi.org/10.3390/agriculture13122242")</f>
        <v>http://dx.doi.org/10.3390/agriculture13122242</v>
      </c>
      <c r="BG663" t="s">
        <v>74</v>
      </c>
      <c r="BH663" t="s">
        <v>74</v>
      </c>
      <c r="BI663">
        <v>14</v>
      </c>
      <c r="BJ663" t="s">
        <v>1357</v>
      </c>
      <c r="BK663" t="s">
        <v>102</v>
      </c>
      <c r="BL663" t="s">
        <v>103</v>
      </c>
      <c r="BM663" t="s">
        <v>12775</v>
      </c>
      <c r="BN663" t="s">
        <v>74</v>
      </c>
      <c r="BO663" t="s">
        <v>231</v>
      </c>
      <c r="BP663" t="s">
        <v>74</v>
      </c>
      <c r="BQ663" t="s">
        <v>74</v>
      </c>
      <c r="BR663" t="s">
        <v>106</v>
      </c>
      <c r="BS663" t="s">
        <v>12776</v>
      </c>
      <c r="BT663" t="str">
        <f>HYPERLINK("https%3A%2F%2Fwww.webofscience.com%2Fwos%2Fwoscc%2Ffull-record%2FWOS:001131200600001","View Full Record in Web of Science")</f>
        <v>View Full Record in Web of Science</v>
      </c>
    </row>
    <row r="664" spans="1:72" x14ac:dyDescent="0.2">
      <c r="A664" t="s">
        <v>72</v>
      </c>
      <c r="B664" t="s">
        <v>12777</v>
      </c>
      <c r="C664" t="s">
        <v>74</v>
      </c>
      <c r="D664" t="s">
        <v>74</v>
      </c>
      <c r="E664" t="s">
        <v>74</v>
      </c>
      <c r="F664" t="s">
        <v>12778</v>
      </c>
      <c r="G664" t="s">
        <v>74</v>
      </c>
      <c r="H664" t="s">
        <v>74</v>
      </c>
      <c r="I664" t="s">
        <v>12779</v>
      </c>
      <c r="J664" t="s">
        <v>1344</v>
      </c>
      <c r="K664" t="s">
        <v>74</v>
      </c>
      <c r="L664" t="s">
        <v>74</v>
      </c>
      <c r="M664" t="s">
        <v>78</v>
      </c>
      <c r="N664" t="s">
        <v>79</v>
      </c>
      <c r="O664" t="s">
        <v>74</v>
      </c>
      <c r="P664" t="s">
        <v>74</v>
      </c>
      <c r="Q664" t="s">
        <v>74</v>
      </c>
      <c r="R664" t="s">
        <v>74</v>
      </c>
      <c r="S664" t="s">
        <v>74</v>
      </c>
      <c r="T664" t="s">
        <v>12780</v>
      </c>
      <c r="U664" t="s">
        <v>12781</v>
      </c>
      <c r="V664" t="s">
        <v>12782</v>
      </c>
      <c r="W664" t="s">
        <v>12783</v>
      </c>
      <c r="X664" t="s">
        <v>12784</v>
      </c>
      <c r="Y664" t="s">
        <v>12785</v>
      </c>
      <c r="Z664" t="s">
        <v>12786</v>
      </c>
      <c r="AA664" t="s">
        <v>12787</v>
      </c>
      <c r="AB664" t="s">
        <v>12788</v>
      </c>
      <c r="AC664" t="s">
        <v>12789</v>
      </c>
      <c r="AD664" t="s">
        <v>12789</v>
      </c>
      <c r="AE664" t="s">
        <v>12790</v>
      </c>
      <c r="AF664" t="s">
        <v>74</v>
      </c>
      <c r="AG664">
        <v>65</v>
      </c>
      <c r="AH664">
        <v>1</v>
      </c>
      <c r="AI664">
        <v>1</v>
      </c>
      <c r="AJ664">
        <v>0</v>
      </c>
      <c r="AK664">
        <v>6</v>
      </c>
      <c r="AL664" t="s">
        <v>222</v>
      </c>
      <c r="AM664" t="s">
        <v>223</v>
      </c>
      <c r="AN664" t="s">
        <v>224</v>
      </c>
      <c r="AO664" t="s">
        <v>74</v>
      </c>
      <c r="AP664" t="s">
        <v>1354</v>
      </c>
      <c r="AQ664" t="s">
        <v>74</v>
      </c>
      <c r="AR664" t="s">
        <v>1344</v>
      </c>
      <c r="AS664" t="s">
        <v>1355</v>
      </c>
      <c r="AT664" t="s">
        <v>1752</v>
      </c>
      <c r="AU664">
        <v>2024</v>
      </c>
      <c r="AV664">
        <v>14</v>
      </c>
      <c r="AW664">
        <v>8</v>
      </c>
      <c r="AX664" t="s">
        <v>74</v>
      </c>
      <c r="AY664" t="s">
        <v>74</v>
      </c>
      <c r="AZ664" t="s">
        <v>74</v>
      </c>
      <c r="BA664" t="s">
        <v>74</v>
      </c>
      <c r="BB664" t="s">
        <v>74</v>
      </c>
      <c r="BC664" t="s">
        <v>74</v>
      </c>
      <c r="BD664">
        <v>1267</v>
      </c>
      <c r="BE664" t="s">
        <v>12791</v>
      </c>
      <c r="BF664" t="str">
        <f>HYPERLINK("http://dx.doi.org/10.3390/agriculture14081267","http://dx.doi.org/10.3390/agriculture14081267")</f>
        <v>http://dx.doi.org/10.3390/agriculture14081267</v>
      </c>
      <c r="BG664" t="s">
        <v>74</v>
      </c>
      <c r="BH664" t="s">
        <v>74</v>
      </c>
      <c r="BI664">
        <v>13</v>
      </c>
      <c r="BJ664" t="s">
        <v>1357</v>
      </c>
      <c r="BK664" t="s">
        <v>102</v>
      </c>
      <c r="BL664" t="s">
        <v>103</v>
      </c>
      <c r="BM664" t="s">
        <v>12792</v>
      </c>
      <c r="BN664" t="s">
        <v>74</v>
      </c>
      <c r="BO664" t="s">
        <v>161</v>
      </c>
      <c r="BP664" t="s">
        <v>74</v>
      </c>
      <c r="BQ664" t="s">
        <v>74</v>
      </c>
      <c r="BR664" t="s">
        <v>106</v>
      </c>
      <c r="BS664" t="s">
        <v>12793</v>
      </c>
      <c r="BT664" t="str">
        <f>HYPERLINK("https%3A%2F%2Fwww.webofscience.com%2Fwos%2Fwoscc%2Ffull-record%2FWOS:001305224700001","View Full Record in Web of Science")</f>
        <v>View Full Record in Web of Science</v>
      </c>
    </row>
    <row r="665" spans="1:72" x14ac:dyDescent="0.2">
      <c r="A665" t="s">
        <v>72</v>
      </c>
      <c r="B665" t="s">
        <v>12794</v>
      </c>
      <c r="C665" t="s">
        <v>74</v>
      </c>
      <c r="D665" t="s">
        <v>74</v>
      </c>
      <c r="E665" t="s">
        <v>74</v>
      </c>
      <c r="F665" t="s">
        <v>12795</v>
      </c>
      <c r="G665" t="s">
        <v>74</v>
      </c>
      <c r="H665" t="s">
        <v>74</v>
      </c>
      <c r="I665" t="s">
        <v>12796</v>
      </c>
      <c r="J665" t="s">
        <v>12797</v>
      </c>
      <c r="K665" t="s">
        <v>74</v>
      </c>
      <c r="L665" t="s">
        <v>74</v>
      </c>
      <c r="M665" t="s">
        <v>78</v>
      </c>
      <c r="N665" t="s">
        <v>79</v>
      </c>
      <c r="O665" t="s">
        <v>74</v>
      </c>
      <c r="P665" t="s">
        <v>74</v>
      </c>
      <c r="Q665" t="s">
        <v>74</v>
      </c>
      <c r="R665" t="s">
        <v>74</v>
      </c>
      <c r="S665" t="s">
        <v>74</v>
      </c>
      <c r="T665" t="s">
        <v>74</v>
      </c>
      <c r="U665" t="s">
        <v>12798</v>
      </c>
      <c r="V665" t="s">
        <v>12799</v>
      </c>
      <c r="W665" t="s">
        <v>12800</v>
      </c>
      <c r="X665" t="s">
        <v>12801</v>
      </c>
      <c r="Y665" t="s">
        <v>12802</v>
      </c>
      <c r="Z665" t="s">
        <v>12803</v>
      </c>
      <c r="AA665" t="s">
        <v>12804</v>
      </c>
      <c r="AB665" t="s">
        <v>12805</v>
      </c>
      <c r="AC665" t="s">
        <v>12806</v>
      </c>
      <c r="AD665" t="s">
        <v>12807</v>
      </c>
      <c r="AE665" t="s">
        <v>12808</v>
      </c>
      <c r="AF665" t="s">
        <v>74</v>
      </c>
      <c r="AG665">
        <v>106</v>
      </c>
      <c r="AH665">
        <v>15</v>
      </c>
      <c r="AI665">
        <v>16</v>
      </c>
      <c r="AJ665">
        <v>29</v>
      </c>
      <c r="AK665">
        <v>58</v>
      </c>
      <c r="AL665" t="s">
        <v>12809</v>
      </c>
      <c r="AM665" t="s">
        <v>531</v>
      </c>
      <c r="AN665" t="s">
        <v>12810</v>
      </c>
      <c r="AO665" t="s">
        <v>12811</v>
      </c>
      <c r="AP665" t="s">
        <v>12812</v>
      </c>
      <c r="AQ665" t="s">
        <v>74</v>
      </c>
      <c r="AR665" t="s">
        <v>12797</v>
      </c>
      <c r="AS665" t="s">
        <v>12813</v>
      </c>
      <c r="AT665" t="s">
        <v>12814</v>
      </c>
      <c r="AU665">
        <v>2025</v>
      </c>
      <c r="AV665">
        <v>387</v>
      </c>
      <c r="AW665">
        <v>6740</v>
      </c>
      <c r="AX665" t="s">
        <v>74</v>
      </c>
      <c r="AY665" t="s">
        <v>74</v>
      </c>
      <c r="AZ665" t="s">
        <v>74</v>
      </c>
      <c r="BA665" t="s">
        <v>74</v>
      </c>
      <c r="BB665">
        <v>1291</v>
      </c>
      <c r="BC665">
        <v>1295</v>
      </c>
      <c r="BD665" t="s">
        <v>74</v>
      </c>
      <c r="BE665" t="s">
        <v>12815</v>
      </c>
      <c r="BF665" t="str">
        <f>HYPERLINK("http://dx.doi.org/10.1126/science.adk1637","http://dx.doi.org/10.1126/science.adk1637")</f>
        <v>http://dx.doi.org/10.1126/science.adk1637</v>
      </c>
      <c r="BG665" t="s">
        <v>74</v>
      </c>
      <c r="BH665" t="s">
        <v>74</v>
      </c>
      <c r="BI665">
        <v>5</v>
      </c>
      <c r="BJ665" t="s">
        <v>158</v>
      </c>
      <c r="BK665" t="s">
        <v>102</v>
      </c>
      <c r="BL665" t="s">
        <v>159</v>
      </c>
      <c r="BM665" t="s">
        <v>12816</v>
      </c>
      <c r="BN665">
        <v>40112055</v>
      </c>
      <c r="BO665" t="s">
        <v>74</v>
      </c>
      <c r="BP665" t="s">
        <v>74</v>
      </c>
      <c r="BQ665" t="s">
        <v>74</v>
      </c>
      <c r="BR665" t="s">
        <v>106</v>
      </c>
      <c r="BS665" t="s">
        <v>12817</v>
      </c>
      <c r="BT665" t="str">
        <f>HYPERLINK("https%3A%2F%2Fwww.webofscience.com%2Fwos%2Fwoscc%2Ffull-record%2FWOS:001500662800031","View Full Record in Web of Science")</f>
        <v>View Full Record in Web of Science</v>
      </c>
    </row>
    <row r="666" spans="1:72" x14ac:dyDescent="0.2">
      <c r="A666" t="s">
        <v>72</v>
      </c>
      <c r="B666" t="s">
        <v>12818</v>
      </c>
      <c r="C666" t="s">
        <v>74</v>
      </c>
      <c r="D666" t="s">
        <v>74</v>
      </c>
      <c r="E666" t="s">
        <v>74</v>
      </c>
      <c r="F666" t="s">
        <v>12819</v>
      </c>
      <c r="G666" t="s">
        <v>74</v>
      </c>
      <c r="H666" t="s">
        <v>74</v>
      </c>
      <c r="I666" t="s">
        <v>12820</v>
      </c>
      <c r="J666" t="s">
        <v>1451</v>
      </c>
      <c r="K666" t="s">
        <v>74</v>
      </c>
      <c r="L666" t="s">
        <v>74</v>
      </c>
      <c r="M666" t="s">
        <v>78</v>
      </c>
      <c r="N666" t="s">
        <v>79</v>
      </c>
      <c r="O666" t="s">
        <v>74</v>
      </c>
      <c r="P666" t="s">
        <v>74</v>
      </c>
      <c r="Q666" t="s">
        <v>74</v>
      </c>
      <c r="R666" t="s">
        <v>74</v>
      </c>
      <c r="S666" t="s">
        <v>74</v>
      </c>
      <c r="T666" t="s">
        <v>12821</v>
      </c>
      <c r="U666" t="s">
        <v>12822</v>
      </c>
      <c r="V666" t="s">
        <v>12823</v>
      </c>
      <c r="W666" t="s">
        <v>12824</v>
      </c>
      <c r="X666" t="s">
        <v>12825</v>
      </c>
      <c r="Y666" t="s">
        <v>12826</v>
      </c>
      <c r="Z666" t="s">
        <v>12827</v>
      </c>
      <c r="AA666" t="s">
        <v>12828</v>
      </c>
      <c r="AB666" t="s">
        <v>12829</v>
      </c>
      <c r="AC666" t="s">
        <v>12830</v>
      </c>
      <c r="AD666" t="s">
        <v>12831</v>
      </c>
      <c r="AE666" t="s">
        <v>12832</v>
      </c>
      <c r="AF666" t="s">
        <v>74</v>
      </c>
      <c r="AG666">
        <v>77</v>
      </c>
      <c r="AH666">
        <v>7</v>
      </c>
      <c r="AI666">
        <v>7</v>
      </c>
      <c r="AJ666">
        <v>11</v>
      </c>
      <c r="AK666">
        <v>38</v>
      </c>
      <c r="AL666" t="s">
        <v>123</v>
      </c>
      <c r="AM666" t="s">
        <v>124</v>
      </c>
      <c r="AN666" t="s">
        <v>125</v>
      </c>
      <c r="AO666" t="s">
        <v>1464</v>
      </c>
      <c r="AP666" t="s">
        <v>1465</v>
      </c>
      <c r="AQ666" t="s">
        <v>74</v>
      </c>
      <c r="AR666" t="s">
        <v>1466</v>
      </c>
      <c r="AS666" t="s">
        <v>1467</v>
      </c>
      <c r="AT666" t="s">
        <v>1040</v>
      </c>
      <c r="AU666">
        <v>2024</v>
      </c>
      <c r="AV666">
        <v>370</v>
      </c>
      <c r="AW666" t="s">
        <v>74</v>
      </c>
      <c r="AX666" t="s">
        <v>74</v>
      </c>
      <c r="AY666" t="s">
        <v>74</v>
      </c>
      <c r="AZ666" t="s">
        <v>74</v>
      </c>
      <c r="BA666" t="s">
        <v>74</v>
      </c>
      <c r="BB666" t="s">
        <v>74</v>
      </c>
      <c r="BC666" t="s">
        <v>74</v>
      </c>
      <c r="BD666">
        <v>109054</v>
      </c>
      <c r="BE666" t="s">
        <v>12833</v>
      </c>
      <c r="BF666" t="str">
        <f>HYPERLINK("http://dx.doi.org/10.1016/j.agee.2024.109054","http://dx.doi.org/10.1016/j.agee.2024.109054")</f>
        <v>http://dx.doi.org/10.1016/j.agee.2024.109054</v>
      </c>
      <c r="BG666" t="s">
        <v>74</v>
      </c>
      <c r="BH666" t="s">
        <v>566</v>
      </c>
      <c r="BI666">
        <v>11</v>
      </c>
      <c r="BJ666" t="s">
        <v>1470</v>
      </c>
      <c r="BK666" t="s">
        <v>102</v>
      </c>
      <c r="BL666" t="s">
        <v>1471</v>
      </c>
      <c r="BM666" t="s">
        <v>12834</v>
      </c>
      <c r="BN666" t="s">
        <v>74</v>
      </c>
      <c r="BO666" t="s">
        <v>2296</v>
      </c>
      <c r="BP666" t="s">
        <v>74</v>
      </c>
      <c r="BQ666" t="s">
        <v>74</v>
      </c>
      <c r="BR666" t="s">
        <v>106</v>
      </c>
      <c r="BS666" t="s">
        <v>12835</v>
      </c>
      <c r="BT666" t="str">
        <f>HYPERLINK("https%3A%2F%2Fwww.webofscience.com%2Fwos%2Fwoscc%2Ffull-record%2FWOS:001238831300001","View Full Record in Web of Science")</f>
        <v>View Full Record in Web of Science</v>
      </c>
    </row>
    <row r="667" spans="1:72" x14ac:dyDescent="0.2">
      <c r="A667" t="s">
        <v>72</v>
      </c>
      <c r="B667" t="s">
        <v>12836</v>
      </c>
      <c r="C667" t="s">
        <v>74</v>
      </c>
      <c r="D667" t="s">
        <v>74</v>
      </c>
      <c r="E667" t="s">
        <v>74</v>
      </c>
      <c r="F667" t="s">
        <v>12837</v>
      </c>
      <c r="G667" t="s">
        <v>74</v>
      </c>
      <c r="H667" t="s">
        <v>74</v>
      </c>
      <c r="I667" t="s">
        <v>12838</v>
      </c>
      <c r="J667" t="s">
        <v>5656</v>
      </c>
      <c r="K667" t="s">
        <v>74</v>
      </c>
      <c r="L667" t="s">
        <v>74</v>
      </c>
      <c r="M667" t="s">
        <v>78</v>
      </c>
      <c r="N667" t="s">
        <v>79</v>
      </c>
      <c r="O667" t="s">
        <v>74</v>
      </c>
      <c r="P667" t="s">
        <v>74</v>
      </c>
      <c r="Q667" t="s">
        <v>74</v>
      </c>
      <c r="R667" t="s">
        <v>74</v>
      </c>
      <c r="S667" t="s">
        <v>74</v>
      </c>
      <c r="T667" t="s">
        <v>12839</v>
      </c>
      <c r="U667" t="s">
        <v>12840</v>
      </c>
      <c r="V667" t="s">
        <v>12841</v>
      </c>
      <c r="W667" t="s">
        <v>12842</v>
      </c>
      <c r="X667" t="s">
        <v>12843</v>
      </c>
      <c r="Y667" t="s">
        <v>12844</v>
      </c>
      <c r="Z667" t="s">
        <v>12845</v>
      </c>
      <c r="AA667" t="s">
        <v>12846</v>
      </c>
      <c r="AB667" t="s">
        <v>74</v>
      </c>
      <c r="AC667" t="s">
        <v>74</v>
      </c>
      <c r="AD667" t="s">
        <v>74</v>
      </c>
      <c r="AE667" t="s">
        <v>74</v>
      </c>
      <c r="AF667" t="s">
        <v>74</v>
      </c>
      <c r="AG667">
        <v>88</v>
      </c>
      <c r="AH667">
        <v>1</v>
      </c>
      <c r="AI667">
        <v>1</v>
      </c>
      <c r="AJ667">
        <v>1</v>
      </c>
      <c r="AK667">
        <v>14</v>
      </c>
      <c r="AL667" t="s">
        <v>5663</v>
      </c>
      <c r="AM667" t="s">
        <v>5664</v>
      </c>
      <c r="AN667" t="s">
        <v>5665</v>
      </c>
      <c r="AO667" t="s">
        <v>5666</v>
      </c>
      <c r="AP667" t="s">
        <v>74</v>
      </c>
      <c r="AQ667" t="s">
        <v>74</v>
      </c>
      <c r="AR667" t="s">
        <v>5667</v>
      </c>
      <c r="AS667" t="s">
        <v>5668</v>
      </c>
      <c r="AT667" t="s">
        <v>9796</v>
      </c>
      <c r="AU667">
        <v>2024</v>
      </c>
      <c r="AV667">
        <v>126</v>
      </c>
      <c r="AW667">
        <v>4</v>
      </c>
      <c r="AX667" t="s">
        <v>74</v>
      </c>
      <c r="AY667" t="s">
        <v>74</v>
      </c>
      <c r="AZ667" t="s">
        <v>74</v>
      </c>
      <c r="BA667" t="s">
        <v>74</v>
      </c>
      <c r="BB667">
        <v>426</v>
      </c>
      <c r="BC667">
        <v>433</v>
      </c>
      <c r="BD667" t="s">
        <v>74</v>
      </c>
      <c r="BE667" t="s">
        <v>12847</v>
      </c>
      <c r="BF667" t="str">
        <f>HYPERLINK("http://dx.doi.org/10.18520/cs/v126/i4/426-433","http://dx.doi.org/10.18520/cs/v126/i4/426-433")</f>
        <v>http://dx.doi.org/10.18520/cs/v126/i4/426-433</v>
      </c>
      <c r="BG667" t="s">
        <v>74</v>
      </c>
      <c r="BH667" t="s">
        <v>74</v>
      </c>
      <c r="BI667">
        <v>8</v>
      </c>
      <c r="BJ667" t="s">
        <v>158</v>
      </c>
      <c r="BK667" t="s">
        <v>102</v>
      </c>
      <c r="BL667" t="s">
        <v>159</v>
      </c>
      <c r="BM667" t="s">
        <v>12848</v>
      </c>
      <c r="BN667" t="s">
        <v>74</v>
      </c>
      <c r="BO667" t="s">
        <v>231</v>
      </c>
      <c r="BP667" t="s">
        <v>74</v>
      </c>
      <c r="BQ667" t="s">
        <v>74</v>
      </c>
      <c r="BR667" t="s">
        <v>106</v>
      </c>
      <c r="BS667" t="s">
        <v>12849</v>
      </c>
      <c r="BT667" t="str">
        <f>HYPERLINK("https%3A%2F%2Fwww.webofscience.com%2Fwos%2Fwoscc%2Ffull-record%2FWOS:001178995200005","View Full Record in Web of Science")</f>
        <v>View Full Record in Web of Science</v>
      </c>
    </row>
    <row r="668" spans="1:72" x14ac:dyDescent="0.2">
      <c r="A668" t="s">
        <v>72</v>
      </c>
      <c r="B668" t="s">
        <v>12850</v>
      </c>
      <c r="C668" t="s">
        <v>74</v>
      </c>
      <c r="D668" t="s">
        <v>74</v>
      </c>
      <c r="E668" t="s">
        <v>74</v>
      </c>
      <c r="F668" t="s">
        <v>12851</v>
      </c>
      <c r="G668" t="s">
        <v>74</v>
      </c>
      <c r="H668" t="s">
        <v>74</v>
      </c>
      <c r="I668" t="s">
        <v>12852</v>
      </c>
      <c r="J668" t="s">
        <v>3035</v>
      </c>
      <c r="K668" t="s">
        <v>74</v>
      </c>
      <c r="L668" t="s">
        <v>74</v>
      </c>
      <c r="M668" t="s">
        <v>78</v>
      </c>
      <c r="N668" t="s">
        <v>4673</v>
      </c>
      <c r="O668" t="s">
        <v>12853</v>
      </c>
      <c r="P668" t="s">
        <v>12854</v>
      </c>
      <c r="Q668" t="s">
        <v>11074</v>
      </c>
      <c r="R668" t="s">
        <v>74</v>
      </c>
      <c r="S668" t="s">
        <v>74</v>
      </c>
      <c r="T668" t="s">
        <v>12855</v>
      </c>
      <c r="U668" t="s">
        <v>12856</v>
      </c>
      <c r="V668" t="s">
        <v>12857</v>
      </c>
      <c r="W668" t="s">
        <v>12858</v>
      </c>
      <c r="X668" t="s">
        <v>9082</v>
      </c>
      <c r="Y668" t="s">
        <v>12859</v>
      </c>
      <c r="Z668" t="s">
        <v>12860</v>
      </c>
      <c r="AA668" t="s">
        <v>74</v>
      </c>
      <c r="AB668" t="s">
        <v>74</v>
      </c>
      <c r="AC668" t="s">
        <v>74</v>
      </c>
      <c r="AD668" t="s">
        <v>74</v>
      </c>
      <c r="AE668" t="s">
        <v>74</v>
      </c>
      <c r="AF668" t="s">
        <v>74</v>
      </c>
      <c r="AG668">
        <v>58</v>
      </c>
      <c r="AH668">
        <v>38</v>
      </c>
      <c r="AI668">
        <v>45</v>
      </c>
      <c r="AJ668">
        <v>2</v>
      </c>
      <c r="AK668">
        <v>87</v>
      </c>
      <c r="AL668" t="s">
        <v>1820</v>
      </c>
      <c r="AM668" t="s">
        <v>1821</v>
      </c>
      <c r="AN668" t="s">
        <v>1822</v>
      </c>
      <c r="AO668" t="s">
        <v>3049</v>
      </c>
      <c r="AP668" t="s">
        <v>3050</v>
      </c>
      <c r="AQ668" t="s">
        <v>74</v>
      </c>
      <c r="AR668" t="s">
        <v>3051</v>
      </c>
      <c r="AS668" t="s">
        <v>3052</v>
      </c>
      <c r="AT668" t="s">
        <v>74</v>
      </c>
      <c r="AU668">
        <v>2016</v>
      </c>
      <c r="AV668">
        <v>56</v>
      </c>
      <c r="AW668" t="s">
        <v>12861</v>
      </c>
      <c r="AX668" t="s">
        <v>74</v>
      </c>
      <c r="AY668" t="s">
        <v>74</v>
      </c>
      <c r="AZ668" t="s">
        <v>74</v>
      </c>
      <c r="BA668" t="s">
        <v>74</v>
      </c>
      <c r="BB668">
        <v>423</v>
      </c>
      <c r="BC668">
        <v>436</v>
      </c>
      <c r="BD668" t="s">
        <v>74</v>
      </c>
      <c r="BE668" t="s">
        <v>12862</v>
      </c>
      <c r="BF668" t="str">
        <f>HYPERLINK("http://dx.doi.org/10.1071/AN15464","http://dx.doi.org/10.1071/AN15464")</f>
        <v>http://dx.doi.org/10.1071/AN15464</v>
      </c>
      <c r="BG668" t="s">
        <v>74</v>
      </c>
      <c r="BH668" t="s">
        <v>74</v>
      </c>
      <c r="BI668">
        <v>14</v>
      </c>
      <c r="BJ668" t="s">
        <v>3055</v>
      </c>
      <c r="BK668" t="s">
        <v>4693</v>
      </c>
      <c r="BL668" t="s">
        <v>103</v>
      </c>
      <c r="BM668" t="s">
        <v>12863</v>
      </c>
      <c r="BN668" t="s">
        <v>74</v>
      </c>
      <c r="BO668" t="s">
        <v>74</v>
      </c>
      <c r="BP668" t="s">
        <v>74</v>
      </c>
      <c r="BQ668" t="s">
        <v>74</v>
      </c>
      <c r="BR668" t="s">
        <v>106</v>
      </c>
      <c r="BS668" t="s">
        <v>12864</v>
      </c>
      <c r="BT668" t="str">
        <f>HYPERLINK("https%3A%2F%2Fwww.webofscience.com%2Fwos%2Fwoscc%2Ffull-record%2FWOS:000370060000035","View Full Record in Web of Science")</f>
        <v>View Full Record in Web of Science</v>
      </c>
    </row>
    <row r="669" spans="1:72" x14ac:dyDescent="0.2">
      <c r="A669" t="s">
        <v>72</v>
      </c>
      <c r="B669" t="s">
        <v>12865</v>
      </c>
      <c r="C669" t="s">
        <v>74</v>
      </c>
      <c r="D669" t="s">
        <v>74</v>
      </c>
      <c r="E669" t="s">
        <v>74</v>
      </c>
      <c r="F669" t="s">
        <v>12866</v>
      </c>
      <c r="G669" t="s">
        <v>74</v>
      </c>
      <c r="H669" t="s">
        <v>74</v>
      </c>
      <c r="I669" t="s">
        <v>12867</v>
      </c>
      <c r="J669" t="s">
        <v>1231</v>
      </c>
      <c r="K669" t="s">
        <v>74</v>
      </c>
      <c r="L669" t="s">
        <v>74</v>
      </c>
      <c r="M669" t="s">
        <v>78</v>
      </c>
      <c r="N669" t="s">
        <v>79</v>
      </c>
      <c r="O669" t="s">
        <v>74</v>
      </c>
      <c r="P669" t="s">
        <v>74</v>
      </c>
      <c r="Q669" t="s">
        <v>74</v>
      </c>
      <c r="R669" t="s">
        <v>74</v>
      </c>
      <c r="S669" t="s">
        <v>74</v>
      </c>
      <c r="T669" t="s">
        <v>12868</v>
      </c>
      <c r="U669" t="s">
        <v>12869</v>
      </c>
      <c r="V669" t="s">
        <v>12870</v>
      </c>
      <c r="W669" t="s">
        <v>12871</v>
      </c>
      <c r="X669" t="s">
        <v>12872</v>
      </c>
      <c r="Y669" t="s">
        <v>12873</v>
      </c>
      <c r="Z669" t="s">
        <v>12874</v>
      </c>
      <c r="AA669" t="s">
        <v>12875</v>
      </c>
      <c r="AB669" t="s">
        <v>12876</v>
      </c>
      <c r="AC669" t="s">
        <v>74</v>
      </c>
      <c r="AD669" t="s">
        <v>74</v>
      </c>
      <c r="AE669" t="s">
        <v>74</v>
      </c>
      <c r="AF669" t="s">
        <v>74</v>
      </c>
      <c r="AG669">
        <v>64</v>
      </c>
      <c r="AH669">
        <v>47</v>
      </c>
      <c r="AI669">
        <v>53</v>
      </c>
      <c r="AJ669">
        <v>8</v>
      </c>
      <c r="AK669">
        <v>86</v>
      </c>
      <c r="AL669" t="s">
        <v>1242</v>
      </c>
      <c r="AM669" t="s">
        <v>1243</v>
      </c>
      <c r="AN669" t="s">
        <v>1244</v>
      </c>
      <c r="AO669" t="s">
        <v>1245</v>
      </c>
      <c r="AP669" t="s">
        <v>1246</v>
      </c>
      <c r="AQ669" t="s">
        <v>74</v>
      </c>
      <c r="AR669" t="s">
        <v>1247</v>
      </c>
      <c r="AS669" t="s">
        <v>1248</v>
      </c>
      <c r="AT669" t="s">
        <v>183</v>
      </c>
      <c r="AU669">
        <v>2022</v>
      </c>
      <c r="AV669">
        <v>29</v>
      </c>
      <c r="AW669">
        <v>34</v>
      </c>
      <c r="AX669" t="s">
        <v>74</v>
      </c>
      <c r="AY669" t="s">
        <v>74</v>
      </c>
      <c r="AZ669" t="s">
        <v>1070</v>
      </c>
      <c r="BA669" t="s">
        <v>74</v>
      </c>
      <c r="BB669">
        <v>52133</v>
      </c>
      <c r="BC669">
        <v>52146</v>
      </c>
      <c r="BD669" t="s">
        <v>74</v>
      </c>
      <c r="BE669" t="s">
        <v>12877</v>
      </c>
      <c r="BF669" t="str">
        <f>HYPERLINK("http://dx.doi.org/10.1007/s11356-022-19431-4","http://dx.doi.org/10.1007/s11356-022-19431-4")</f>
        <v>http://dx.doi.org/10.1007/s11356-022-19431-4</v>
      </c>
      <c r="BG669" t="s">
        <v>74</v>
      </c>
      <c r="BH669" t="s">
        <v>438</v>
      </c>
      <c r="BI669">
        <v>14</v>
      </c>
      <c r="BJ669" t="s">
        <v>567</v>
      </c>
      <c r="BK669" t="s">
        <v>102</v>
      </c>
      <c r="BL669" t="s">
        <v>568</v>
      </c>
      <c r="BM669" t="s">
        <v>12878</v>
      </c>
      <c r="BN669">
        <v>35258739</v>
      </c>
      <c r="BO669" t="s">
        <v>74</v>
      </c>
      <c r="BP669" t="s">
        <v>74</v>
      </c>
      <c r="BQ669" t="s">
        <v>74</v>
      </c>
      <c r="BR669" t="s">
        <v>106</v>
      </c>
      <c r="BS669" t="s">
        <v>12879</v>
      </c>
      <c r="BT669" t="str">
        <f>HYPERLINK("https%3A%2F%2Fwww.webofscience.com%2Fwos%2Fwoscc%2Ffull-record%2FWOS:000766064400008","View Full Record in Web of Science")</f>
        <v>View Full Record in Web of Science</v>
      </c>
    </row>
    <row r="670" spans="1:72" x14ac:dyDescent="0.2">
      <c r="A670" t="s">
        <v>72</v>
      </c>
      <c r="B670" t="s">
        <v>12880</v>
      </c>
      <c r="C670" t="s">
        <v>74</v>
      </c>
      <c r="D670" t="s">
        <v>74</v>
      </c>
      <c r="E670" t="s">
        <v>74</v>
      </c>
      <c r="F670" t="s">
        <v>12881</v>
      </c>
      <c r="G670" t="s">
        <v>74</v>
      </c>
      <c r="H670" t="s">
        <v>74</v>
      </c>
      <c r="I670" t="s">
        <v>12882</v>
      </c>
      <c r="J670" t="s">
        <v>12883</v>
      </c>
      <c r="K670" t="s">
        <v>74</v>
      </c>
      <c r="L670" t="s">
        <v>74</v>
      </c>
      <c r="M670" t="s">
        <v>78</v>
      </c>
      <c r="N670" t="s">
        <v>79</v>
      </c>
      <c r="O670" t="s">
        <v>74</v>
      </c>
      <c r="P670" t="s">
        <v>74</v>
      </c>
      <c r="Q670" t="s">
        <v>74</v>
      </c>
      <c r="R670" t="s">
        <v>74</v>
      </c>
      <c r="S670" t="s">
        <v>74</v>
      </c>
      <c r="T670" t="s">
        <v>12884</v>
      </c>
      <c r="U670" t="s">
        <v>74</v>
      </c>
      <c r="V670" t="s">
        <v>12885</v>
      </c>
      <c r="W670" t="s">
        <v>12886</v>
      </c>
      <c r="X670" t="s">
        <v>12887</v>
      </c>
      <c r="Y670" t="s">
        <v>12888</v>
      </c>
      <c r="Z670" t="s">
        <v>12889</v>
      </c>
      <c r="AA670" t="s">
        <v>12890</v>
      </c>
      <c r="AB670" t="s">
        <v>12891</v>
      </c>
      <c r="AC670" t="s">
        <v>12892</v>
      </c>
      <c r="AD670" t="s">
        <v>12893</v>
      </c>
      <c r="AE670" t="s">
        <v>12894</v>
      </c>
      <c r="AF670" t="s">
        <v>74</v>
      </c>
      <c r="AG670">
        <v>20</v>
      </c>
      <c r="AH670">
        <v>5</v>
      </c>
      <c r="AI670">
        <v>5</v>
      </c>
      <c r="AJ670">
        <v>1</v>
      </c>
      <c r="AK670">
        <v>37</v>
      </c>
      <c r="AL670" t="s">
        <v>12895</v>
      </c>
      <c r="AM670" t="s">
        <v>12896</v>
      </c>
      <c r="AN670" t="s">
        <v>12897</v>
      </c>
      <c r="AO670" t="s">
        <v>12898</v>
      </c>
      <c r="AP670" t="s">
        <v>74</v>
      </c>
      <c r="AQ670" t="s">
        <v>74</v>
      </c>
      <c r="AR670" t="s">
        <v>12899</v>
      </c>
      <c r="AS670" t="s">
        <v>12900</v>
      </c>
      <c r="AT670" t="s">
        <v>7106</v>
      </c>
      <c r="AU670">
        <v>2019</v>
      </c>
      <c r="AV670">
        <v>39</v>
      </c>
      <c r="AW670">
        <v>1</v>
      </c>
      <c r="AX670" t="s">
        <v>74</v>
      </c>
      <c r="AY670" t="s">
        <v>74</v>
      </c>
      <c r="AZ670" t="s">
        <v>74</v>
      </c>
      <c r="BA670" t="s">
        <v>74</v>
      </c>
      <c r="BB670">
        <v>133</v>
      </c>
      <c r="BC670">
        <v>138</v>
      </c>
      <c r="BD670" t="s">
        <v>74</v>
      </c>
      <c r="BE670" t="s">
        <v>12901</v>
      </c>
      <c r="BF670" t="str">
        <f>HYPERLINK("http://dx.doi.org/10.1590/1809-4430-Eng.Agric.v39n1p133-138/2019","http://dx.doi.org/10.1590/1809-4430-Eng.Agric.v39n1p133-138/2019")</f>
        <v>http://dx.doi.org/10.1590/1809-4430-Eng.Agric.v39n1p133-138/2019</v>
      </c>
      <c r="BG670" t="s">
        <v>74</v>
      </c>
      <c r="BH670" t="s">
        <v>74</v>
      </c>
      <c r="BI670">
        <v>6</v>
      </c>
      <c r="BJ670" t="s">
        <v>842</v>
      </c>
      <c r="BK670" t="s">
        <v>102</v>
      </c>
      <c r="BL670" t="s">
        <v>103</v>
      </c>
      <c r="BM670" t="s">
        <v>12902</v>
      </c>
      <c r="BN670" t="s">
        <v>74</v>
      </c>
      <c r="BO670" t="s">
        <v>161</v>
      </c>
      <c r="BP670" t="s">
        <v>74</v>
      </c>
      <c r="BQ670" t="s">
        <v>74</v>
      </c>
      <c r="BR670" t="s">
        <v>106</v>
      </c>
      <c r="BS670" t="s">
        <v>12903</v>
      </c>
      <c r="BT670" t="str">
        <f>HYPERLINK("https%3A%2F%2Fwww.webofscience.com%2Fwos%2Fwoscc%2Ffull-record%2FWOS:000459555100017","View Full Record in Web of Science")</f>
        <v>View Full Record in Web of Science</v>
      </c>
    </row>
    <row r="671" spans="1:72" x14ac:dyDescent="0.2">
      <c r="A671" t="s">
        <v>72</v>
      </c>
      <c r="B671" t="s">
        <v>12904</v>
      </c>
      <c r="C671" t="s">
        <v>74</v>
      </c>
      <c r="D671" t="s">
        <v>74</v>
      </c>
      <c r="E671" t="s">
        <v>74</v>
      </c>
      <c r="F671" t="s">
        <v>12905</v>
      </c>
      <c r="G671" t="s">
        <v>74</v>
      </c>
      <c r="H671" t="s">
        <v>74</v>
      </c>
      <c r="I671" t="s">
        <v>12906</v>
      </c>
      <c r="J671" t="s">
        <v>7882</v>
      </c>
      <c r="K671" t="s">
        <v>74</v>
      </c>
      <c r="L671" t="s">
        <v>74</v>
      </c>
      <c r="M671" t="s">
        <v>78</v>
      </c>
      <c r="N671" t="s">
        <v>79</v>
      </c>
      <c r="O671" t="s">
        <v>74</v>
      </c>
      <c r="P671" t="s">
        <v>74</v>
      </c>
      <c r="Q671" t="s">
        <v>74</v>
      </c>
      <c r="R671" t="s">
        <v>74</v>
      </c>
      <c r="S671" t="s">
        <v>74</v>
      </c>
      <c r="T671" t="s">
        <v>12907</v>
      </c>
      <c r="U671" t="s">
        <v>12908</v>
      </c>
      <c r="V671" t="s">
        <v>12909</v>
      </c>
      <c r="W671" t="s">
        <v>12910</v>
      </c>
      <c r="X671" t="s">
        <v>12911</v>
      </c>
      <c r="Y671" t="s">
        <v>12912</v>
      </c>
      <c r="Z671" t="s">
        <v>12913</v>
      </c>
      <c r="AA671" t="s">
        <v>12914</v>
      </c>
      <c r="AB671" t="s">
        <v>12915</v>
      </c>
      <c r="AC671" t="s">
        <v>74</v>
      </c>
      <c r="AD671" t="s">
        <v>74</v>
      </c>
      <c r="AE671" t="s">
        <v>74</v>
      </c>
      <c r="AF671" t="s">
        <v>74</v>
      </c>
      <c r="AG671">
        <v>38</v>
      </c>
      <c r="AH671">
        <v>26</v>
      </c>
      <c r="AI671">
        <v>32</v>
      </c>
      <c r="AJ671">
        <v>1</v>
      </c>
      <c r="AK671">
        <v>16</v>
      </c>
      <c r="AL671" t="s">
        <v>504</v>
      </c>
      <c r="AM671" t="s">
        <v>505</v>
      </c>
      <c r="AN671" t="s">
        <v>506</v>
      </c>
      <c r="AO671" t="s">
        <v>7895</v>
      </c>
      <c r="AP671" t="s">
        <v>7896</v>
      </c>
      <c r="AQ671" t="s">
        <v>74</v>
      </c>
      <c r="AR671" t="s">
        <v>7897</v>
      </c>
      <c r="AS671" t="s">
        <v>7898</v>
      </c>
      <c r="AT671" t="s">
        <v>99</v>
      </c>
      <c r="AU671">
        <v>2018</v>
      </c>
      <c r="AV671">
        <v>23</v>
      </c>
      <c r="AW671">
        <v>3</v>
      </c>
      <c r="AX671" t="s">
        <v>74</v>
      </c>
      <c r="AY671" t="s">
        <v>74</v>
      </c>
      <c r="AZ671" t="s">
        <v>74</v>
      </c>
      <c r="BA671" t="s">
        <v>74</v>
      </c>
      <c r="BB671">
        <v>349</v>
      </c>
      <c r="BC671">
        <v>369</v>
      </c>
      <c r="BD671" t="s">
        <v>74</v>
      </c>
      <c r="BE671" t="s">
        <v>12916</v>
      </c>
      <c r="BF671" t="str">
        <f>HYPERLINK("http://dx.doi.org/10.1007/s11027-017-9737-0","http://dx.doi.org/10.1007/s11027-017-9737-0")</f>
        <v>http://dx.doi.org/10.1007/s11027-017-9737-0</v>
      </c>
      <c r="BG671" t="s">
        <v>74</v>
      </c>
      <c r="BH671" t="s">
        <v>74</v>
      </c>
      <c r="BI671">
        <v>21</v>
      </c>
      <c r="BJ671" t="s">
        <v>567</v>
      </c>
      <c r="BK671" t="s">
        <v>186</v>
      </c>
      <c r="BL671" t="s">
        <v>568</v>
      </c>
      <c r="BM671" t="s">
        <v>12917</v>
      </c>
      <c r="BN671" t="s">
        <v>74</v>
      </c>
      <c r="BO671" t="s">
        <v>74</v>
      </c>
      <c r="BP671" t="s">
        <v>74</v>
      </c>
      <c r="BQ671" t="s">
        <v>74</v>
      </c>
      <c r="BR671" t="s">
        <v>106</v>
      </c>
      <c r="BS671" t="s">
        <v>12918</v>
      </c>
      <c r="BT671" t="str">
        <f>HYPERLINK("https%3A%2F%2Fwww.webofscience.com%2Fwos%2Fwoscc%2Ffull-record%2FWOS:000424030100002","View Full Record in Web of Science")</f>
        <v>View Full Record in Web of Science</v>
      </c>
    </row>
    <row r="672" spans="1:72" x14ac:dyDescent="0.2">
      <c r="A672" t="s">
        <v>72</v>
      </c>
      <c r="B672" t="s">
        <v>12919</v>
      </c>
      <c r="C672" t="s">
        <v>74</v>
      </c>
      <c r="D672" t="s">
        <v>74</v>
      </c>
      <c r="E672" t="s">
        <v>74</v>
      </c>
      <c r="F672" t="s">
        <v>12920</v>
      </c>
      <c r="G672" t="s">
        <v>74</v>
      </c>
      <c r="H672" t="s">
        <v>74</v>
      </c>
      <c r="I672" t="s">
        <v>12921</v>
      </c>
      <c r="J672" t="s">
        <v>2236</v>
      </c>
      <c r="K672" t="s">
        <v>74</v>
      </c>
      <c r="L672" t="s">
        <v>74</v>
      </c>
      <c r="M672" t="s">
        <v>78</v>
      </c>
      <c r="N672" t="s">
        <v>79</v>
      </c>
      <c r="O672" t="s">
        <v>74</v>
      </c>
      <c r="P672" t="s">
        <v>74</v>
      </c>
      <c r="Q672" t="s">
        <v>74</v>
      </c>
      <c r="R672" t="s">
        <v>74</v>
      </c>
      <c r="S672" t="s">
        <v>74</v>
      </c>
      <c r="T672" t="s">
        <v>12922</v>
      </c>
      <c r="U672" t="s">
        <v>12923</v>
      </c>
      <c r="V672" t="s">
        <v>12924</v>
      </c>
      <c r="W672" t="s">
        <v>12925</v>
      </c>
      <c r="X672" t="s">
        <v>12926</v>
      </c>
      <c r="Y672" t="s">
        <v>12927</v>
      </c>
      <c r="Z672" t="s">
        <v>12928</v>
      </c>
      <c r="AA672" t="s">
        <v>12929</v>
      </c>
      <c r="AB672" t="s">
        <v>12930</v>
      </c>
      <c r="AC672" t="s">
        <v>12931</v>
      </c>
      <c r="AD672" t="s">
        <v>12932</v>
      </c>
      <c r="AE672" t="s">
        <v>12933</v>
      </c>
      <c r="AF672" t="s">
        <v>74</v>
      </c>
      <c r="AG672">
        <v>47</v>
      </c>
      <c r="AH672">
        <v>48</v>
      </c>
      <c r="AI672">
        <v>51</v>
      </c>
      <c r="AJ672">
        <v>10</v>
      </c>
      <c r="AK672">
        <v>154</v>
      </c>
      <c r="AL672" t="s">
        <v>176</v>
      </c>
      <c r="AM672" t="s">
        <v>177</v>
      </c>
      <c r="AN672" t="s">
        <v>178</v>
      </c>
      <c r="AO672" t="s">
        <v>2248</v>
      </c>
      <c r="AP672" t="s">
        <v>2249</v>
      </c>
      <c r="AQ672" t="s">
        <v>74</v>
      </c>
      <c r="AR672" t="s">
        <v>2250</v>
      </c>
      <c r="AS672" t="s">
        <v>2251</v>
      </c>
      <c r="AT672" t="s">
        <v>805</v>
      </c>
      <c r="AU672">
        <v>2018</v>
      </c>
      <c r="AV672">
        <v>167</v>
      </c>
      <c r="AW672" t="s">
        <v>74</v>
      </c>
      <c r="AX672" t="s">
        <v>74</v>
      </c>
      <c r="AY672" t="s">
        <v>74</v>
      </c>
      <c r="AZ672" t="s">
        <v>74</v>
      </c>
      <c r="BA672" t="s">
        <v>74</v>
      </c>
      <c r="BB672">
        <v>92</v>
      </c>
      <c r="BC672">
        <v>102</v>
      </c>
      <c r="BD672" t="s">
        <v>74</v>
      </c>
      <c r="BE672" t="s">
        <v>12934</v>
      </c>
      <c r="BF672" t="str">
        <f>HYPERLINK("http://dx.doi.org/10.1016/j.agsy.2018.09.004","http://dx.doi.org/10.1016/j.agsy.2018.09.004")</f>
        <v>http://dx.doi.org/10.1016/j.agsy.2018.09.004</v>
      </c>
      <c r="BG672" t="s">
        <v>74</v>
      </c>
      <c r="BH672" t="s">
        <v>74</v>
      </c>
      <c r="BI672">
        <v>11</v>
      </c>
      <c r="BJ672" t="s">
        <v>101</v>
      </c>
      <c r="BK672" t="s">
        <v>102</v>
      </c>
      <c r="BL672" t="s">
        <v>103</v>
      </c>
      <c r="BM672" t="s">
        <v>12935</v>
      </c>
      <c r="BN672" t="s">
        <v>74</v>
      </c>
      <c r="BO672" t="s">
        <v>161</v>
      </c>
      <c r="BP672" t="s">
        <v>74</v>
      </c>
      <c r="BQ672" t="s">
        <v>74</v>
      </c>
      <c r="BR672" t="s">
        <v>106</v>
      </c>
      <c r="BS672" t="s">
        <v>12936</v>
      </c>
      <c r="BT672" t="str">
        <f>HYPERLINK("https%3A%2F%2Fwww.webofscience.com%2Fwos%2Fwoscc%2Ffull-record%2FWOS:000449132400009","View Full Record in Web of Science")</f>
        <v>View Full Record in Web of Science</v>
      </c>
    </row>
    <row r="673" spans="1:72" x14ac:dyDescent="0.2">
      <c r="A673" t="s">
        <v>72</v>
      </c>
      <c r="B673" t="s">
        <v>12937</v>
      </c>
      <c r="C673" t="s">
        <v>74</v>
      </c>
      <c r="D673" t="s">
        <v>74</v>
      </c>
      <c r="E673" t="s">
        <v>74</v>
      </c>
      <c r="F673" t="s">
        <v>12938</v>
      </c>
      <c r="G673" t="s">
        <v>74</v>
      </c>
      <c r="H673" t="s">
        <v>74</v>
      </c>
      <c r="I673" t="s">
        <v>12939</v>
      </c>
      <c r="J673" t="s">
        <v>740</v>
      </c>
      <c r="K673" t="s">
        <v>74</v>
      </c>
      <c r="L673" t="s">
        <v>74</v>
      </c>
      <c r="M673" t="s">
        <v>78</v>
      </c>
      <c r="N673" t="s">
        <v>79</v>
      </c>
      <c r="O673" t="s">
        <v>74</v>
      </c>
      <c r="P673" t="s">
        <v>74</v>
      </c>
      <c r="Q673" t="s">
        <v>74</v>
      </c>
      <c r="R673" t="s">
        <v>74</v>
      </c>
      <c r="S673" t="s">
        <v>74</v>
      </c>
      <c r="T673" t="s">
        <v>12940</v>
      </c>
      <c r="U673" t="s">
        <v>12941</v>
      </c>
      <c r="V673" t="s">
        <v>12942</v>
      </c>
      <c r="W673" t="s">
        <v>12943</v>
      </c>
      <c r="X673" t="s">
        <v>12944</v>
      </c>
      <c r="Y673" t="s">
        <v>12945</v>
      </c>
      <c r="Z673" t="s">
        <v>12946</v>
      </c>
      <c r="AA673" t="s">
        <v>12947</v>
      </c>
      <c r="AB673" t="s">
        <v>12948</v>
      </c>
      <c r="AC673" t="s">
        <v>12949</v>
      </c>
      <c r="AD673" t="s">
        <v>12950</v>
      </c>
      <c r="AE673" t="s">
        <v>12951</v>
      </c>
      <c r="AF673" t="s">
        <v>74</v>
      </c>
      <c r="AG673">
        <v>49</v>
      </c>
      <c r="AH673">
        <v>393</v>
      </c>
      <c r="AI673">
        <v>437</v>
      </c>
      <c r="AJ673">
        <v>115</v>
      </c>
      <c r="AK673">
        <v>1626</v>
      </c>
      <c r="AL673" t="s">
        <v>247</v>
      </c>
      <c r="AM673" t="s">
        <v>248</v>
      </c>
      <c r="AN673" t="s">
        <v>249</v>
      </c>
      <c r="AO673" t="s">
        <v>750</v>
      </c>
      <c r="AP673" t="s">
        <v>751</v>
      </c>
      <c r="AQ673" t="s">
        <v>74</v>
      </c>
      <c r="AR673" t="s">
        <v>752</v>
      </c>
      <c r="AS673" t="s">
        <v>753</v>
      </c>
      <c r="AT673" t="s">
        <v>1109</v>
      </c>
      <c r="AU673">
        <v>2018</v>
      </c>
      <c r="AV673">
        <v>24</v>
      </c>
      <c r="AW673">
        <v>12</v>
      </c>
      <c r="AX673" t="s">
        <v>74</v>
      </c>
      <c r="AY673" t="s">
        <v>74</v>
      </c>
      <c r="AZ673" t="s">
        <v>74</v>
      </c>
      <c r="BA673" t="s">
        <v>74</v>
      </c>
      <c r="BB673">
        <v>5919</v>
      </c>
      <c r="BC673">
        <v>5932</v>
      </c>
      <c r="BD673" t="s">
        <v>74</v>
      </c>
      <c r="BE673" t="s">
        <v>12952</v>
      </c>
      <c r="BF673" t="str">
        <f>HYPERLINK("http://dx.doi.org/10.1111/gcb.14466","http://dx.doi.org/10.1111/gcb.14466")</f>
        <v>http://dx.doi.org/10.1111/gcb.14466</v>
      </c>
      <c r="BG673" t="s">
        <v>74</v>
      </c>
      <c r="BH673" t="s">
        <v>74</v>
      </c>
      <c r="BI673">
        <v>14</v>
      </c>
      <c r="BJ673" t="s">
        <v>755</v>
      </c>
      <c r="BK673" t="s">
        <v>102</v>
      </c>
      <c r="BL673" t="s">
        <v>756</v>
      </c>
      <c r="BM673" t="s">
        <v>12953</v>
      </c>
      <c r="BN673">
        <v>30295405</v>
      </c>
      <c r="BO673" t="s">
        <v>541</v>
      </c>
      <c r="BP673" t="s">
        <v>4815</v>
      </c>
      <c r="BQ673" t="s">
        <v>4816</v>
      </c>
      <c r="BR673" t="s">
        <v>106</v>
      </c>
      <c r="BS673" t="s">
        <v>12954</v>
      </c>
      <c r="BT673" t="str">
        <f>HYPERLINK("https%3A%2F%2Fwww.webofscience.com%2Fwos%2Fwoscc%2Ffull-record%2FWOS:000449650600026","View Full Record in Web of Science")</f>
        <v>View Full Record in Web of Science</v>
      </c>
    </row>
    <row r="674" spans="1:72" x14ac:dyDescent="0.2">
      <c r="A674" t="s">
        <v>72</v>
      </c>
      <c r="B674" t="s">
        <v>12955</v>
      </c>
      <c r="C674" t="s">
        <v>74</v>
      </c>
      <c r="D674" t="s">
        <v>74</v>
      </c>
      <c r="E674" t="s">
        <v>74</v>
      </c>
      <c r="F674" t="s">
        <v>12956</v>
      </c>
      <c r="G674" t="s">
        <v>74</v>
      </c>
      <c r="H674" t="s">
        <v>74</v>
      </c>
      <c r="I674" t="s">
        <v>12957</v>
      </c>
      <c r="J674" t="s">
        <v>1295</v>
      </c>
      <c r="K674" t="s">
        <v>74</v>
      </c>
      <c r="L674" t="s">
        <v>74</v>
      </c>
      <c r="M674" t="s">
        <v>78</v>
      </c>
      <c r="N674" t="s">
        <v>79</v>
      </c>
      <c r="O674" t="s">
        <v>74</v>
      </c>
      <c r="P674" t="s">
        <v>74</v>
      </c>
      <c r="Q674" t="s">
        <v>74</v>
      </c>
      <c r="R674" t="s">
        <v>74</v>
      </c>
      <c r="S674" t="s">
        <v>74</v>
      </c>
      <c r="T674" t="s">
        <v>12958</v>
      </c>
      <c r="U674" t="s">
        <v>12959</v>
      </c>
      <c r="V674" t="s">
        <v>12960</v>
      </c>
      <c r="W674" t="s">
        <v>12961</v>
      </c>
      <c r="X674" t="s">
        <v>12962</v>
      </c>
      <c r="Y674" t="s">
        <v>12963</v>
      </c>
      <c r="Z674" t="s">
        <v>12964</v>
      </c>
      <c r="AA674" t="s">
        <v>12965</v>
      </c>
      <c r="AB674" t="s">
        <v>12966</v>
      </c>
      <c r="AC674" t="s">
        <v>12967</v>
      </c>
      <c r="AD674" t="s">
        <v>12968</v>
      </c>
      <c r="AE674" t="s">
        <v>12969</v>
      </c>
      <c r="AF674" t="s">
        <v>74</v>
      </c>
      <c r="AG674">
        <v>30</v>
      </c>
      <c r="AH674">
        <v>16</v>
      </c>
      <c r="AI674">
        <v>17</v>
      </c>
      <c r="AJ674">
        <v>4</v>
      </c>
      <c r="AK674">
        <v>38</v>
      </c>
      <c r="AL674" t="s">
        <v>934</v>
      </c>
      <c r="AM674" t="s">
        <v>177</v>
      </c>
      <c r="AN674" t="s">
        <v>935</v>
      </c>
      <c r="AO674" t="s">
        <v>1308</v>
      </c>
      <c r="AP674" t="s">
        <v>1309</v>
      </c>
      <c r="AQ674" t="s">
        <v>74</v>
      </c>
      <c r="AR674" t="s">
        <v>1310</v>
      </c>
      <c r="AS674" t="s">
        <v>1311</v>
      </c>
      <c r="AT674" t="s">
        <v>1752</v>
      </c>
      <c r="AU674">
        <v>2016</v>
      </c>
      <c r="AV674">
        <v>139</v>
      </c>
      <c r="AW674" t="s">
        <v>74</v>
      </c>
      <c r="AX674" t="s">
        <v>74</v>
      </c>
      <c r="AY674" t="s">
        <v>74</v>
      </c>
      <c r="AZ674" t="s">
        <v>74</v>
      </c>
      <c r="BA674" t="s">
        <v>74</v>
      </c>
      <c r="BB674">
        <v>139</v>
      </c>
      <c r="BC674">
        <v>146</v>
      </c>
      <c r="BD674" t="s">
        <v>74</v>
      </c>
      <c r="BE674" t="s">
        <v>12970</v>
      </c>
      <c r="BF674" t="str">
        <f>HYPERLINK("http://dx.doi.org/10.1016/j.atmosenv.2016.05.033","http://dx.doi.org/10.1016/j.atmosenv.2016.05.033")</f>
        <v>http://dx.doi.org/10.1016/j.atmosenv.2016.05.033</v>
      </c>
      <c r="BG674" t="s">
        <v>74</v>
      </c>
      <c r="BH674" t="s">
        <v>74</v>
      </c>
      <c r="BI674">
        <v>8</v>
      </c>
      <c r="BJ674" t="s">
        <v>782</v>
      </c>
      <c r="BK674" t="s">
        <v>102</v>
      </c>
      <c r="BL674" t="s">
        <v>783</v>
      </c>
      <c r="BM674" t="s">
        <v>12971</v>
      </c>
      <c r="BN674" t="s">
        <v>74</v>
      </c>
      <c r="BO674" t="s">
        <v>74</v>
      </c>
      <c r="BP674" t="s">
        <v>74</v>
      </c>
      <c r="BQ674" t="s">
        <v>74</v>
      </c>
      <c r="BR674" t="s">
        <v>106</v>
      </c>
      <c r="BS674" t="s">
        <v>12972</v>
      </c>
      <c r="BT674" t="str">
        <f>HYPERLINK("https%3A%2F%2Fwww.webofscience.com%2Fwos%2Fwoscc%2Ffull-record%2FWOS:000379093900014","View Full Record in Web of Science")</f>
        <v>View Full Record in Web of Science</v>
      </c>
    </row>
    <row r="675" spans="1:72" x14ac:dyDescent="0.2">
      <c r="A675" t="s">
        <v>72</v>
      </c>
      <c r="B675" t="s">
        <v>12973</v>
      </c>
      <c r="C675" t="s">
        <v>74</v>
      </c>
      <c r="D675" t="s">
        <v>74</v>
      </c>
      <c r="E675" t="s">
        <v>74</v>
      </c>
      <c r="F675" t="s">
        <v>12974</v>
      </c>
      <c r="G675" t="s">
        <v>74</v>
      </c>
      <c r="H675" t="s">
        <v>74</v>
      </c>
      <c r="I675" t="s">
        <v>12975</v>
      </c>
      <c r="J675" t="s">
        <v>848</v>
      </c>
      <c r="K675" t="s">
        <v>74</v>
      </c>
      <c r="L675" t="s">
        <v>74</v>
      </c>
      <c r="M675" t="s">
        <v>78</v>
      </c>
      <c r="N675" t="s">
        <v>79</v>
      </c>
      <c r="O675" t="s">
        <v>74</v>
      </c>
      <c r="P675" t="s">
        <v>74</v>
      </c>
      <c r="Q675" t="s">
        <v>74</v>
      </c>
      <c r="R675" t="s">
        <v>74</v>
      </c>
      <c r="S675" t="s">
        <v>74</v>
      </c>
      <c r="T675" t="s">
        <v>12976</v>
      </c>
      <c r="U675" t="s">
        <v>74</v>
      </c>
      <c r="V675" t="s">
        <v>12977</v>
      </c>
      <c r="W675" t="s">
        <v>12978</v>
      </c>
      <c r="X675" t="s">
        <v>12979</v>
      </c>
      <c r="Y675" t="s">
        <v>12980</v>
      </c>
      <c r="Z675" t="s">
        <v>12981</v>
      </c>
      <c r="AA675" t="s">
        <v>12982</v>
      </c>
      <c r="AB675" t="s">
        <v>74</v>
      </c>
      <c r="AC675" t="s">
        <v>12983</v>
      </c>
      <c r="AD675" t="s">
        <v>12984</v>
      </c>
      <c r="AE675" t="s">
        <v>12985</v>
      </c>
      <c r="AF675" t="s">
        <v>74</v>
      </c>
      <c r="AG675">
        <v>67</v>
      </c>
      <c r="AH675">
        <v>2</v>
      </c>
      <c r="AI675">
        <v>3</v>
      </c>
      <c r="AJ675">
        <v>14</v>
      </c>
      <c r="AK675">
        <v>35</v>
      </c>
      <c r="AL675" t="s">
        <v>655</v>
      </c>
      <c r="AM675" t="s">
        <v>405</v>
      </c>
      <c r="AN675" t="s">
        <v>656</v>
      </c>
      <c r="AO675" t="s">
        <v>74</v>
      </c>
      <c r="AP675" t="s">
        <v>859</v>
      </c>
      <c r="AQ675" t="s">
        <v>74</v>
      </c>
      <c r="AR675" t="s">
        <v>860</v>
      </c>
      <c r="AS675" t="s">
        <v>861</v>
      </c>
      <c r="AT675" t="s">
        <v>1040</v>
      </c>
      <c r="AU675">
        <v>2024</v>
      </c>
      <c r="AV675">
        <v>8</v>
      </c>
      <c r="AW675" t="s">
        <v>74</v>
      </c>
      <c r="AX675" t="s">
        <v>74</v>
      </c>
      <c r="AY675" t="s">
        <v>74</v>
      </c>
      <c r="AZ675" t="s">
        <v>74</v>
      </c>
      <c r="BA675" t="s">
        <v>74</v>
      </c>
      <c r="BB675" t="s">
        <v>74</v>
      </c>
      <c r="BC675" t="s">
        <v>74</v>
      </c>
      <c r="BD675">
        <v>1415264</v>
      </c>
      <c r="BE675" t="s">
        <v>12986</v>
      </c>
      <c r="BF675" t="str">
        <f>HYPERLINK("http://dx.doi.org/10.3389/fsufs.2024.1415264","http://dx.doi.org/10.3389/fsufs.2024.1415264")</f>
        <v>http://dx.doi.org/10.3389/fsufs.2024.1415264</v>
      </c>
      <c r="BG675" t="s">
        <v>74</v>
      </c>
      <c r="BH675" t="s">
        <v>74</v>
      </c>
      <c r="BI675">
        <v>16</v>
      </c>
      <c r="BJ675" t="s">
        <v>864</v>
      </c>
      <c r="BK675" t="s">
        <v>102</v>
      </c>
      <c r="BL675" t="s">
        <v>864</v>
      </c>
      <c r="BM675" t="s">
        <v>12987</v>
      </c>
      <c r="BN675" t="s">
        <v>74</v>
      </c>
      <c r="BO675" t="s">
        <v>231</v>
      </c>
      <c r="BP675" t="s">
        <v>74</v>
      </c>
      <c r="BQ675" t="s">
        <v>74</v>
      </c>
      <c r="BR675" t="s">
        <v>106</v>
      </c>
      <c r="BS675" t="s">
        <v>12988</v>
      </c>
      <c r="BT675" t="str">
        <f>HYPERLINK("https%3A%2F%2Fwww.webofscience.com%2Fwos%2Fwoscc%2Ffull-record%2FWOS:001302666100001","View Full Record in Web of Science")</f>
        <v>View Full Record in Web of Science</v>
      </c>
    </row>
    <row r="676" spans="1:72" x14ac:dyDescent="0.2">
      <c r="A676" t="s">
        <v>72</v>
      </c>
      <c r="B676" t="s">
        <v>12989</v>
      </c>
      <c r="C676" t="s">
        <v>74</v>
      </c>
      <c r="D676" t="s">
        <v>74</v>
      </c>
      <c r="E676" t="s">
        <v>74</v>
      </c>
      <c r="F676" t="s">
        <v>12990</v>
      </c>
      <c r="G676" t="s">
        <v>74</v>
      </c>
      <c r="H676" t="s">
        <v>74</v>
      </c>
      <c r="I676" t="s">
        <v>12991</v>
      </c>
      <c r="J676" t="s">
        <v>1526</v>
      </c>
      <c r="K676" t="s">
        <v>74</v>
      </c>
      <c r="L676" t="s">
        <v>74</v>
      </c>
      <c r="M676" t="s">
        <v>78</v>
      </c>
      <c r="N676" t="s">
        <v>79</v>
      </c>
      <c r="O676" t="s">
        <v>74</v>
      </c>
      <c r="P676" t="s">
        <v>74</v>
      </c>
      <c r="Q676" t="s">
        <v>74</v>
      </c>
      <c r="R676" t="s">
        <v>74</v>
      </c>
      <c r="S676" t="s">
        <v>74</v>
      </c>
      <c r="T676" t="s">
        <v>12992</v>
      </c>
      <c r="U676" t="s">
        <v>12993</v>
      </c>
      <c r="V676" t="s">
        <v>12994</v>
      </c>
      <c r="W676" t="s">
        <v>12995</v>
      </c>
      <c r="X676" t="s">
        <v>12996</v>
      </c>
      <c r="Y676" t="s">
        <v>12997</v>
      </c>
      <c r="Z676" t="s">
        <v>12998</v>
      </c>
      <c r="AA676" t="s">
        <v>12999</v>
      </c>
      <c r="AB676" t="s">
        <v>13000</v>
      </c>
      <c r="AC676" t="s">
        <v>13001</v>
      </c>
      <c r="AD676" t="s">
        <v>13001</v>
      </c>
      <c r="AE676" t="s">
        <v>13002</v>
      </c>
      <c r="AF676" t="s">
        <v>74</v>
      </c>
      <c r="AG676">
        <v>123</v>
      </c>
      <c r="AH676">
        <v>68</v>
      </c>
      <c r="AI676">
        <v>74</v>
      </c>
      <c r="AJ676">
        <v>11</v>
      </c>
      <c r="AK676">
        <v>118</v>
      </c>
      <c r="AL676" t="s">
        <v>176</v>
      </c>
      <c r="AM676" t="s">
        <v>177</v>
      </c>
      <c r="AN676" t="s">
        <v>178</v>
      </c>
      <c r="AO676" t="s">
        <v>1538</v>
      </c>
      <c r="AP676" t="s">
        <v>1539</v>
      </c>
      <c r="AQ676" t="s">
        <v>74</v>
      </c>
      <c r="AR676" t="s">
        <v>1540</v>
      </c>
      <c r="AS676" t="s">
        <v>1541</v>
      </c>
      <c r="AT676" t="s">
        <v>13003</v>
      </c>
      <c r="AU676">
        <v>2019</v>
      </c>
      <c r="AV676">
        <v>225</v>
      </c>
      <c r="AW676" t="s">
        <v>74</v>
      </c>
      <c r="AX676" t="s">
        <v>74</v>
      </c>
      <c r="AY676" t="s">
        <v>74</v>
      </c>
      <c r="AZ676" t="s">
        <v>74</v>
      </c>
      <c r="BA676" t="s">
        <v>74</v>
      </c>
      <c r="BB676">
        <v>435</v>
      </c>
      <c r="BC676">
        <v>450</v>
      </c>
      <c r="BD676" t="s">
        <v>74</v>
      </c>
      <c r="BE676" t="s">
        <v>13004</v>
      </c>
      <c r="BF676" t="str">
        <f>HYPERLINK("http://dx.doi.org/10.1016/j.jclepro.2019.03.192","http://dx.doi.org/10.1016/j.jclepro.2019.03.192")</f>
        <v>http://dx.doi.org/10.1016/j.jclepro.2019.03.192</v>
      </c>
      <c r="BG676" t="s">
        <v>74</v>
      </c>
      <c r="BH676" t="s">
        <v>74</v>
      </c>
      <c r="BI676">
        <v>16</v>
      </c>
      <c r="BJ676" t="s">
        <v>1543</v>
      </c>
      <c r="BK676" t="s">
        <v>186</v>
      </c>
      <c r="BL676" t="s">
        <v>1544</v>
      </c>
      <c r="BM676" t="s">
        <v>13005</v>
      </c>
      <c r="BN676" t="s">
        <v>74</v>
      </c>
      <c r="BO676" t="s">
        <v>74</v>
      </c>
      <c r="BP676" t="s">
        <v>74</v>
      </c>
      <c r="BQ676" t="s">
        <v>74</v>
      </c>
      <c r="BR676" t="s">
        <v>106</v>
      </c>
      <c r="BS676" t="s">
        <v>13006</v>
      </c>
      <c r="BT676" t="str">
        <f>HYPERLINK("https%3A%2F%2Fwww.webofscience.com%2Fwos%2Fwoscc%2Ffull-record%2FWOS:000468709400040","View Full Record in Web of Science")</f>
        <v>View Full Record in Web of Science</v>
      </c>
    </row>
    <row r="677" spans="1:72" x14ac:dyDescent="0.2">
      <c r="A677" t="s">
        <v>72</v>
      </c>
      <c r="B677" t="s">
        <v>13007</v>
      </c>
      <c r="C677" t="s">
        <v>74</v>
      </c>
      <c r="D677" t="s">
        <v>74</v>
      </c>
      <c r="E677" t="s">
        <v>74</v>
      </c>
      <c r="F677" t="s">
        <v>13008</v>
      </c>
      <c r="G677" t="s">
        <v>74</v>
      </c>
      <c r="H677" t="s">
        <v>74</v>
      </c>
      <c r="I677" t="s">
        <v>13009</v>
      </c>
      <c r="J677" t="s">
        <v>1526</v>
      </c>
      <c r="K677" t="s">
        <v>74</v>
      </c>
      <c r="L677" t="s">
        <v>74</v>
      </c>
      <c r="M677" t="s">
        <v>78</v>
      </c>
      <c r="N677" t="s">
        <v>79</v>
      </c>
      <c r="O677" t="s">
        <v>74</v>
      </c>
      <c r="P677" t="s">
        <v>74</v>
      </c>
      <c r="Q677" t="s">
        <v>74</v>
      </c>
      <c r="R677" t="s">
        <v>74</v>
      </c>
      <c r="S677" t="s">
        <v>74</v>
      </c>
      <c r="T677" t="s">
        <v>13010</v>
      </c>
      <c r="U677" t="s">
        <v>13011</v>
      </c>
      <c r="V677" t="s">
        <v>13012</v>
      </c>
      <c r="W677" t="s">
        <v>13013</v>
      </c>
      <c r="X677" t="s">
        <v>13014</v>
      </c>
      <c r="Y677" t="s">
        <v>13015</v>
      </c>
      <c r="Z677" t="s">
        <v>13016</v>
      </c>
      <c r="AA677" t="s">
        <v>13017</v>
      </c>
      <c r="AB677" t="s">
        <v>13018</v>
      </c>
      <c r="AC677" t="s">
        <v>13019</v>
      </c>
      <c r="AD677" t="s">
        <v>13020</v>
      </c>
      <c r="AE677" t="s">
        <v>13021</v>
      </c>
      <c r="AF677" t="s">
        <v>74</v>
      </c>
      <c r="AG677">
        <v>64</v>
      </c>
      <c r="AH677">
        <v>20</v>
      </c>
      <c r="AI677">
        <v>21</v>
      </c>
      <c r="AJ677">
        <v>25</v>
      </c>
      <c r="AK677">
        <v>141</v>
      </c>
      <c r="AL677" t="s">
        <v>176</v>
      </c>
      <c r="AM677" t="s">
        <v>1610</v>
      </c>
      <c r="AN677" t="s">
        <v>1611</v>
      </c>
      <c r="AO677" t="s">
        <v>1538</v>
      </c>
      <c r="AP677" t="s">
        <v>1539</v>
      </c>
      <c r="AQ677" t="s">
        <v>74</v>
      </c>
      <c r="AR677" t="s">
        <v>1540</v>
      </c>
      <c r="AS677" t="s">
        <v>1541</v>
      </c>
      <c r="AT677" t="s">
        <v>1012</v>
      </c>
      <c r="AU677">
        <v>2023</v>
      </c>
      <c r="AV677">
        <v>426</v>
      </c>
      <c r="AW677" t="s">
        <v>74</v>
      </c>
      <c r="AX677" t="s">
        <v>74</v>
      </c>
      <c r="AY677" t="s">
        <v>74</v>
      </c>
      <c r="AZ677" t="s">
        <v>74</v>
      </c>
      <c r="BA677" t="s">
        <v>74</v>
      </c>
      <c r="BB677" t="s">
        <v>74</v>
      </c>
      <c r="BC677" t="s">
        <v>74</v>
      </c>
      <c r="BD677">
        <v>138939</v>
      </c>
      <c r="BE677" t="s">
        <v>13022</v>
      </c>
      <c r="BF677" t="str">
        <f>HYPERLINK("http://dx.doi.org/10.1016/j.jclepro.2023.138939","http://dx.doi.org/10.1016/j.jclepro.2023.138939")</f>
        <v>http://dx.doi.org/10.1016/j.jclepro.2023.138939</v>
      </c>
      <c r="BG677" t="s">
        <v>74</v>
      </c>
      <c r="BH677" t="s">
        <v>1688</v>
      </c>
      <c r="BI677">
        <v>9</v>
      </c>
      <c r="BJ677" t="s">
        <v>1543</v>
      </c>
      <c r="BK677" t="s">
        <v>102</v>
      </c>
      <c r="BL677" t="s">
        <v>1544</v>
      </c>
      <c r="BM677" t="s">
        <v>13023</v>
      </c>
      <c r="BN677" t="s">
        <v>74</v>
      </c>
      <c r="BO677" t="s">
        <v>74</v>
      </c>
      <c r="BP677" t="s">
        <v>74</v>
      </c>
      <c r="BQ677" t="s">
        <v>74</v>
      </c>
      <c r="BR677" t="s">
        <v>106</v>
      </c>
      <c r="BS677" t="s">
        <v>13024</v>
      </c>
      <c r="BT677" t="str">
        <f>HYPERLINK("https%3A%2F%2Fwww.webofscience.com%2Fwos%2Fwoscc%2Ffull-record%2FWOS:001089187000001","View Full Record in Web of Science")</f>
        <v>View Full Record in Web of Science</v>
      </c>
    </row>
    <row r="678" spans="1:72" x14ac:dyDescent="0.2">
      <c r="A678" t="s">
        <v>72</v>
      </c>
      <c r="B678" t="s">
        <v>13025</v>
      </c>
      <c r="C678" t="s">
        <v>74</v>
      </c>
      <c r="D678" t="s">
        <v>74</v>
      </c>
      <c r="E678" t="s">
        <v>74</v>
      </c>
      <c r="F678" t="s">
        <v>13026</v>
      </c>
      <c r="G678" t="s">
        <v>74</v>
      </c>
      <c r="H678" t="s">
        <v>74</v>
      </c>
      <c r="I678" t="s">
        <v>13027</v>
      </c>
      <c r="J678" t="s">
        <v>12392</v>
      </c>
      <c r="K678" t="s">
        <v>74</v>
      </c>
      <c r="L678" t="s">
        <v>74</v>
      </c>
      <c r="M678" t="s">
        <v>78</v>
      </c>
      <c r="N678" t="s">
        <v>79</v>
      </c>
      <c r="O678" t="s">
        <v>74</v>
      </c>
      <c r="P678" t="s">
        <v>74</v>
      </c>
      <c r="Q678" t="s">
        <v>74</v>
      </c>
      <c r="R678" t="s">
        <v>74</v>
      </c>
      <c r="S678" t="s">
        <v>74</v>
      </c>
      <c r="T678" t="s">
        <v>13028</v>
      </c>
      <c r="U678" t="s">
        <v>13029</v>
      </c>
      <c r="V678" t="s">
        <v>13030</v>
      </c>
      <c r="W678" t="s">
        <v>13031</v>
      </c>
      <c r="X678" t="s">
        <v>13032</v>
      </c>
      <c r="Y678" t="s">
        <v>13033</v>
      </c>
      <c r="Z678" t="s">
        <v>13034</v>
      </c>
      <c r="AA678" t="s">
        <v>74</v>
      </c>
      <c r="AB678" t="s">
        <v>13035</v>
      </c>
      <c r="AC678" t="s">
        <v>74</v>
      </c>
      <c r="AD678" t="s">
        <v>74</v>
      </c>
      <c r="AE678" t="s">
        <v>74</v>
      </c>
      <c r="AF678" t="s">
        <v>74</v>
      </c>
      <c r="AG678">
        <v>58</v>
      </c>
      <c r="AH678">
        <v>4</v>
      </c>
      <c r="AI678">
        <v>4</v>
      </c>
      <c r="AJ678">
        <v>16</v>
      </c>
      <c r="AK678">
        <v>53</v>
      </c>
      <c r="AL678" t="s">
        <v>222</v>
      </c>
      <c r="AM678" t="s">
        <v>223</v>
      </c>
      <c r="AN678" t="s">
        <v>224</v>
      </c>
      <c r="AO678" t="s">
        <v>12404</v>
      </c>
      <c r="AP678" t="s">
        <v>74</v>
      </c>
      <c r="AQ678" t="s">
        <v>74</v>
      </c>
      <c r="AR678" t="s">
        <v>12392</v>
      </c>
      <c r="AS678" t="s">
        <v>12405</v>
      </c>
      <c r="AT678" t="s">
        <v>1752</v>
      </c>
      <c r="AU678">
        <v>2024</v>
      </c>
      <c r="AV678">
        <v>13</v>
      </c>
      <c r="AW678">
        <v>16</v>
      </c>
      <c r="AX678" t="s">
        <v>74</v>
      </c>
      <c r="AY678" t="s">
        <v>74</v>
      </c>
      <c r="AZ678" t="s">
        <v>74</v>
      </c>
      <c r="BA678" t="s">
        <v>74</v>
      </c>
      <c r="BB678" t="s">
        <v>74</v>
      </c>
      <c r="BC678" t="s">
        <v>74</v>
      </c>
      <c r="BD678">
        <v>2337</v>
      </c>
      <c r="BE678" t="s">
        <v>13036</v>
      </c>
      <c r="BF678" t="str">
        <f>HYPERLINK("http://dx.doi.org/10.3390/plants13162337","http://dx.doi.org/10.3390/plants13162337")</f>
        <v>http://dx.doi.org/10.3390/plants13162337</v>
      </c>
      <c r="BG678" t="s">
        <v>74</v>
      </c>
      <c r="BH678" t="s">
        <v>74</v>
      </c>
      <c r="BI678">
        <v>19</v>
      </c>
      <c r="BJ678" t="s">
        <v>3850</v>
      </c>
      <c r="BK678" t="s">
        <v>102</v>
      </c>
      <c r="BL678" t="s">
        <v>3850</v>
      </c>
      <c r="BM678" t="s">
        <v>13037</v>
      </c>
      <c r="BN678">
        <v>39204773</v>
      </c>
      <c r="BO678" t="s">
        <v>161</v>
      </c>
      <c r="BP678" t="s">
        <v>74</v>
      </c>
      <c r="BQ678" t="s">
        <v>74</v>
      </c>
      <c r="BR678" t="s">
        <v>106</v>
      </c>
      <c r="BS678" t="s">
        <v>13038</v>
      </c>
      <c r="BT678" t="str">
        <f>HYPERLINK("https%3A%2F%2Fwww.webofscience.com%2Fwos%2Fwoscc%2Ffull-record%2FWOS:001305285900001","View Full Record in Web of Science")</f>
        <v>View Full Record in Web of Science</v>
      </c>
    </row>
    <row r="679" spans="1:72" x14ac:dyDescent="0.2">
      <c r="A679" t="s">
        <v>72</v>
      </c>
      <c r="B679" t="s">
        <v>13039</v>
      </c>
      <c r="C679" t="s">
        <v>74</v>
      </c>
      <c r="D679" t="s">
        <v>74</v>
      </c>
      <c r="E679" t="s">
        <v>74</v>
      </c>
      <c r="F679" t="s">
        <v>13040</v>
      </c>
      <c r="G679" t="s">
        <v>74</v>
      </c>
      <c r="H679" t="s">
        <v>74</v>
      </c>
      <c r="I679" t="s">
        <v>13041</v>
      </c>
      <c r="J679" t="s">
        <v>2387</v>
      </c>
      <c r="K679" t="s">
        <v>74</v>
      </c>
      <c r="L679" t="s">
        <v>74</v>
      </c>
      <c r="M679" t="s">
        <v>78</v>
      </c>
      <c r="N679" t="s">
        <v>79</v>
      </c>
      <c r="O679" t="s">
        <v>74</v>
      </c>
      <c r="P679" t="s">
        <v>74</v>
      </c>
      <c r="Q679" t="s">
        <v>74</v>
      </c>
      <c r="R679" t="s">
        <v>74</v>
      </c>
      <c r="S679" t="s">
        <v>74</v>
      </c>
      <c r="T679" t="s">
        <v>13042</v>
      </c>
      <c r="U679" t="s">
        <v>13043</v>
      </c>
      <c r="V679" t="s">
        <v>13044</v>
      </c>
      <c r="W679" t="s">
        <v>13045</v>
      </c>
      <c r="X679" t="s">
        <v>3088</v>
      </c>
      <c r="Y679" t="s">
        <v>3089</v>
      </c>
      <c r="Z679" t="s">
        <v>2756</v>
      </c>
      <c r="AA679" t="s">
        <v>13046</v>
      </c>
      <c r="AB679" t="s">
        <v>74</v>
      </c>
      <c r="AC679" t="s">
        <v>13047</v>
      </c>
      <c r="AD679" t="s">
        <v>13048</v>
      </c>
      <c r="AE679" t="s">
        <v>13049</v>
      </c>
      <c r="AF679" t="s">
        <v>74</v>
      </c>
      <c r="AG679">
        <v>52</v>
      </c>
      <c r="AH679">
        <v>94</v>
      </c>
      <c r="AI679">
        <v>105</v>
      </c>
      <c r="AJ679">
        <v>9</v>
      </c>
      <c r="AK679">
        <v>67</v>
      </c>
      <c r="AL679" t="s">
        <v>176</v>
      </c>
      <c r="AM679" t="s">
        <v>177</v>
      </c>
      <c r="AN679" t="s">
        <v>178</v>
      </c>
      <c r="AO679" t="s">
        <v>2400</v>
      </c>
      <c r="AP679" t="s">
        <v>2401</v>
      </c>
      <c r="AQ679" t="s">
        <v>74</v>
      </c>
      <c r="AR679" t="s">
        <v>2387</v>
      </c>
      <c r="AS679" t="s">
        <v>2402</v>
      </c>
      <c r="AT679" t="s">
        <v>636</v>
      </c>
      <c r="AU679">
        <v>2019</v>
      </c>
      <c r="AV679">
        <v>84</v>
      </c>
      <c r="AW679" t="s">
        <v>74</v>
      </c>
      <c r="AX679" t="s">
        <v>74</v>
      </c>
      <c r="AY679" t="s">
        <v>74</v>
      </c>
      <c r="AZ679" t="s">
        <v>1070</v>
      </c>
      <c r="BA679" t="s">
        <v>74</v>
      </c>
      <c r="BB679">
        <v>133</v>
      </c>
      <c r="BC679">
        <v>145</v>
      </c>
      <c r="BD679" t="s">
        <v>74</v>
      </c>
      <c r="BE679" t="s">
        <v>13050</v>
      </c>
      <c r="BF679" t="str">
        <f>HYPERLINK("http://dx.doi.org/10.1016/j.foodpol.2019.03.007","http://dx.doi.org/10.1016/j.foodpol.2019.03.007")</f>
        <v>http://dx.doi.org/10.1016/j.foodpol.2019.03.007</v>
      </c>
      <c r="BG679" t="s">
        <v>74</v>
      </c>
      <c r="BH679" t="s">
        <v>74</v>
      </c>
      <c r="BI679">
        <v>13</v>
      </c>
      <c r="BJ679" t="s">
        <v>2405</v>
      </c>
      <c r="BK679" t="s">
        <v>186</v>
      </c>
      <c r="BL679" t="s">
        <v>2406</v>
      </c>
      <c r="BM679" t="s">
        <v>13051</v>
      </c>
      <c r="BN679" t="s">
        <v>74</v>
      </c>
      <c r="BO679" t="s">
        <v>916</v>
      </c>
      <c r="BP679" t="s">
        <v>74</v>
      </c>
      <c r="BQ679" t="s">
        <v>74</v>
      </c>
      <c r="BR679" t="s">
        <v>106</v>
      </c>
      <c r="BS679" t="s">
        <v>13052</v>
      </c>
      <c r="BT679" t="str">
        <f>HYPERLINK("https%3A%2F%2Fwww.webofscience.com%2Fwos%2Fwoscc%2Ffull-record%2FWOS:000466454000013","View Full Record in Web of Science")</f>
        <v>View Full Record in Web of Science</v>
      </c>
    </row>
    <row r="680" spans="1:72" x14ac:dyDescent="0.2">
      <c r="A680" t="s">
        <v>72</v>
      </c>
      <c r="B680" t="s">
        <v>13053</v>
      </c>
      <c r="C680" t="s">
        <v>74</v>
      </c>
      <c r="D680" t="s">
        <v>74</v>
      </c>
      <c r="E680" t="s">
        <v>74</v>
      </c>
      <c r="F680" t="s">
        <v>13054</v>
      </c>
      <c r="G680" t="s">
        <v>74</v>
      </c>
      <c r="H680" t="s">
        <v>74</v>
      </c>
      <c r="I680" t="s">
        <v>13055</v>
      </c>
      <c r="J680" t="s">
        <v>13056</v>
      </c>
      <c r="K680" t="s">
        <v>74</v>
      </c>
      <c r="L680" t="s">
        <v>74</v>
      </c>
      <c r="M680" t="s">
        <v>78</v>
      </c>
      <c r="N680" t="s">
        <v>79</v>
      </c>
      <c r="O680" t="s">
        <v>74</v>
      </c>
      <c r="P680" t="s">
        <v>74</v>
      </c>
      <c r="Q680" t="s">
        <v>74</v>
      </c>
      <c r="R680" t="s">
        <v>74</v>
      </c>
      <c r="S680" t="s">
        <v>74</v>
      </c>
      <c r="T680" t="s">
        <v>13057</v>
      </c>
      <c r="U680" t="s">
        <v>13058</v>
      </c>
      <c r="V680" t="s">
        <v>13059</v>
      </c>
      <c r="W680" t="s">
        <v>13060</v>
      </c>
      <c r="X680" t="s">
        <v>13061</v>
      </c>
      <c r="Y680" t="s">
        <v>13062</v>
      </c>
      <c r="Z680" t="s">
        <v>13063</v>
      </c>
      <c r="AA680" t="s">
        <v>13064</v>
      </c>
      <c r="AB680" t="s">
        <v>13065</v>
      </c>
      <c r="AC680" t="s">
        <v>13066</v>
      </c>
      <c r="AD680" t="s">
        <v>13067</v>
      </c>
      <c r="AE680" t="s">
        <v>13068</v>
      </c>
      <c r="AF680" t="s">
        <v>74</v>
      </c>
      <c r="AG680">
        <v>58</v>
      </c>
      <c r="AH680">
        <v>60</v>
      </c>
      <c r="AI680">
        <v>69</v>
      </c>
      <c r="AJ680">
        <v>17</v>
      </c>
      <c r="AK680">
        <v>137</v>
      </c>
      <c r="AL680" t="s">
        <v>123</v>
      </c>
      <c r="AM680" t="s">
        <v>124</v>
      </c>
      <c r="AN680" t="s">
        <v>125</v>
      </c>
      <c r="AO680" t="s">
        <v>13069</v>
      </c>
      <c r="AP680" t="s">
        <v>74</v>
      </c>
      <c r="AQ680" t="s">
        <v>74</v>
      </c>
      <c r="AR680" t="s">
        <v>13070</v>
      </c>
      <c r="AS680" t="s">
        <v>13071</v>
      </c>
      <c r="AT680" t="s">
        <v>1109</v>
      </c>
      <c r="AU680">
        <v>2021</v>
      </c>
      <c r="AV680">
        <v>30</v>
      </c>
      <c r="AW680" t="s">
        <v>74</v>
      </c>
      <c r="AX680" t="s">
        <v>74</v>
      </c>
      <c r="AY680" t="s">
        <v>74</v>
      </c>
      <c r="AZ680" t="s">
        <v>74</v>
      </c>
      <c r="BA680" t="s">
        <v>74</v>
      </c>
      <c r="BB680" t="s">
        <v>74</v>
      </c>
      <c r="BC680" t="s">
        <v>74</v>
      </c>
      <c r="BD680" t="s">
        <v>13072</v>
      </c>
      <c r="BE680" t="s">
        <v>13073</v>
      </c>
      <c r="BF680" t="str">
        <f>HYPERLINK("http://dx.doi.org/10.1016/j.susmat.2021.e00347","http://dx.doi.org/10.1016/j.susmat.2021.e00347")</f>
        <v>http://dx.doi.org/10.1016/j.susmat.2021.e00347</v>
      </c>
      <c r="BG680" t="s">
        <v>74</v>
      </c>
      <c r="BH680" t="s">
        <v>888</v>
      </c>
      <c r="BI680">
        <v>11</v>
      </c>
      <c r="BJ680" t="s">
        <v>13074</v>
      </c>
      <c r="BK680" t="s">
        <v>102</v>
      </c>
      <c r="BL680" t="s">
        <v>13075</v>
      </c>
      <c r="BM680" t="s">
        <v>13076</v>
      </c>
      <c r="BN680" t="s">
        <v>74</v>
      </c>
      <c r="BO680" t="s">
        <v>74</v>
      </c>
      <c r="BP680" t="s">
        <v>74</v>
      </c>
      <c r="BQ680" t="s">
        <v>74</v>
      </c>
      <c r="BR680" t="s">
        <v>106</v>
      </c>
      <c r="BS680" t="s">
        <v>13077</v>
      </c>
      <c r="BT680" t="str">
        <f>HYPERLINK("https%3A%2F%2Fwww.webofscience.com%2Fwos%2Fwoscc%2Ffull-record%2FWOS:000719842500001","View Full Record in Web of Science")</f>
        <v>View Full Record in Web of Science</v>
      </c>
    </row>
    <row r="681" spans="1:72" x14ac:dyDescent="0.2">
      <c r="A681" t="s">
        <v>72</v>
      </c>
      <c r="B681" t="s">
        <v>13078</v>
      </c>
      <c r="C681" t="s">
        <v>74</v>
      </c>
      <c r="D681" t="s">
        <v>74</v>
      </c>
      <c r="E681" t="s">
        <v>74</v>
      </c>
      <c r="F681" t="s">
        <v>13079</v>
      </c>
      <c r="G681" t="s">
        <v>74</v>
      </c>
      <c r="H681" t="s">
        <v>74</v>
      </c>
      <c r="I681" t="s">
        <v>13080</v>
      </c>
      <c r="J681" t="s">
        <v>995</v>
      </c>
      <c r="K681" t="s">
        <v>74</v>
      </c>
      <c r="L681" t="s">
        <v>74</v>
      </c>
      <c r="M681" t="s">
        <v>78</v>
      </c>
      <c r="N681" t="s">
        <v>79</v>
      </c>
      <c r="O681" t="s">
        <v>74</v>
      </c>
      <c r="P681" t="s">
        <v>74</v>
      </c>
      <c r="Q681" t="s">
        <v>74</v>
      </c>
      <c r="R681" t="s">
        <v>74</v>
      </c>
      <c r="S681" t="s">
        <v>74</v>
      </c>
      <c r="T681" t="s">
        <v>13081</v>
      </c>
      <c r="U681" t="s">
        <v>13082</v>
      </c>
      <c r="V681" t="s">
        <v>13083</v>
      </c>
      <c r="W681" t="s">
        <v>13084</v>
      </c>
      <c r="X681" t="s">
        <v>13085</v>
      </c>
      <c r="Y681" t="s">
        <v>13086</v>
      </c>
      <c r="Z681" t="s">
        <v>13087</v>
      </c>
      <c r="AA681" t="s">
        <v>13088</v>
      </c>
      <c r="AB681" t="s">
        <v>13089</v>
      </c>
      <c r="AC681" t="s">
        <v>13090</v>
      </c>
      <c r="AD681" t="s">
        <v>13090</v>
      </c>
      <c r="AE681" t="s">
        <v>13091</v>
      </c>
      <c r="AF681" t="s">
        <v>74</v>
      </c>
      <c r="AG681">
        <v>69</v>
      </c>
      <c r="AH681">
        <v>9</v>
      </c>
      <c r="AI681">
        <v>11</v>
      </c>
      <c r="AJ681">
        <v>5</v>
      </c>
      <c r="AK681">
        <v>33</v>
      </c>
      <c r="AL681" t="s">
        <v>123</v>
      </c>
      <c r="AM681" t="s">
        <v>124</v>
      </c>
      <c r="AN681" t="s">
        <v>125</v>
      </c>
      <c r="AO681" t="s">
        <v>1008</v>
      </c>
      <c r="AP681" t="s">
        <v>1009</v>
      </c>
      <c r="AQ681" t="s">
        <v>74</v>
      </c>
      <c r="AR681" t="s">
        <v>1010</v>
      </c>
      <c r="AS681" t="s">
        <v>1011</v>
      </c>
      <c r="AT681" t="s">
        <v>3826</v>
      </c>
      <c r="AU681">
        <v>2024</v>
      </c>
      <c r="AV681">
        <v>935</v>
      </c>
      <c r="AW681" t="s">
        <v>74</v>
      </c>
      <c r="AX681" t="s">
        <v>74</v>
      </c>
      <c r="AY681" t="s">
        <v>74</v>
      </c>
      <c r="AZ681" t="s">
        <v>74</v>
      </c>
      <c r="BA681" t="s">
        <v>74</v>
      </c>
      <c r="BB681" t="s">
        <v>74</v>
      </c>
      <c r="BC681" t="s">
        <v>74</v>
      </c>
      <c r="BD681">
        <v>172882</v>
      </c>
      <c r="BE681" t="s">
        <v>13092</v>
      </c>
      <c r="BF681" t="str">
        <f>HYPERLINK("http://dx.doi.org/10.1016/j.scitotenv.2024.172882","http://dx.doi.org/10.1016/j.scitotenv.2024.172882")</f>
        <v>http://dx.doi.org/10.1016/j.scitotenv.2024.172882</v>
      </c>
      <c r="BG681" t="s">
        <v>74</v>
      </c>
      <c r="BH681" t="s">
        <v>566</v>
      </c>
      <c r="BI681">
        <v>14</v>
      </c>
      <c r="BJ681" t="s">
        <v>567</v>
      </c>
      <c r="BK681" t="s">
        <v>102</v>
      </c>
      <c r="BL681" t="s">
        <v>568</v>
      </c>
      <c r="BM681" t="s">
        <v>13093</v>
      </c>
      <c r="BN681">
        <v>38697540</v>
      </c>
      <c r="BO681" t="s">
        <v>13094</v>
      </c>
      <c r="BP681" t="s">
        <v>74</v>
      </c>
      <c r="BQ681" t="s">
        <v>74</v>
      </c>
      <c r="BR681" t="s">
        <v>106</v>
      </c>
      <c r="BS681" t="s">
        <v>13095</v>
      </c>
      <c r="BT681" t="str">
        <f>HYPERLINK("https%3A%2F%2Fwww.webofscience.com%2Fwos%2Fwoscc%2Ffull-record%2FWOS:001246432400001","View Full Record in Web of Science")</f>
        <v>View Full Record in Web of Science</v>
      </c>
    </row>
    <row r="682" spans="1:72" x14ac:dyDescent="0.2">
      <c r="A682" t="s">
        <v>72</v>
      </c>
      <c r="B682" t="s">
        <v>13096</v>
      </c>
      <c r="C682" t="s">
        <v>74</v>
      </c>
      <c r="D682" t="s">
        <v>74</v>
      </c>
      <c r="E682" t="s">
        <v>74</v>
      </c>
      <c r="F682" t="s">
        <v>13097</v>
      </c>
      <c r="G682" t="s">
        <v>74</v>
      </c>
      <c r="H682" t="s">
        <v>74</v>
      </c>
      <c r="I682" t="s">
        <v>13098</v>
      </c>
      <c r="J682" t="s">
        <v>468</v>
      </c>
      <c r="K682" t="s">
        <v>74</v>
      </c>
      <c r="L682" t="s">
        <v>74</v>
      </c>
      <c r="M682" t="s">
        <v>78</v>
      </c>
      <c r="N682" t="s">
        <v>79</v>
      </c>
      <c r="O682" t="s">
        <v>74</v>
      </c>
      <c r="P682" t="s">
        <v>74</v>
      </c>
      <c r="Q682" t="s">
        <v>74</v>
      </c>
      <c r="R682" t="s">
        <v>74</v>
      </c>
      <c r="S682" t="s">
        <v>74</v>
      </c>
      <c r="T682" t="s">
        <v>13099</v>
      </c>
      <c r="U682" t="s">
        <v>13100</v>
      </c>
      <c r="V682" t="s">
        <v>13101</v>
      </c>
      <c r="W682" t="s">
        <v>13102</v>
      </c>
      <c r="X682" t="s">
        <v>10792</v>
      </c>
      <c r="Y682" t="s">
        <v>13103</v>
      </c>
      <c r="Z682" t="s">
        <v>13104</v>
      </c>
      <c r="AA682" t="s">
        <v>13105</v>
      </c>
      <c r="AB682" t="s">
        <v>13106</v>
      </c>
      <c r="AC682" t="s">
        <v>13107</v>
      </c>
      <c r="AD682" t="s">
        <v>13108</v>
      </c>
      <c r="AE682" t="s">
        <v>13109</v>
      </c>
      <c r="AF682" t="s">
        <v>74</v>
      </c>
      <c r="AG682">
        <v>84</v>
      </c>
      <c r="AH682">
        <v>8</v>
      </c>
      <c r="AI682">
        <v>9</v>
      </c>
      <c r="AJ682">
        <v>3</v>
      </c>
      <c r="AK682">
        <v>27</v>
      </c>
      <c r="AL682" t="s">
        <v>222</v>
      </c>
      <c r="AM682" t="s">
        <v>223</v>
      </c>
      <c r="AN682" t="s">
        <v>478</v>
      </c>
      <c r="AO682" t="s">
        <v>74</v>
      </c>
      <c r="AP682" t="s">
        <v>479</v>
      </c>
      <c r="AQ682" t="s">
        <v>74</v>
      </c>
      <c r="AR682" t="s">
        <v>480</v>
      </c>
      <c r="AS682" t="s">
        <v>481</v>
      </c>
      <c r="AT682" t="s">
        <v>1109</v>
      </c>
      <c r="AU682">
        <v>2020</v>
      </c>
      <c r="AV682">
        <v>12</v>
      </c>
      <c r="AW682">
        <v>24</v>
      </c>
      <c r="AX682" t="s">
        <v>74</v>
      </c>
      <c r="AY682" t="s">
        <v>74</v>
      </c>
      <c r="AZ682" t="s">
        <v>74</v>
      </c>
      <c r="BA682" t="s">
        <v>74</v>
      </c>
      <c r="BB682" t="s">
        <v>74</v>
      </c>
      <c r="BC682" t="s">
        <v>74</v>
      </c>
      <c r="BD682">
        <v>10380</v>
      </c>
      <c r="BE682" t="s">
        <v>13110</v>
      </c>
      <c r="BF682" t="str">
        <f>HYPERLINK("http://dx.doi.org/10.3390/su122410380","http://dx.doi.org/10.3390/su122410380")</f>
        <v>http://dx.doi.org/10.3390/su122410380</v>
      </c>
      <c r="BG682" t="s">
        <v>74</v>
      </c>
      <c r="BH682" t="s">
        <v>74</v>
      </c>
      <c r="BI682">
        <v>24</v>
      </c>
      <c r="BJ682" t="s">
        <v>484</v>
      </c>
      <c r="BK682" t="s">
        <v>186</v>
      </c>
      <c r="BL682" t="s">
        <v>485</v>
      </c>
      <c r="BM682" t="s">
        <v>13111</v>
      </c>
      <c r="BN682" t="s">
        <v>74</v>
      </c>
      <c r="BO682" t="s">
        <v>161</v>
      </c>
      <c r="BP682" t="s">
        <v>74</v>
      </c>
      <c r="BQ682" t="s">
        <v>74</v>
      </c>
      <c r="BR682" t="s">
        <v>106</v>
      </c>
      <c r="BS682" t="s">
        <v>13112</v>
      </c>
      <c r="BT682" t="str">
        <f>HYPERLINK("https%3A%2F%2Fwww.webofscience.com%2Fwos%2Fwoscc%2Ffull-record%2FWOS:000603202200001","View Full Record in Web of Science")</f>
        <v>View Full Record in Web of Science</v>
      </c>
    </row>
    <row r="683" spans="1:72" x14ac:dyDescent="0.2">
      <c r="A683" t="s">
        <v>72</v>
      </c>
      <c r="B683" t="s">
        <v>13113</v>
      </c>
      <c r="C683" t="s">
        <v>74</v>
      </c>
      <c r="D683" t="s">
        <v>74</v>
      </c>
      <c r="E683" t="s">
        <v>74</v>
      </c>
      <c r="F683" t="s">
        <v>13114</v>
      </c>
      <c r="G683" t="s">
        <v>74</v>
      </c>
      <c r="H683" t="s">
        <v>74</v>
      </c>
      <c r="I683" t="s">
        <v>13115</v>
      </c>
      <c r="J683" t="s">
        <v>13116</v>
      </c>
      <c r="K683" t="s">
        <v>74</v>
      </c>
      <c r="L683" t="s">
        <v>74</v>
      </c>
      <c r="M683" t="s">
        <v>78</v>
      </c>
      <c r="N683" t="s">
        <v>79</v>
      </c>
      <c r="O683" t="s">
        <v>74</v>
      </c>
      <c r="P683" t="s">
        <v>74</v>
      </c>
      <c r="Q683" t="s">
        <v>74</v>
      </c>
      <c r="R683" t="s">
        <v>74</v>
      </c>
      <c r="S683" t="s">
        <v>74</v>
      </c>
      <c r="T683" t="s">
        <v>13117</v>
      </c>
      <c r="U683" t="s">
        <v>13118</v>
      </c>
      <c r="V683" t="s">
        <v>13119</v>
      </c>
      <c r="W683" t="s">
        <v>13120</v>
      </c>
      <c r="X683" t="s">
        <v>13121</v>
      </c>
      <c r="Y683" t="s">
        <v>13122</v>
      </c>
      <c r="Z683" t="s">
        <v>13123</v>
      </c>
      <c r="AA683" t="s">
        <v>13124</v>
      </c>
      <c r="AB683" t="s">
        <v>13125</v>
      </c>
      <c r="AC683" t="s">
        <v>13126</v>
      </c>
      <c r="AD683" t="s">
        <v>13127</v>
      </c>
      <c r="AE683" t="s">
        <v>13128</v>
      </c>
      <c r="AF683" t="s">
        <v>74</v>
      </c>
      <c r="AG683">
        <v>60</v>
      </c>
      <c r="AH683">
        <v>4</v>
      </c>
      <c r="AI683">
        <v>4</v>
      </c>
      <c r="AJ683">
        <v>1</v>
      </c>
      <c r="AK683">
        <v>27</v>
      </c>
      <c r="AL683" t="s">
        <v>504</v>
      </c>
      <c r="AM683" t="s">
        <v>676</v>
      </c>
      <c r="AN683" t="s">
        <v>677</v>
      </c>
      <c r="AO683" t="s">
        <v>13129</v>
      </c>
      <c r="AP683" t="s">
        <v>13130</v>
      </c>
      <c r="AQ683" t="s">
        <v>74</v>
      </c>
      <c r="AR683" t="s">
        <v>13131</v>
      </c>
      <c r="AS683" t="s">
        <v>13132</v>
      </c>
      <c r="AT683" t="s">
        <v>1752</v>
      </c>
      <c r="AU683">
        <v>2022</v>
      </c>
      <c r="AV683">
        <v>24</v>
      </c>
      <c r="AW683">
        <v>6</v>
      </c>
      <c r="AX683" t="s">
        <v>74</v>
      </c>
      <c r="AY683" t="s">
        <v>74</v>
      </c>
      <c r="AZ683" t="s">
        <v>74</v>
      </c>
      <c r="BA683" t="s">
        <v>74</v>
      </c>
      <c r="BB683">
        <v>1663</v>
      </c>
      <c r="BC683">
        <v>1680</v>
      </c>
      <c r="BD683" t="s">
        <v>74</v>
      </c>
      <c r="BE683" t="s">
        <v>13133</v>
      </c>
      <c r="BF683" t="str">
        <f>HYPERLINK("http://dx.doi.org/10.1007/s10098-022-02272-7","http://dx.doi.org/10.1007/s10098-022-02272-7")</f>
        <v>http://dx.doi.org/10.1007/s10098-022-02272-7</v>
      </c>
      <c r="BG683" t="s">
        <v>74</v>
      </c>
      <c r="BH683" t="s">
        <v>7201</v>
      </c>
      <c r="BI683">
        <v>18</v>
      </c>
      <c r="BJ683" t="s">
        <v>1543</v>
      </c>
      <c r="BK683" t="s">
        <v>102</v>
      </c>
      <c r="BL683" t="s">
        <v>1544</v>
      </c>
      <c r="BM683" t="s">
        <v>13134</v>
      </c>
      <c r="BN683" t="s">
        <v>74</v>
      </c>
      <c r="BO683" t="s">
        <v>74</v>
      </c>
      <c r="BP683" t="s">
        <v>74</v>
      </c>
      <c r="BQ683" t="s">
        <v>74</v>
      </c>
      <c r="BR683" t="s">
        <v>106</v>
      </c>
      <c r="BS683" t="s">
        <v>13135</v>
      </c>
      <c r="BT683" t="str">
        <f>HYPERLINK("https%3A%2F%2Fwww.webofscience.com%2Fwos%2Fwoscc%2Ffull-record%2FWOS:000745600000001","View Full Record in Web of Science")</f>
        <v>View Full Record in Web of Science</v>
      </c>
    </row>
    <row r="684" spans="1:72" x14ac:dyDescent="0.2">
      <c r="A684" t="s">
        <v>72</v>
      </c>
      <c r="B684" t="s">
        <v>13136</v>
      </c>
      <c r="C684" t="s">
        <v>74</v>
      </c>
      <c r="D684" t="s">
        <v>74</v>
      </c>
      <c r="E684" t="s">
        <v>74</v>
      </c>
      <c r="F684" t="s">
        <v>13137</v>
      </c>
      <c r="G684" t="s">
        <v>74</v>
      </c>
      <c r="H684" t="s">
        <v>74</v>
      </c>
      <c r="I684" t="s">
        <v>13138</v>
      </c>
      <c r="J684" t="s">
        <v>13139</v>
      </c>
      <c r="K684" t="s">
        <v>74</v>
      </c>
      <c r="L684" t="s">
        <v>74</v>
      </c>
      <c r="M684" t="s">
        <v>78</v>
      </c>
      <c r="N684" t="s">
        <v>79</v>
      </c>
      <c r="O684" t="s">
        <v>74</v>
      </c>
      <c r="P684" t="s">
        <v>74</v>
      </c>
      <c r="Q684" t="s">
        <v>74</v>
      </c>
      <c r="R684" t="s">
        <v>74</v>
      </c>
      <c r="S684" t="s">
        <v>74</v>
      </c>
      <c r="T684" t="s">
        <v>13140</v>
      </c>
      <c r="U684" t="s">
        <v>13141</v>
      </c>
      <c r="V684" t="s">
        <v>13142</v>
      </c>
      <c r="W684" t="s">
        <v>13143</v>
      </c>
      <c r="X684" t="s">
        <v>13144</v>
      </c>
      <c r="Y684" t="s">
        <v>13145</v>
      </c>
      <c r="Z684" t="s">
        <v>13146</v>
      </c>
      <c r="AA684" t="s">
        <v>13147</v>
      </c>
      <c r="AB684" t="s">
        <v>13148</v>
      </c>
      <c r="AC684" t="s">
        <v>13149</v>
      </c>
      <c r="AD684" t="s">
        <v>13150</v>
      </c>
      <c r="AE684" t="s">
        <v>13151</v>
      </c>
      <c r="AF684" t="s">
        <v>74</v>
      </c>
      <c r="AG684">
        <v>117</v>
      </c>
      <c r="AH684">
        <v>4</v>
      </c>
      <c r="AI684">
        <v>5</v>
      </c>
      <c r="AJ684">
        <v>8</v>
      </c>
      <c r="AK684">
        <v>49</v>
      </c>
      <c r="AL684" t="s">
        <v>3169</v>
      </c>
      <c r="AM684" t="s">
        <v>531</v>
      </c>
      <c r="AN684" t="s">
        <v>3170</v>
      </c>
      <c r="AO684" t="s">
        <v>13152</v>
      </c>
      <c r="AP684" t="s">
        <v>13153</v>
      </c>
      <c r="AQ684" t="s">
        <v>74</v>
      </c>
      <c r="AR684" t="s">
        <v>13154</v>
      </c>
      <c r="AS684" t="s">
        <v>13155</v>
      </c>
      <c r="AT684" t="s">
        <v>1752</v>
      </c>
      <c r="AU684">
        <v>2024</v>
      </c>
      <c r="AV684">
        <v>38</v>
      </c>
      <c r="AW684">
        <v>8</v>
      </c>
      <c r="AX684" t="s">
        <v>74</v>
      </c>
      <c r="AY684" t="s">
        <v>74</v>
      </c>
      <c r="AZ684" t="s">
        <v>74</v>
      </c>
      <c r="BA684" t="s">
        <v>74</v>
      </c>
      <c r="BB684" t="s">
        <v>74</v>
      </c>
      <c r="BC684" t="s">
        <v>74</v>
      </c>
      <c r="BD684" t="s">
        <v>13156</v>
      </c>
      <c r="BE684" t="s">
        <v>13157</v>
      </c>
      <c r="BF684" t="str">
        <f>HYPERLINK("http://dx.doi.org/10.1029/2024GB008141","http://dx.doi.org/10.1029/2024GB008141")</f>
        <v>http://dx.doi.org/10.1029/2024GB008141</v>
      </c>
      <c r="BG684" t="s">
        <v>74</v>
      </c>
      <c r="BH684" t="s">
        <v>74</v>
      </c>
      <c r="BI684">
        <v>43</v>
      </c>
      <c r="BJ684" t="s">
        <v>3175</v>
      </c>
      <c r="BK684" t="s">
        <v>102</v>
      </c>
      <c r="BL684" t="s">
        <v>3176</v>
      </c>
      <c r="BM684" t="s">
        <v>13158</v>
      </c>
      <c r="BN684" t="s">
        <v>74</v>
      </c>
      <c r="BO684" t="s">
        <v>2296</v>
      </c>
      <c r="BP684" t="s">
        <v>74</v>
      </c>
      <c r="BQ684" t="s">
        <v>74</v>
      </c>
      <c r="BR684" t="s">
        <v>106</v>
      </c>
      <c r="BS684" t="s">
        <v>13159</v>
      </c>
      <c r="BT684" t="str">
        <f>HYPERLINK("https%3A%2F%2Fwww.webofscience.com%2Fwos%2Fwoscc%2Ffull-record%2FWOS:001284671300001","View Full Record in Web of Science")</f>
        <v>View Full Record in Web of Science</v>
      </c>
    </row>
    <row r="685" spans="1:72" x14ac:dyDescent="0.2">
      <c r="A685" t="s">
        <v>72</v>
      </c>
      <c r="B685" t="s">
        <v>13160</v>
      </c>
      <c r="C685" t="s">
        <v>74</v>
      </c>
      <c r="D685" t="s">
        <v>74</v>
      </c>
      <c r="E685" t="s">
        <v>74</v>
      </c>
      <c r="F685" t="s">
        <v>13161</v>
      </c>
      <c r="G685" t="s">
        <v>74</v>
      </c>
      <c r="H685" t="s">
        <v>74</v>
      </c>
      <c r="I685" t="s">
        <v>13162</v>
      </c>
      <c r="J685" t="s">
        <v>2647</v>
      </c>
      <c r="K685" t="s">
        <v>74</v>
      </c>
      <c r="L685" t="s">
        <v>74</v>
      </c>
      <c r="M685" t="s">
        <v>78</v>
      </c>
      <c r="N685" t="s">
        <v>79</v>
      </c>
      <c r="O685" t="s">
        <v>74</v>
      </c>
      <c r="P685" t="s">
        <v>74</v>
      </c>
      <c r="Q685" t="s">
        <v>74</v>
      </c>
      <c r="R685" t="s">
        <v>74</v>
      </c>
      <c r="S685" t="s">
        <v>74</v>
      </c>
      <c r="T685" t="s">
        <v>13163</v>
      </c>
      <c r="U685" t="s">
        <v>13164</v>
      </c>
      <c r="V685" t="s">
        <v>13165</v>
      </c>
      <c r="W685" t="s">
        <v>13166</v>
      </c>
      <c r="X685" t="s">
        <v>13167</v>
      </c>
      <c r="Y685" t="s">
        <v>13168</v>
      </c>
      <c r="Z685" t="s">
        <v>13169</v>
      </c>
      <c r="AA685" t="s">
        <v>74</v>
      </c>
      <c r="AB685" t="s">
        <v>74</v>
      </c>
      <c r="AC685" t="s">
        <v>13170</v>
      </c>
      <c r="AD685" t="s">
        <v>13171</v>
      </c>
      <c r="AE685" t="s">
        <v>13172</v>
      </c>
      <c r="AF685" t="s">
        <v>74</v>
      </c>
      <c r="AG685">
        <v>46</v>
      </c>
      <c r="AH685">
        <v>0</v>
      </c>
      <c r="AI685">
        <v>0</v>
      </c>
      <c r="AJ685">
        <v>5</v>
      </c>
      <c r="AK685">
        <v>5</v>
      </c>
      <c r="AL685" t="s">
        <v>123</v>
      </c>
      <c r="AM685" t="s">
        <v>124</v>
      </c>
      <c r="AN685" t="s">
        <v>125</v>
      </c>
      <c r="AO685" t="s">
        <v>2660</v>
      </c>
      <c r="AP685" t="s">
        <v>2661</v>
      </c>
      <c r="AQ685" t="s">
        <v>74</v>
      </c>
      <c r="AR685" t="s">
        <v>2662</v>
      </c>
      <c r="AS685" t="s">
        <v>2663</v>
      </c>
      <c r="AT685" t="s">
        <v>4005</v>
      </c>
      <c r="AU685">
        <v>2025</v>
      </c>
      <c r="AV685">
        <v>321</v>
      </c>
      <c r="AW685" t="s">
        <v>74</v>
      </c>
      <c r="AX685" t="s">
        <v>74</v>
      </c>
      <c r="AY685" t="s">
        <v>74</v>
      </c>
      <c r="AZ685" t="s">
        <v>74</v>
      </c>
      <c r="BA685" t="s">
        <v>74</v>
      </c>
      <c r="BB685" t="s">
        <v>74</v>
      </c>
      <c r="BC685" t="s">
        <v>74</v>
      </c>
      <c r="BD685">
        <v>109897</v>
      </c>
      <c r="BE685" t="s">
        <v>13173</v>
      </c>
      <c r="BF685" t="str">
        <f>HYPERLINK("http://dx.doi.org/10.1016/j.agwat.2025.109897","http://dx.doi.org/10.1016/j.agwat.2025.109897")</f>
        <v>http://dx.doi.org/10.1016/j.agwat.2025.109897</v>
      </c>
      <c r="BG685" t="s">
        <v>74</v>
      </c>
      <c r="BH685" t="s">
        <v>2319</v>
      </c>
      <c r="BI685">
        <v>12</v>
      </c>
      <c r="BJ685" t="s">
        <v>2665</v>
      </c>
      <c r="BK685" t="s">
        <v>102</v>
      </c>
      <c r="BL685" t="s">
        <v>2666</v>
      </c>
      <c r="BM685" t="s">
        <v>13174</v>
      </c>
      <c r="BN685" t="s">
        <v>74</v>
      </c>
      <c r="BO685" t="s">
        <v>161</v>
      </c>
      <c r="BP685" t="s">
        <v>74</v>
      </c>
      <c r="BQ685" t="s">
        <v>74</v>
      </c>
      <c r="BR685" t="s">
        <v>106</v>
      </c>
      <c r="BS685" t="s">
        <v>13175</v>
      </c>
      <c r="BT685" t="str">
        <f>HYPERLINK("https%3A%2F%2Fwww.webofscience.com%2Fwos%2Fwoscc%2Ffull-record%2FWOS:001599329900002","View Full Record in Web of Science")</f>
        <v>View Full Record in Web of Science</v>
      </c>
    </row>
    <row r="686" spans="1:72" x14ac:dyDescent="0.2">
      <c r="A686" t="s">
        <v>72</v>
      </c>
      <c r="B686" t="s">
        <v>13176</v>
      </c>
      <c r="C686" t="s">
        <v>74</v>
      </c>
      <c r="D686" t="s">
        <v>74</v>
      </c>
      <c r="E686" t="s">
        <v>74</v>
      </c>
      <c r="F686" t="s">
        <v>13177</v>
      </c>
      <c r="G686" t="s">
        <v>74</v>
      </c>
      <c r="H686" t="s">
        <v>74</v>
      </c>
      <c r="I686" t="s">
        <v>13178</v>
      </c>
      <c r="J686" t="s">
        <v>13179</v>
      </c>
      <c r="K686" t="s">
        <v>74</v>
      </c>
      <c r="L686" t="s">
        <v>74</v>
      </c>
      <c r="M686" t="s">
        <v>78</v>
      </c>
      <c r="N686" t="s">
        <v>79</v>
      </c>
      <c r="O686" t="s">
        <v>74</v>
      </c>
      <c r="P686" t="s">
        <v>74</v>
      </c>
      <c r="Q686" t="s">
        <v>74</v>
      </c>
      <c r="R686" t="s">
        <v>74</v>
      </c>
      <c r="S686" t="s">
        <v>74</v>
      </c>
      <c r="T686" t="s">
        <v>13180</v>
      </c>
      <c r="U686" t="s">
        <v>13181</v>
      </c>
      <c r="V686" t="s">
        <v>13182</v>
      </c>
      <c r="W686" t="s">
        <v>13183</v>
      </c>
      <c r="X686" t="s">
        <v>13184</v>
      </c>
      <c r="Y686" t="s">
        <v>13185</v>
      </c>
      <c r="Z686" t="s">
        <v>13186</v>
      </c>
      <c r="AA686" t="s">
        <v>13187</v>
      </c>
      <c r="AB686" t="s">
        <v>13188</v>
      </c>
      <c r="AC686" t="s">
        <v>13189</v>
      </c>
      <c r="AD686" t="s">
        <v>13190</v>
      </c>
      <c r="AE686" t="s">
        <v>13191</v>
      </c>
      <c r="AF686" t="s">
        <v>74</v>
      </c>
      <c r="AG686">
        <v>75</v>
      </c>
      <c r="AH686">
        <v>9</v>
      </c>
      <c r="AI686">
        <v>11</v>
      </c>
      <c r="AJ686">
        <v>1</v>
      </c>
      <c r="AK686">
        <v>90</v>
      </c>
      <c r="AL686" t="s">
        <v>629</v>
      </c>
      <c r="AM686" t="s">
        <v>630</v>
      </c>
      <c r="AN686" t="s">
        <v>631</v>
      </c>
      <c r="AO686" t="s">
        <v>13192</v>
      </c>
      <c r="AP686" t="s">
        <v>13193</v>
      </c>
      <c r="AQ686" t="s">
        <v>74</v>
      </c>
      <c r="AR686" t="s">
        <v>13194</v>
      </c>
      <c r="AS686" t="s">
        <v>13195</v>
      </c>
      <c r="AT686" t="s">
        <v>2017</v>
      </c>
      <c r="AU686">
        <v>2016</v>
      </c>
      <c r="AV686">
        <v>13</v>
      </c>
      <c r="AW686">
        <v>10</v>
      </c>
      <c r="AX686" t="s">
        <v>74</v>
      </c>
      <c r="AY686" t="s">
        <v>74</v>
      </c>
      <c r="AZ686" t="s">
        <v>74</v>
      </c>
      <c r="BA686" t="s">
        <v>74</v>
      </c>
      <c r="BB686">
        <v>1840</v>
      </c>
      <c r="BC686">
        <v>1854</v>
      </c>
      <c r="BD686" t="s">
        <v>74</v>
      </c>
      <c r="BE686" t="s">
        <v>13196</v>
      </c>
      <c r="BF686" t="str">
        <f>HYPERLINK("http://dx.doi.org/10.1007/s11629-015-3813-2","http://dx.doi.org/10.1007/s11629-015-3813-2")</f>
        <v>http://dx.doi.org/10.1007/s11629-015-3813-2</v>
      </c>
      <c r="BG686" t="s">
        <v>74</v>
      </c>
      <c r="BH686" t="s">
        <v>74</v>
      </c>
      <c r="BI686">
        <v>15</v>
      </c>
      <c r="BJ686" t="s">
        <v>567</v>
      </c>
      <c r="BK686" t="s">
        <v>102</v>
      </c>
      <c r="BL686" t="s">
        <v>568</v>
      </c>
      <c r="BM686" t="s">
        <v>13197</v>
      </c>
      <c r="BN686" t="s">
        <v>74</v>
      </c>
      <c r="BO686" t="s">
        <v>231</v>
      </c>
      <c r="BP686" t="s">
        <v>74</v>
      </c>
      <c r="BQ686" t="s">
        <v>74</v>
      </c>
      <c r="BR686" t="s">
        <v>106</v>
      </c>
      <c r="BS686" t="s">
        <v>13198</v>
      </c>
      <c r="BT686" t="str">
        <f>HYPERLINK("https%3A%2F%2Fwww.webofscience.com%2Fwos%2Fwoscc%2Ffull-record%2FWOS:000386502400012","View Full Record in Web of Science")</f>
        <v>View Full Record in Web of Science</v>
      </c>
    </row>
    <row r="687" spans="1:72" x14ac:dyDescent="0.2">
      <c r="A687" t="s">
        <v>72</v>
      </c>
      <c r="B687" t="s">
        <v>13199</v>
      </c>
      <c r="C687" t="s">
        <v>74</v>
      </c>
      <c r="D687" t="s">
        <v>74</v>
      </c>
      <c r="E687" t="s">
        <v>74</v>
      </c>
      <c r="F687" t="s">
        <v>13200</v>
      </c>
      <c r="G687" t="s">
        <v>74</v>
      </c>
      <c r="H687" t="s">
        <v>74</v>
      </c>
      <c r="I687" t="s">
        <v>13201</v>
      </c>
      <c r="J687" t="s">
        <v>13202</v>
      </c>
      <c r="K687" t="s">
        <v>74</v>
      </c>
      <c r="L687" t="s">
        <v>74</v>
      </c>
      <c r="M687" t="s">
        <v>78</v>
      </c>
      <c r="N687" t="s">
        <v>79</v>
      </c>
      <c r="O687" t="s">
        <v>74</v>
      </c>
      <c r="P687" t="s">
        <v>74</v>
      </c>
      <c r="Q687" t="s">
        <v>74</v>
      </c>
      <c r="R687" t="s">
        <v>74</v>
      </c>
      <c r="S687" t="s">
        <v>74</v>
      </c>
      <c r="T687" t="s">
        <v>13203</v>
      </c>
      <c r="U687" t="s">
        <v>13204</v>
      </c>
      <c r="V687" t="s">
        <v>13205</v>
      </c>
      <c r="W687" t="s">
        <v>13206</v>
      </c>
      <c r="X687" t="s">
        <v>13207</v>
      </c>
      <c r="Y687" t="s">
        <v>13208</v>
      </c>
      <c r="Z687" t="s">
        <v>13209</v>
      </c>
      <c r="AA687" t="s">
        <v>13210</v>
      </c>
      <c r="AB687" t="s">
        <v>13211</v>
      </c>
      <c r="AC687" t="s">
        <v>13212</v>
      </c>
      <c r="AD687" t="s">
        <v>13213</v>
      </c>
      <c r="AE687" t="s">
        <v>13214</v>
      </c>
      <c r="AF687" t="s">
        <v>74</v>
      </c>
      <c r="AG687">
        <v>69</v>
      </c>
      <c r="AH687">
        <v>12</v>
      </c>
      <c r="AI687">
        <v>13</v>
      </c>
      <c r="AJ687">
        <v>3</v>
      </c>
      <c r="AK687">
        <v>47</v>
      </c>
      <c r="AL687" t="s">
        <v>123</v>
      </c>
      <c r="AM687" t="s">
        <v>124</v>
      </c>
      <c r="AN687" t="s">
        <v>125</v>
      </c>
      <c r="AO687" t="s">
        <v>13215</v>
      </c>
      <c r="AP687" t="s">
        <v>13216</v>
      </c>
      <c r="AQ687" t="s">
        <v>74</v>
      </c>
      <c r="AR687" t="s">
        <v>13217</v>
      </c>
      <c r="AS687" t="s">
        <v>13218</v>
      </c>
      <c r="AT687" t="s">
        <v>183</v>
      </c>
      <c r="AU687">
        <v>2023</v>
      </c>
      <c r="AV687">
        <v>187</v>
      </c>
      <c r="AW687" t="s">
        <v>74</v>
      </c>
      <c r="AX687" t="s">
        <v>74</v>
      </c>
      <c r="AY687" t="s">
        <v>74</v>
      </c>
      <c r="AZ687" t="s">
        <v>74</v>
      </c>
      <c r="BA687" t="s">
        <v>74</v>
      </c>
      <c r="BB687" t="s">
        <v>74</v>
      </c>
      <c r="BC687" t="s">
        <v>74</v>
      </c>
      <c r="BD687">
        <v>103645</v>
      </c>
      <c r="BE687" t="s">
        <v>13219</v>
      </c>
      <c r="BF687" t="str">
        <f>HYPERLINK("http://dx.doi.org/10.1016/j.aquabot.2023.103645","http://dx.doi.org/10.1016/j.aquabot.2023.103645")</f>
        <v>http://dx.doi.org/10.1016/j.aquabot.2023.103645</v>
      </c>
      <c r="BG687" t="s">
        <v>74</v>
      </c>
      <c r="BH687" t="s">
        <v>13220</v>
      </c>
      <c r="BI687">
        <v>10</v>
      </c>
      <c r="BJ687" t="s">
        <v>13221</v>
      </c>
      <c r="BK687" t="s">
        <v>102</v>
      </c>
      <c r="BL687" t="s">
        <v>13221</v>
      </c>
      <c r="BM687" t="s">
        <v>13222</v>
      </c>
      <c r="BN687" t="s">
        <v>74</v>
      </c>
      <c r="BO687" t="s">
        <v>2296</v>
      </c>
      <c r="BP687" t="s">
        <v>74</v>
      </c>
      <c r="BQ687" t="s">
        <v>74</v>
      </c>
      <c r="BR687" t="s">
        <v>106</v>
      </c>
      <c r="BS687" t="s">
        <v>13223</v>
      </c>
      <c r="BT687" t="str">
        <f>HYPERLINK("https%3A%2F%2Fwww.webofscience.com%2Fwos%2Fwoscc%2Ffull-record%2FWOS:000969018100001","View Full Record in Web of Science")</f>
        <v>View Full Record in Web of Science</v>
      </c>
    </row>
    <row r="688" spans="1:72" x14ac:dyDescent="0.2">
      <c r="A688" t="s">
        <v>72</v>
      </c>
      <c r="B688" t="s">
        <v>13224</v>
      </c>
      <c r="C688" t="s">
        <v>74</v>
      </c>
      <c r="D688" t="s">
        <v>74</v>
      </c>
      <c r="E688" t="s">
        <v>74</v>
      </c>
      <c r="F688" t="s">
        <v>13225</v>
      </c>
      <c r="G688" t="s">
        <v>74</v>
      </c>
      <c r="H688" t="s">
        <v>74</v>
      </c>
      <c r="I688" t="s">
        <v>13226</v>
      </c>
      <c r="J688" t="s">
        <v>2749</v>
      </c>
      <c r="K688" t="s">
        <v>74</v>
      </c>
      <c r="L688" t="s">
        <v>74</v>
      </c>
      <c r="M688" t="s">
        <v>78</v>
      </c>
      <c r="N688" t="s">
        <v>79</v>
      </c>
      <c r="O688" t="s">
        <v>74</v>
      </c>
      <c r="P688" t="s">
        <v>74</v>
      </c>
      <c r="Q688" t="s">
        <v>74</v>
      </c>
      <c r="R688" t="s">
        <v>74</v>
      </c>
      <c r="S688" t="s">
        <v>74</v>
      </c>
      <c r="T688" t="s">
        <v>13227</v>
      </c>
      <c r="U688" t="s">
        <v>13228</v>
      </c>
      <c r="V688" t="s">
        <v>13229</v>
      </c>
      <c r="W688" t="s">
        <v>13230</v>
      </c>
      <c r="X688" t="s">
        <v>13231</v>
      </c>
      <c r="Y688" t="s">
        <v>13232</v>
      </c>
      <c r="Z688" t="s">
        <v>13233</v>
      </c>
      <c r="AA688" t="s">
        <v>13234</v>
      </c>
      <c r="AB688" t="s">
        <v>13235</v>
      </c>
      <c r="AC688" t="s">
        <v>13236</v>
      </c>
      <c r="AD688" t="s">
        <v>13237</v>
      </c>
      <c r="AE688" t="s">
        <v>13238</v>
      </c>
      <c r="AF688" t="s">
        <v>74</v>
      </c>
      <c r="AG688">
        <v>30</v>
      </c>
      <c r="AH688">
        <v>54</v>
      </c>
      <c r="AI688">
        <v>57</v>
      </c>
      <c r="AJ688">
        <v>1</v>
      </c>
      <c r="AK688">
        <v>36</v>
      </c>
      <c r="AL688" t="s">
        <v>2762</v>
      </c>
      <c r="AM688" t="s">
        <v>2763</v>
      </c>
      <c r="AN688" t="s">
        <v>2764</v>
      </c>
      <c r="AO688" t="s">
        <v>2765</v>
      </c>
      <c r="AP688" t="s">
        <v>2766</v>
      </c>
      <c r="AQ688" t="s">
        <v>74</v>
      </c>
      <c r="AR688" t="s">
        <v>2767</v>
      </c>
      <c r="AS688" t="s">
        <v>2768</v>
      </c>
      <c r="AT688" t="s">
        <v>636</v>
      </c>
      <c r="AU688">
        <v>2019</v>
      </c>
      <c r="AV688">
        <v>39</v>
      </c>
      <c r="AW688">
        <v>2</v>
      </c>
      <c r="AX688" t="s">
        <v>74</v>
      </c>
      <c r="AY688" t="s">
        <v>74</v>
      </c>
      <c r="AZ688" t="s">
        <v>74</v>
      </c>
      <c r="BA688" t="s">
        <v>74</v>
      </c>
      <c r="BB688" t="s">
        <v>74</v>
      </c>
      <c r="BC688" t="s">
        <v>74</v>
      </c>
      <c r="BD688">
        <v>17</v>
      </c>
      <c r="BE688" t="s">
        <v>13239</v>
      </c>
      <c r="BF688" t="str">
        <f>HYPERLINK("http://dx.doi.org/10.1007/s13593-019-0563-5","http://dx.doi.org/10.1007/s13593-019-0563-5")</f>
        <v>http://dx.doi.org/10.1007/s13593-019-0563-5</v>
      </c>
      <c r="BG688" t="s">
        <v>74</v>
      </c>
      <c r="BH688" t="s">
        <v>74</v>
      </c>
      <c r="BI688">
        <v>13</v>
      </c>
      <c r="BJ688" t="s">
        <v>2770</v>
      </c>
      <c r="BK688" t="s">
        <v>186</v>
      </c>
      <c r="BL688" t="s">
        <v>1847</v>
      </c>
      <c r="BM688" t="s">
        <v>13240</v>
      </c>
      <c r="BN688" t="s">
        <v>74</v>
      </c>
      <c r="BO688" t="s">
        <v>541</v>
      </c>
      <c r="BP688" t="s">
        <v>74</v>
      </c>
      <c r="BQ688" t="s">
        <v>74</v>
      </c>
      <c r="BR688" t="s">
        <v>106</v>
      </c>
      <c r="BS688" t="s">
        <v>13241</v>
      </c>
      <c r="BT688" t="str">
        <f>HYPERLINK("https%3A%2F%2Fwww.webofscience.com%2Fwos%2Fwoscc%2Ffull-record%2FWOS:000460505300002","View Full Record in Web of Science")</f>
        <v>View Full Record in Web of Science</v>
      </c>
    </row>
    <row r="689" spans="1:72" x14ac:dyDescent="0.2">
      <c r="A689" t="s">
        <v>72</v>
      </c>
      <c r="B689" t="s">
        <v>13242</v>
      </c>
      <c r="C689" t="s">
        <v>74</v>
      </c>
      <c r="D689" t="s">
        <v>74</v>
      </c>
      <c r="E689" t="s">
        <v>74</v>
      </c>
      <c r="F689" t="s">
        <v>13243</v>
      </c>
      <c r="G689" t="s">
        <v>74</v>
      </c>
      <c r="H689" t="s">
        <v>74</v>
      </c>
      <c r="I689" t="s">
        <v>13244</v>
      </c>
      <c r="J689" t="s">
        <v>1451</v>
      </c>
      <c r="K689" t="s">
        <v>74</v>
      </c>
      <c r="L689" t="s">
        <v>74</v>
      </c>
      <c r="M689" t="s">
        <v>78</v>
      </c>
      <c r="N689" t="s">
        <v>79</v>
      </c>
      <c r="O689" t="s">
        <v>74</v>
      </c>
      <c r="P689" t="s">
        <v>74</v>
      </c>
      <c r="Q689" t="s">
        <v>74</v>
      </c>
      <c r="R689" t="s">
        <v>74</v>
      </c>
      <c r="S689" t="s">
        <v>74</v>
      </c>
      <c r="T689" t="s">
        <v>13245</v>
      </c>
      <c r="U689" t="s">
        <v>13246</v>
      </c>
      <c r="V689" t="s">
        <v>13247</v>
      </c>
      <c r="W689" t="s">
        <v>13248</v>
      </c>
      <c r="X689" t="s">
        <v>13249</v>
      </c>
      <c r="Y689" t="s">
        <v>13250</v>
      </c>
      <c r="Z689" t="s">
        <v>13251</v>
      </c>
      <c r="AA689" t="s">
        <v>13252</v>
      </c>
      <c r="AB689" t="s">
        <v>13253</v>
      </c>
      <c r="AC689" t="s">
        <v>74</v>
      </c>
      <c r="AD689" t="s">
        <v>74</v>
      </c>
      <c r="AE689" t="s">
        <v>74</v>
      </c>
      <c r="AF689" t="s">
        <v>74</v>
      </c>
      <c r="AG689">
        <v>41</v>
      </c>
      <c r="AH689">
        <v>34</v>
      </c>
      <c r="AI689">
        <v>37</v>
      </c>
      <c r="AJ689">
        <v>4</v>
      </c>
      <c r="AK689">
        <v>134</v>
      </c>
      <c r="AL689" t="s">
        <v>123</v>
      </c>
      <c r="AM689" t="s">
        <v>124</v>
      </c>
      <c r="AN689" t="s">
        <v>125</v>
      </c>
      <c r="AO689" t="s">
        <v>1464</v>
      </c>
      <c r="AP689" t="s">
        <v>1465</v>
      </c>
      <c r="AQ689" t="s">
        <v>74</v>
      </c>
      <c r="AR689" t="s">
        <v>1466</v>
      </c>
      <c r="AS689" t="s">
        <v>1467</v>
      </c>
      <c r="AT689" t="s">
        <v>3199</v>
      </c>
      <c r="AU689">
        <v>2014</v>
      </c>
      <c r="AV689">
        <v>189</v>
      </c>
      <c r="AW689" t="s">
        <v>74</v>
      </c>
      <c r="AX689" t="s">
        <v>74</v>
      </c>
      <c r="AY689" t="s">
        <v>74</v>
      </c>
      <c r="AZ689" t="s">
        <v>74</v>
      </c>
      <c r="BA689" t="s">
        <v>74</v>
      </c>
      <c r="BB689">
        <v>36</v>
      </c>
      <c r="BC689">
        <v>42</v>
      </c>
      <c r="BD689" t="s">
        <v>74</v>
      </c>
      <c r="BE689" t="s">
        <v>13254</v>
      </c>
      <c r="BF689" t="str">
        <f>HYPERLINK("http://dx.doi.org/10.1016/j.agee.2014.03.019","http://dx.doi.org/10.1016/j.agee.2014.03.019")</f>
        <v>http://dx.doi.org/10.1016/j.agee.2014.03.019</v>
      </c>
      <c r="BG689" t="s">
        <v>74</v>
      </c>
      <c r="BH689" t="s">
        <v>74</v>
      </c>
      <c r="BI689">
        <v>7</v>
      </c>
      <c r="BJ689" t="s">
        <v>1470</v>
      </c>
      <c r="BK689" t="s">
        <v>102</v>
      </c>
      <c r="BL689" t="s">
        <v>1471</v>
      </c>
      <c r="BM689" t="s">
        <v>13255</v>
      </c>
      <c r="BN689" t="s">
        <v>74</v>
      </c>
      <c r="BO689" t="s">
        <v>74</v>
      </c>
      <c r="BP689" t="s">
        <v>74</v>
      </c>
      <c r="BQ689" t="s">
        <v>74</v>
      </c>
      <c r="BR689" t="s">
        <v>106</v>
      </c>
      <c r="BS689" t="s">
        <v>13256</v>
      </c>
      <c r="BT689" t="str">
        <f>HYPERLINK("https%3A%2F%2Fwww.webofscience.com%2Fwos%2Fwoscc%2Ffull-record%2FWOS:000336821200005","View Full Record in Web of Science")</f>
        <v>View Full Record in Web of Science</v>
      </c>
    </row>
    <row r="690" spans="1:72" x14ac:dyDescent="0.2">
      <c r="A690" t="s">
        <v>72</v>
      </c>
      <c r="B690" t="s">
        <v>13257</v>
      </c>
      <c r="C690" t="s">
        <v>74</v>
      </c>
      <c r="D690" t="s">
        <v>74</v>
      </c>
      <c r="E690" t="s">
        <v>74</v>
      </c>
      <c r="F690" t="s">
        <v>13258</v>
      </c>
      <c r="G690" t="s">
        <v>74</v>
      </c>
      <c r="H690" t="s">
        <v>74</v>
      </c>
      <c r="I690" t="s">
        <v>13259</v>
      </c>
      <c r="J690" t="s">
        <v>9247</v>
      </c>
      <c r="K690" t="s">
        <v>74</v>
      </c>
      <c r="L690" t="s">
        <v>74</v>
      </c>
      <c r="M690" t="s">
        <v>78</v>
      </c>
      <c r="N690" t="s">
        <v>79</v>
      </c>
      <c r="O690" t="s">
        <v>74</v>
      </c>
      <c r="P690" t="s">
        <v>74</v>
      </c>
      <c r="Q690" t="s">
        <v>74</v>
      </c>
      <c r="R690" t="s">
        <v>74</v>
      </c>
      <c r="S690" t="s">
        <v>74</v>
      </c>
      <c r="T690" t="s">
        <v>13260</v>
      </c>
      <c r="U690" t="s">
        <v>13261</v>
      </c>
      <c r="V690" t="s">
        <v>13262</v>
      </c>
      <c r="W690" t="s">
        <v>13263</v>
      </c>
      <c r="X690" t="s">
        <v>13264</v>
      </c>
      <c r="Y690" t="s">
        <v>13265</v>
      </c>
      <c r="Z690" t="s">
        <v>13266</v>
      </c>
      <c r="AA690" t="s">
        <v>13267</v>
      </c>
      <c r="AB690" t="s">
        <v>74</v>
      </c>
      <c r="AC690" t="s">
        <v>13268</v>
      </c>
      <c r="AD690" t="s">
        <v>1591</v>
      </c>
      <c r="AE690" t="s">
        <v>13269</v>
      </c>
      <c r="AF690" t="s">
        <v>74</v>
      </c>
      <c r="AG690">
        <v>77</v>
      </c>
      <c r="AH690">
        <v>27</v>
      </c>
      <c r="AI690">
        <v>28</v>
      </c>
      <c r="AJ690">
        <v>30</v>
      </c>
      <c r="AK690">
        <v>88</v>
      </c>
      <c r="AL690" t="s">
        <v>123</v>
      </c>
      <c r="AM690" t="s">
        <v>124</v>
      </c>
      <c r="AN690" t="s">
        <v>125</v>
      </c>
      <c r="AO690" t="s">
        <v>9258</v>
      </c>
      <c r="AP690" t="s">
        <v>9259</v>
      </c>
      <c r="AQ690" t="s">
        <v>74</v>
      </c>
      <c r="AR690" t="s">
        <v>9260</v>
      </c>
      <c r="AS690" t="s">
        <v>9261</v>
      </c>
      <c r="AT690" t="s">
        <v>3405</v>
      </c>
      <c r="AU690">
        <v>2024</v>
      </c>
      <c r="AV690">
        <v>219</v>
      </c>
      <c r="AW690" t="s">
        <v>74</v>
      </c>
      <c r="AX690" t="s">
        <v>74</v>
      </c>
      <c r="AY690" t="s">
        <v>74</v>
      </c>
      <c r="AZ690" t="s">
        <v>74</v>
      </c>
      <c r="BA690" t="s">
        <v>74</v>
      </c>
      <c r="BB690" t="s">
        <v>74</v>
      </c>
      <c r="BC690" t="s">
        <v>74</v>
      </c>
      <c r="BD690">
        <v>119026</v>
      </c>
      <c r="BE690" t="s">
        <v>13270</v>
      </c>
      <c r="BF690" t="str">
        <f>HYPERLINK("http://dx.doi.org/10.1016/j.indcrop.2024.119026","http://dx.doi.org/10.1016/j.indcrop.2024.119026")</f>
        <v>http://dx.doi.org/10.1016/j.indcrop.2024.119026</v>
      </c>
      <c r="BG690" t="s">
        <v>74</v>
      </c>
      <c r="BH690" t="s">
        <v>4174</v>
      </c>
      <c r="BI690">
        <v>10</v>
      </c>
      <c r="BJ690" t="s">
        <v>7774</v>
      </c>
      <c r="BK690" t="s">
        <v>102</v>
      </c>
      <c r="BL690" t="s">
        <v>103</v>
      </c>
      <c r="BM690" t="s">
        <v>13271</v>
      </c>
      <c r="BN690" t="s">
        <v>74</v>
      </c>
      <c r="BO690" t="s">
        <v>74</v>
      </c>
      <c r="BP690" t="s">
        <v>74</v>
      </c>
      <c r="BQ690" t="s">
        <v>74</v>
      </c>
      <c r="BR690" t="s">
        <v>106</v>
      </c>
      <c r="BS690" t="s">
        <v>13272</v>
      </c>
      <c r="BT690" t="str">
        <f>HYPERLINK("https%3A%2F%2Fwww.webofscience.com%2Fwos%2Fwoscc%2Ffull-record%2FWOS:001264162400001","View Full Record in Web of Science")</f>
        <v>View Full Record in Web of Science</v>
      </c>
    </row>
    <row r="691" spans="1:72" x14ac:dyDescent="0.2">
      <c r="A691" t="s">
        <v>72</v>
      </c>
      <c r="B691" t="s">
        <v>13273</v>
      </c>
      <c r="C691" t="s">
        <v>74</v>
      </c>
      <c r="D691" t="s">
        <v>74</v>
      </c>
      <c r="E691" t="s">
        <v>74</v>
      </c>
      <c r="F691" t="s">
        <v>13274</v>
      </c>
      <c r="G691" t="s">
        <v>74</v>
      </c>
      <c r="H691" t="s">
        <v>74</v>
      </c>
      <c r="I691" t="s">
        <v>13275</v>
      </c>
      <c r="J691" t="s">
        <v>13276</v>
      </c>
      <c r="K691" t="s">
        <v>74</v>
      </c>
      <c r="L691" t="s">
        <v>74</v>
      </c>
      <c r="M691" t="s">
        <v>78</v>
      </c>
      <c r="N691" t="s">
        <v>79</v>
      </c>
      <c r="O691" t="s">
        <v>74</v>
      </c>
      <c r="P691" t="s">
        <v>74</v>
      </c>
      <c r="Q691" t="s">
        <v>74</v>
      </c>
      <c r="R691" t="s">
        <v>74</v>
      </c>
      <c r="S691" t="s">
        <v>74</v>
      </c>
      <c r="T691" t="s">
        <v>13277</v>
      </c>
      <c r="U691" t="s">
        <v>13278</v>
      </c>
      <c r="V691" t="s">
        <v>13279</v>
      </c>
      <c r="W691" t="s">
        <v>13280</v>
      </c>
      <c r="X691" t="s">
        <v>13281</v>
      </c>
      <c r="Y691" t="s">
        <v>13282</v>
      </c>
      <c r="Z691" t="s">
        <v>13283</v>
      </c>
      <c r="AA691" t="s">
        <v>13284</v>
      </c>
      <c r="AB691" t="s">
        <v>13285</v>
      </c>
      <c r="AC691" t="s">
        <v>13286</v>
      </c>
      <c r="AD691" t="s">
        <v>13287</v>
      </c>
      <c r="AE691" t="s">
        <v>13288</v>
      </c>
      <c r="AF691" t="s">
        <v>74</v>
      </c>
      <c r="AG691">
        <v>43</v>
      </c>
      <c r="AH691">
        <v>63</v>
      </c>
      <c r="AI691">
        <v>69</v>
      </c>
      <c r="AJ691">
        <v>2</v>
      </c>
      <c r="AK691">
        <v>19</v>
      </c>
      <c r="AL691" t="s">
        <v>1631</v>
      </c>
      <c r="AM691" t="s">
        <v>776</v>
      </c>
      <c r="AN691" t="s">
        <v>777</v>
      </c>
      <c r="AO691" t="s">
        <v>13289</v>
      </c>
      <c r="AP691" t="s">
        <v>74</v>
      </c>
      <c r="AQ691" t="s">
        <v>74</v>
      </c>
      <c r="AR691" t="s">
        <v>13290</v>
      </c>
      <c r="AS691" t="s">
        <v>13291</v>
      </c>
      <c r="AT691" t="s">
        <v>960</v>
      </c>
      <c r="AU691">
        <v>2019</v>
      </c>
      <c r="AV691">
        <v>1</v>
      </c>
      <c r="AW691">
        <v>1</v>
      </c>
      <c r="AX691" t="s">
        <v>74</v>
      </c>
      <c r="AY691" t="s">
        <v>74</v>
      </c>
      <c r="AZ691" t="s">
        <v>74</v>
      </c>
      <c r="BA691" t="s">
        <v>74</v>
      </c>
      <c r="BB691" t="s">
        <v>74</v>
      </c>
      <c r="BC691" t="s">
        <v>74</v>
      </c>
      <c r="BD691">
        <v>11007</v>
      </c>
      <c r="BE691" t="s">
        <v>13292</v>
      </c>
      <c r="BF691" t="str">
        <f>HYPERLINK("http://dx.doi.org/10.1088/2515-7620/ab056c","http://dx.doi.org/10.1088/2515-7620/ab056c")</f>
        <v>http://dx.doi.org/10.1088/2515-7620/ab056c</v>
      </c>
      <c r="BG691" t="s">
        <v>74</v>
      </c>
      <c r="BH691" t="s">
        <v>74</v>
      </c>
      <c r="BI691">
        <v>13</v>
      </c>
      <c r="BJ691" t="s">
        <v>567</v>
      </c>
      <c r="BK691" t="s">
        <v>102</v>
      </c>
      <c r="BL691" t="s">
        <v>568</v>
      </c>
      <c r="BM691" t="s">
        <v>13293</v>
      </c>
      <c r="BN691" t="s">
        <v>74</v>
      </c>
      <c r="BO691" t="s">
        <v>231</v>
      </c>
      <c r="BP691" t="s">
        <v>74</v>
      </c>
      <c r="BQ691" t="s">
        <v>74</v>
      </c>
      <c r="BR691" t="s">
        <v>106</v>
      </c>
      <c r="BS691" t="s">
        <v>13294</v>
      </c>
      <c r="BT691" t="str">
        <f>HYPERLINK("https%3A%2F%2Fwww.webofscience.com%2Fwos%2Fwoscc%2Ffull-record%2FWOS:000561420900001","View Full Record in Web of Science")</f>
        <v>View Full Record in Web of Science</v>
      </c>
    </row>
    <row r="692" spans="1:72" x14ac:dyDescent="0.2">
      <c r="A692" t="s">
        <v>72</v>
      </c>
      <c r="B692" t="s">
        <v>13295</v>
      </c>
      <c r="C692" t="s">
        <v>74</v>
      </c>
      <c r="D692" t="s">
        <v>74</v>
      </c>
      <c r="E692" t="s">
        <v>74</v>
      </c>
      <c r="F692" t="s">
        <v>13296</v>
      </c>
      <c r="G692" t="s">
        <v>74</v>
      </c>
      <c r="H692" t="s">
        <v>74</v>
      </c>
      <c r="I692" t="s">
        <v>13297</v>
      </c>
      <c r="J692" t="s">
        <v>13298</v>
      </c>
      <c r="K692" t="s">
        <v>74</v>
      </c>
      <c r="L692" t="s">
        <v>74</v>
      </c>
      <c r="M692" t="s">
        <v>78</v>
      </c>
      <c r="N692" t="s">
        <v>79</v>
      </c>
      <c r="O692" t="s">
        <v>74</v>
      </c>
      <c r="P692" t="s">
        <v>74</v>
      </c>
      <c r="Q692" t="s">
        <v>74</v>
      </c>
      <c r="R692" t="s">
        <v>74</v>
      </c>
      <c r="S692" t="s">
        <v>74</v>
      </c>
      <c r="T692" t="s">
        <v>74</v>
      </c>
      <c r="U692" t="s">
        <v>13299</v>
      </c>
      <c r="V692" t="s">
        <v>13300</v>
      </c>
      <c r="W692" t="s">
        <v>13301</v>
      </c>
      <c r="X692" t="s">
        <v>13302</v>
      </c>
      <c r="Y692" t="s">
        <v>13303</v>
      </c>
      <c r="Z692" t="s">
        <v>13304</v>
      </c>
      <c r="AA692" t="s">
        <v>13305</v>
      </c>
      <c r="AB692" t="s">
        <v>74</v>
      </c>
      <c r="AC692" t="s">
        <v>13306</v>
      </c>
      <c r="AD692" t="s">
        <v>13307</v>
      </c>
      <c r="AE692" t="s">
        <v>13308</v>
      </c>
      <c r="AF692" t="s">
        <v>74</v>
      </c>
      <c r="AG692">
        <v>61</v>
      </c>
      <c r="AH692">
        <v>0</v>
      </c>
      <c r="AI692">
        <v>0</v>
      </c>
      <c r="AJ692">
        <v>2</v>
      </c>
      <c r="AK692">
        <v>2</v>
      </c>
      <c r="AL692" t="s">
        <v>7324</v>
      </c>
      <c r="AM692" t="s">
        <v>1996</v>
      </c>
      <c r="AN692" t="s">
        <v>7325</v>
      </c>
      <c r="AO692" t="s">
        <v>13309</v>
      </c>
      <c r="AP692" t="s">
        <v>13310</v>
      </c>
      <c r="AQ692" t="s">
        <v>74</v>
      </c>
      <c r="AR692" t="s">
        <v>13311</v>
      </c>
      <c r="AS692" t="s">
        <v>13312</v>
      </c>
      <c r="AT692" t="s">
        <v>13313</v>
      </c>
      <c r="AU692">
        <v>2025</v>
      </c>
      <c r="AV692">
        <v>12</v>
      </c>
      <c r="AW692">
        <v>11</v>
      </c>
      <c r="AX692" t="s">
        <v>74</v>
      </c>
      <c r="AY692" t="s">
        <v>74</v>
      </c>
      <c r="AZ692" t="s">
        <v>74</v>
      </c>
      <c r="BA692" t="s">
        <v>74</v>
      </c>
      <c r="BB692">
        <v>5023</v>
      </c>
      <c r="BC692">
        <v>5035</v>
      </c>
      <c r="BD692" t="s">
        <v>74</v>
      </c>
      <c r="BE692" t="s">
        <v>13314</v>
      </c>
      <c r="BF692" t="str">
        <f>HYPERLINK("http://dx.doi.org/10.1039/d5en00594a","http://dx.doi.org/10.1039/d5en00594a")</f>
        <v>http://dx.doi.org/10.1039/d5en00594a</v>
      </c>
      <c r="BG692" t="s">
        <v>74</v>
      </c>
      <c r="BH692" t="s">
        <v>2319</v>
      </c>
      <c r="BI692">
        <v>13</v>
      </c>
      <c r="BJ692" t="s">
        <v>13315</v>
      </c>
      <c r="BK692" t="s">
        <v>102</v>
      </c>
      <c r="BL692" t="s">
        <v>13316</v>
      </c>
      <c r="BM692" t="s">
        <v>13317</v>
      </c>
      <c r="BN692" t="s">
        <v>74</v>
      </c>
      <c r="BO692" t="s">
        <v>74</v>
      </c>
      <c r="BP692" t="s">
        <v>74</v>
      </c>
      <c r="BQ692" t="s">
        <v>74</v>
      </c>
      <c r="BR692" t="s">
        <v>106</v>
      </c>
      <c r="BS692" t="s">
        <v>13318</v>
      </c>
      <c r="BT692" t="str">
        <f>HYPERLINK("https%3A%2F%2Fwww.webofscience.com%2Fwos%2Fwoscc%2Ffull-record%2FWOS:001588861600001","View Full Record in Web of Science")</f>
        <v>View Full Record in Web of Science</v>
      </c>
    </row>
    <row r="693" spans="1:72" x14ac:dyDescent="0.2">
      <c r="A693" t="s">
        <v>72</v>
      </c>
      <c r="B693" t="s">
        <v>13319</v>
      </c>
      <c r="C693" t="s">
        <v>74</v>
      </c>
      <c r="D693" t="s">
        <v>74</v>
      </c>
      <c r="E693" t="s">
        <v>74</v>
      </c>
      <c r="F693" t="s">
        <v>13320</v>
      </c>
      <c r="G693" t="s">
        <v>74</v>
      </c>
      <c r="H693" t="s">
        <v>74</v>
      </c>
      <c r="I693" t="s">
        <v>13321</v>
      </c>
      <c r="J693" t="s">
        <v>970</v>
      </c>
      <c r="K693" t="s">
        <v>74</v>
      </c>
      <c r="L693" t="s">
        <v>74</v>
      </c>
      <c r="M693" t="s">
        <v>78</v>
      </c>
      <c r="N693" t="s">
        <v>79</v>
      </c>
      <c r="O693" t="s">
        <v>74</v>
      </c>
      <c r="P693" t="s">
        <v>74</v>
      </c>
      <c r="Q693" t="s">
        <v>74</v>
      </c>
      <c r="R693" t="s">
        <v>74</v>
      </c>
      <c r="S693" t="s">
        <v>74</v>
      </c>
      <c r="T693" t="s">
        <v>13322</v>
      </c>
      <c r="U693" t="s">
        <v>13323</v>
      </c>
      <c r="V693" t="s">
        <v>13324</v>
      </c>
      <c r="W693" t="s">
        <v>13325</v>
      </c>
      <c r="X693" t="s">
        <v>9663</v>
      </c>
      <c r="Y693" t="s">
        <v>13326</v>
      </c>
      <c r="Z693" t="s">
        <v>13327</v>
      </c>
      <c r="AA693" t="s">
        <v>74</v>
      </c>
      <c r="AB693" t="s">
        <v>74</v>
      </c>
      <c r="AC693" t="s">
        <v>74</v>
      </c>
      <c r="AD693" t="s">
        <v>74</v>
      </c>
      <c r="AE693" t="s">
        <v>74</v>
      </c>
      <c r="AF693" t="s">
        <v>74</v>
      </c>
      <c r="AG693">
        <v>24</v>
      </c>
      <c r="AH693">
        <v>8</v>
      </c>
      <c r="AI693">
        <v>9</v>
      </c>
      <c r="AJ693">
        <v>1</v>
      </c>
      <c r="AK693">
        <v>35</v>
      </c>
      <c r="AL693" t="s">
        <v>2162</v>
      </c>
      <c r="AM693" t="s">
        <v>124</v>
      </c>
      <c r="AN693" t="s">
        <v>2163</v>
      </c>
      <c r="AO693" t="s">
        <v>983</v>
      </c>
      <c r="AP693" t="s">
        <v>984</v>
      </c>
      <c r="AQ693" t="s">
        <v>74</v>
      </c>
      <c r="AR693" t="s">
        <v>985</v>
      </c>
      <c r="AS693" t="s">
        <v>986</v>
      </c>
      <c r="AT693" t="s">
        <v>227</v>
      </c>
      <c r="AU693">
        <v>2014</v>
      </c>
      <c r="AV693">
        <v>38</v>
      </c>
      <c r="AW693" t="s">
        <v>74</v>
      </c>
      <c r="AX693" t="s">
        <v>74</v>
      </c>
      <c r="AY693" t="s">
        <v>74</v>
      </c>
      <c r="AZ693" t="s">
        <v>74</v>
      </c>
      <c r="BA693" t="s">
        <v>74</v>
      </c>
      <c r="BB693">
        <v>90</v>
      </c>
      <c r="BC693">
        <v>96</v>
      </c>
      <c r="BD693" t="s">
        <v>74</v>
      </c>
      <c r="BE693" t="s">
        <v>13328</v>
      </c>
      <c r="BF693" t="str">
        <f>HYPERLINK("http://dx.doi.org/10.1016/j.forpol.2013.06.014","http://dx.doi.org/10.1016/j.forpol.2013.06.014")</f>
        <v>http://dx.doi.org/10.1016/j.forpol.2013.06.014</v>
      </c>
      <c r="BG693" t="s">
        <v>74</v>
      </c>
      <c r="BH693" t="s">
        <v>74</v>
      </c>
      <c r="BI693">
        <v>7</v>
      </c>
      <c r="BJ693" t="s">
        <v>988</v>
      </c>
      <c r="BK693" t="s">
        <v>102</v>
      </c>
      <c r="BL693" t="s">
        <v>989</v>
      </c>
      <c r="BM693" t="s">
        <v>13329</v>
      </c>
      <c r="BN693" t="s">
        <v>74</v>
      </c>
      <c r="BO693" t="s">
        <v>74</v>
      </c>
      <c r="BP693" t="s">
        <v>74</v>
      </c>
      <c r="BQ693" t="s">
        <v>74</v>
      </c>
      <c r="BR693" t="s">
        <v>106</v>
      </c>
      <c r="BS693" t="s">
        <v>13330</v>
      </c>
      <c r="BT693" t="str">
        <f>HYPERLINK("https%3A%2F%2Fwww.webofscience.com%2Fwos%2Fwoscc%2Ffull-record%2FWOS:000330819400012","View Full Record in Web of Science")</f>
        <v>View Full Record in Web of Science</v>
      </c>
    </row>
    <row r="694" spans="1:72" x14ac:dyDescent="0.2">
      <c r="A694" t="s">
        <v>72</v>
      </c>
      <c r="B694" t="s">
        <v>13331</v>
      </c>
      <c r="C694" t="s">
        <v>74</v>
      </c>
      <c r="D694" t="s">
        <v>74</v>
      </c>
      <c r="E694" t="s">
        <v>74</v>
      </c>
      <c r="F694" t="s">
        <v>13332</v>
      </c>
      <c r="G694" t="s">
        <v>74</v>
      </c>
      <c r="H694" t="s">
        <v>74</v>
      </c>
      <c r="I694" t="s">
        <v>13333</v>
      </c>
      <c r="J694" t="s">
        <v>13334</v>
      </c>
      <c r="K694" t="s">
        <v>74</v>
      </c>
      <c r="L694" t="s">
        <v>74</v>
      </c>
      <c r="M694" t="s">
        <v>13335</v>
      </c>
      <c r="N694" t="s">
        <v>79</v>
      </c>
      <c r="O694" t="s">
        <v>74</v>
      </c>
      <c r="P694" t="s">
        <v>74</v>
      </c>
      <c r="Q694" t="s">
        <v>74</v>
      </c>
      <c r="R694" t="s">
        <v>74</v>
      </c>
      <c r="S694" t="s">
        <v>74</v>
      </c>
      <c r="T694" t="s">
        <v>13336</v>
      </c>
      <c r="U694" t="s">
        <v>13337</v>
      </c>
      <c r="V694" t="s">
        <v>13338</v>
      </c>
      <c r="W694" t="s">
        <v>13339</v>
      </c>
      <c r="X694" t="s">
        <v>13340</v>
      </c>
      <c r="Y694" t="s">
        <v>13341</v>
      </c>
      <c r="Z694" t="s">
        <v>13342</v>
      </c>
      <c r="AA694" t="s">
        <v>13343</v>
      </c>
      <c r="AB694" t="s">
        <v>13344</v>
      </c>
      <c r="AC694" t="s">
        <v>74</v>
      </c>
      <c r="AD694" t="s">
        <v>74</v>
      </c>
      <c r="AE694" t="s">
        <v>74</v>
      </c>
      <c r="AF694" t="s">
        <v>74</v>
      </c>
      <c r="AG694">
        <v>82</v>
      </c>
      <c r="AH694">
        <v>13</v>
      </c>
      <c r="AI694">
        <v>20</v>
      </c>
      <c r="AJ694">
        <v>0</v>
      </c>
      <c r="AK694">
        <v>20</v>
      </c>
      <c r="AL694" t="s">
        <v>13334</v>
      </c>
      <c r="AM694" t="s">
        <v>13345</v>
      </c>
      <c r="AN694" t="s">
        <v>13346</v>
      </c>
      <c r="AO694" t="s">
        <v>74</v>
      </c>
      <c r="AP694" t="s">
        <v>13347</v>
      </c>
      <c r="AQ694" t="s">
        <v>74</v>
      </c>
      <c r="AR694" t="s">
        <v>13348</v>
      </c>
      <c r="AS694" t="s">
        <v>13349</v>
      </c>
      <c r="AT694" t="s">
        <v>99</v>
      </c>
      <c r="AU694">
        <v>2021</v>
      </c>
      <c r="AV694">
        <v>69</v>
      </c>
      <c r="AW694">
        <v>1</v>
      </c>
      <c r="AX694" t="s">
        <v>74</v>
      </c>
      <c r="AY694" t="s">
        <v>74</v>
      </c>
      <c r="AZ694" t="s">
        <v>74</v>
      </c>
      <c r="BA694" t="s">
        <v>74</v>
      </c>
      <c r="BB694">
        <v>352</v>
      </c>
      <c r="BC694">
        <v>368</v>
      </c>
      <c r="BD694" t="s">
        <v>74</v>
      </c>
      <c r="BE694" t="s">
        <v>74</v>
      </c>
      <c r="BF694" t="s">
        <v>74</v>
      </c>
      <c r="BG694" t="s">
        <v>74</v>
      </c>
      <c r="BH694" t="s">
        <v>74</v>
      </c>
      <c r="BI694">
        <v>17</v>
      </c>
      <c r="BJ694" t="s">
        <v>1180</v>
      </c>
      <c r="BK694" t="s">
        <v>102</v>
      </c>
      <c r="BL694" t="s">
        <v>1181</v>
      </c>
      <c r="BM694" t="s">
        <v>13350</v>
      </c>
      <c r="BN694" t="s">
        <v>74</v>
      </c>
      <c r="BO694" t="s">
        <v>74</v>
      </c>
      <c r="BP694" t="s">
        <v>74</v>
      </c>
      <c r="BQ694" t="s">
        <v>74</v>
      </c>
      <c r="BR694" t="s">
        <v>106</v>
      </c>
      <c r="BS694" t="s">
        <v>13351</v>
      </c>
      <c r="BT694" t="str">
        <f>HYPERLINK("https%3A%2F%2Fwww.webofscience.com%2Fwos%2Fwoscc%2Ffull-record%2FWOS:000606834900027","View Full Record in Web of Science")</f>
        <v>View Full Record in Web of Science</v>
      </c>
    </row>
    <row r="695" spans="1:72" x14ac:dyDescent="0.2">
      <c r="A695" t="s">
        <v>72</v>
      </c>
      <c r="B695" t="s">
        <v>13352</v>
      </c>
      <c r="C695" t="s">
        <v>74</v>
      </c>
      <c r="D695" t="s">
        <v>74</v>
      </c>
      <c r="E695" t="s">
        <v>74</v>
      </c>
      <c r="F695" t="s">
        <v>13353</v>
      </c>
      <c r="G695" t="s">
        <v>74</v>
      </c>
      <c r="H695" t="s">
        <v>74</v>
      </c>
      <c r="I695" t="s">
        <v>13354</v>
      </c>
      <c r="J695" t="s">
        <v>13355</v>
      </c>
      <c r="K695" t="s">
        <v>74</v>
      </c>
      <c r="L695" t="s">
        <v>74</v>
      </c>
      <c r="M695" t="s">
        <v>78</v>
      </c>
      <c r="N695" t="s">
        <v>79</v>
      </c>
      <c r="O695" t="s">
        <v>74</v>
      </c>
      <c r="P695" t="s">
        <v>74</v>
      </c>
      <c r="Q695" t="s">
        <v>74</v>
      </c>
      <c r="R695" t="s">
        <v>74</v>
      </c>
      <c r="S695" t="s">
        <v>74</v>
      </c>
      <c r="T695" t="s">
        <v>13356</v>
      </c>
      <c r="U695" t="s">
        <v>13357</v>
      </c>
      <c r="V695" t="s">
        <v>13358</v>
      </c>
      <c r="W695" t="s">
        <v>13359</v>
      </c>
      <c r="X695" t="s">
        <v>13360</v>
      </c>
      <c r="Y695" t="s">
        <v>13361</v>
      </c>
      <c r="Z695" t="s">
        <v>13362</v>
      </c>
      <c r="AA695" t="s">
        <v>13363</v>
      </c>
      <c r="AB695" t="s">
        <v>13364</v>
      </c>
      <c r="AC695" t="s">
        <v>13365</v>
      </c>
      <c r="AD695" t="s">
        <v>13365</v>
      </c>
      <c r="AE695" t="s">
        <v>13366</v>
      </c>
      <c r="AF695" t="s">
        <v>74</v>
      </c>
      <c r="AG695">
        <v>93</v>
      </c>
      <c r="AH695">
        <v>2</v>
      </c>
      <c r="AI695">
        <v>3</v>
      </c>
      <c r="AJ695">
        <v>8</v>
      </c>
      <c r="AK695">
        <v>23</v>
      </c>
      <c r="AL695" t="s">
        <v>13367</v>
      </c>
      <c r="AM695" t="s">
        <v>13368</v>
      </c>
      <c r="AN695" t="s">
        <v>13369</v>
      </c>
      <c r="AO695" t="s">
        <v>13370</v>
      </c>
      <c r="AP695" t="s">
        <v>13371</v>
      </c>
      <c r="AQ695" t="s">
        <v>74</v>
      </c>
      <c r="AR695" t="s">
        <v>13372</v>
      </c>
      <c r="AS695" t="s">
        <v>13373</v>
      </c>
      <c r="AT695" t="s">
        <v>74</v>
      </c>
      <c r="AU695">
        <v>2024</v>
      </c>
      <c r="AV695">
        <v>48</v>
      </c>
      <c r="AW695">
        <v>3</v>
      </c>
      <c r="AX695" t="s">
        <v>74</v>
      </c>
      <c r="AY695" t="s">
        <v>74</v>
      </c>
      <c r="AZ695" t="s">
        <v>74</v>
      </c>
      <c r="BA695" t="s">
        <v>74</v>
      </c>
      <c r="BB695" t="s">
        <v>74</v>
      </c>
      <c r="BC695" t="s">
        <v>74</v>
      </c>
      <c r="BD695" t="s">
        <v>74</v>
      </c>
      <c r="BE695" t="s">
        <v>13374</v>
      </c>
      <c r="BF695" t="str">
        <f>HYPERLINK("http://dx.doi.org/10.55730/1300-011X.3184","http://dx.doi.org/10.55730/1300-011X.3184")</f>
        <v>http://dx.doi.org/10.55730/1300-011X.3184</v>
      </c>
      <c r="BG695" t="s">
        <v>74</v>
      </c>
      <c r="BH695" t="s">
        <v>74</v>
      </c>
      <c r="BI695">
        <v>19</v>
      </c>
      <c r="BJ695" t="s">
        <v>13375</v>
      </c>
      <c r="BK695" t="s">
        <v>102</v>
      </c>
      <c r="BL695" t="s">
        <v>8234</v>
      </c>
      <c r="BM695" t="s">
        <v>13376</v>
      </c>
      <c r="BN695" t="s">
        <v>74</v>
      </c>
      <c r="BO695" t="s">
        <v>916</v>
      </c>
      <c r="BP695" t="s">
        <v>74</v>
      </c>
      <c r="BQ695" t="s">
        <v>74</v>
      </c>
      <c r="BR695" t="s">
        <v>106</v>
      </c>
      <c r="BS695" t="s">
        <v>13377</v>
      </c>
      <c r="BT695" t="str">
        <f>HYPERLINK("https%3A%2F%2Fwww.webofscience.com%2Fwos%2Fwoscc%2Ffull-record%2FWOS:001249988000001","View Full Record in Web of Science")</f>
        <v>View Full Record in Web of Science</v>
      </c>
    </row>
    <row r="696" spans="1:72" x14ac:dyDescent="0.2">
      <c r="A696" t="s">
        <v>72</v>
      </c>
      <c r="B696" t="s">
        <v>13378</v>
      </c>
      <c r="C696" t="s">
        <v>74</v>
      </c>
      <c r="D696" t="s">
        <v>74</v>
      </c>
      <c r="E696" t="s">
        <v>74</v>
      </c>
      <c r="F696" t="s">
        <v>13379</v>
      </c>
      <c r="G696" t="s">
        <v>74</v>
      </c>
      <c r="H696" t="s">
        <v>74</v>
      </c>
      <c r="I696" t="s">
        <v>13380</v>
      </c>
      <c r="J696" t="s">
        <v>13381</v>
      </c>
      <c r="K696" t="s">
        <v>74</v>
      </c>
      <c r="L696" t="s">
        <v>74</v>
      </c>
      <c r="M696" t="s">
        <v>78</v>
      </c>
      <c r="N696" t="s">
        <v>79</v>
      </c>
      <c r="O696" t="s">
        <v>74</v>
      </c>
      <c r="P696" t="s">
        <v>74</v>
      </c>
      <c r="Q696" t="s">
        <v>74</v>
      </c>
      <c r="R696" t="s">
        <v>74</v>
      </c>
      <c r="S696" t="s">
        <v>74</v>
      </c>
      <c r="T696" t="s">
        <v>13382</v>
      </c>
      <c r="U696" t="s">
        <v>13383</v>
      </c>
      <c r="V696" t="s">
        <v>13384</v>
      </c>
      <c r="W696" t="s">
        <v>13385</v>
      </c>
      <c r="X696" t="s">
        <v>13386</v>
      </c>
      <c r="Y696" t="s">
        <v>13387</v>
      </c>
      <c r="Z696" t="s">
        <v>13388</v>
      </c>
      <c r="AA696" t="s">
        <v>74</v>
      </c>
      <c r="AB696" t="s">
        <v>13389</v>
      </c>
      <c r="AC696" t="s">
        <v>13390</v>
      </c>
      <c r="AD696" t="s">
        <v>13391</v>
      </c>
      <c r="AE696" t="s">
        <v>13392</v>
      </c>
      <c r="AF696" t="s">
        <v>74</v>
      </c>
      <c r="AG696">
        <v>39</v>
      </c>
      <c r="AH696">
        <v>17</v>
      </c>
      <c r="AI696">
        <v>17</v>
      </c>
      <c r="AJ696">
        <v>0</v>
      </c>
      <c r="AK696">
        <v>52</v>
      </c>
      <c r="AL696" t="s">
        <v>504</v>
      </c>
      <c r="AM696" t="s">
        <v>676</v>
      </c>
      <c r="AN696" t="s">
        <v>677</v>
      </c>
      <c r="AO696" t="s">
        <v>13393</v>
      </c>
      <c r="AP696" t="s">
        <v>13394</v>
      </c>
      <c r="AQ696" t="s">
        <v>74</v>
      </c>
      <c r="AR696" t="s">
        <v>13395</v>
      </c>
      <c r="AS696" t="s">
        <v>13396</v>
      </c>
      <c r="AT696" t="s">
        <v>1752</v>
      </c>
      <c r="AU696">
        <v>2016</v>
      </c>
      <c r="AV696">
        <v>83</v>
      </c>
      <c r="AW696">
        <v>1</v>
      </c>
      <c r="AX696" t="s">
        <v>74</v>
      </c>
      <c r="AY696" t="s">
        <v>74</v>
      </c>
      <c r="AZ696" t="s">
        <v>74</v>
      </c>
      <c r="BA696" t="s">
        <v>74</v>
      </c>
      <c r="BB696">
        <v>501</v>
      </c>
      <c r="BC696">
        <v>521</v>
      </c>
      <c r="BD696" t="s">
        <v>74</v>
      </c>
      <c r="BE696" t="s">
        <v>13397</v>
      </c>
      <c r="BF696" t="str">
        <f>HYPERLINK("http://dx.doi.org/10.1007/s11069-016-2326-9","http://dx.doi.org/10.1007/s11069-016-2326-9")</f>
        <v>http://dx.doi.org/10.1007/s11069-016-2326-9</v>
      </c>
      <c r="BG696" t="s">
        <v>74</v>
      </c>
      <c r="BH696" t="s">
        <v>74</v>
      </c>
      <c r="BI696">
        <v>21</v>
      </c>
      <c r="BJ696" t="s">
        <v>13398</v>
      </c>
      <c r="BK696" t="s">
        <v>186</v>
      </c>
      <c r="BL696" t="s">
        <v>13399</v>
      </c>
      <c r="BM696" t="s">
        <v>13400</v>
      </c>
      <c r="BN696" t="s">
        <v>74</v>
      </c>
      <c r="BO696" t="s">
        <v>74</v>
      </c>
      <c r="BP696" t="s">
        <v>74</v>
      </c>
      <c r="BQ696" t="s">
        <v>74</v>
      </c>
      <c r="BR696" t="s">
        <v>106</v>
      </c>
      <c r="BS696" t="s">
        <v>13401</v>
      </c>
      <c r="BT696" t="str">
        <f>HYPERLINK("https%3A%2F%2Fwww.webofscience.com%2Fwos%2Fwoscc%2Ffull-record%2FWOS:000379501000025","View Full Record in Web of Science")</f>
        <v>View Full Record in Web of Science</v>
      </c>
    </row>
    <row r="697" spans="1:72" x14ac:dyDescent="0.2">
      <c r="A697" t="s">
        <v>72</v>
      </c>
      <c r="B697" t="s">
        <v>13402</v>
      </c>
      <c r="C697" t="s">
        <v>74</v>
      </c>
      <c r="D697" t="s">
        <v>74</v>
      </c>
      <c r="E697" t="s">
        <v>74</v>
      </c>
      <c r="F697" t="s">
        <v>13403</v>
      </c>
      <c r="G697" t="s">
        <v>74</v>
      </c>
      <c r="H697" t="s">
        <v>74</v>
      </c>
      <c r="I697" t="s">
        <v>13404</v>
      </c>
      <c r="J697" t="s">
        <v>236</v>
      </c>
      <c r="K697" t="s">
        <v>74</v>
      </c>
      <c r="L697" t="s">
        <v>74</v>
      </c>
      <c r="M697" t="s">
        <v>78</v>
      </c>
      <c r="N697" t="s">
        <v>79</v>
      </c>
      <c r="O697" t="s">
        <v>74</v>
      </c>
      <c r="P697" t="s">
        <v>74</v>
      </c>
      <c r="Q697" t="s">
        <v>74</v>
      </c>
      <c r="R697" t="s">
        <v>74</v>
      </c>
      <c r="S697" t="s">
        <v>74</v>
      </c>
      <c r="T697" t="s">
        <v>74</v>
      </c>
      <c r="U697" t="s">
        <v>13405</v>
      </c>
      <c r="V697" t="s">
        <v>13406</v>
      </c>
      <c r="W697" t="s">
        <v>13407</v>
      </c>
      <c r="X697" t="s">
        <v>13408</v>
      </c>
      <c r="Y697" t="s">
        <v>13409</v>
      </c>
      <c r="Z697" t="s">
        <v>13410</v>
      </c>
      <c r="AA697" t="s">
        <v>74</v>
      </c>
      <c r="AB697" t="s">
        <v>13411</v>
      </c>
      <c r="AC697" t="s">
        <v>13412</v>
      </c>
      <c r="AD697" t="s">
        <v>13413</v>
      </c>
      <c r="AE697" t="s">
        <v>13414</v>
      </c>
      <c r="AF697" t="s">
        <v>74</v>
      </c>
      <c r="AG697">
        <v>65</v>
      </c>
      <c r="AH697">
        <v>6</v>
      </c>
      <c r="AI697">
        <v>7</v>
      </c>
      <c r="AJ697">
        <v>0</v>
      </c>
      <c r="AK697">
        <v>12</v>
      </c>
      <c r="AL697" t="s">
        <v>247</v>
      </c>
      <c r="AM697" t="s">
        <v>248</v>
      </c>
      <c r="AN697" t="s">
        <v>249</v>
      </c>
      <c r="AO697" t="s">
        <v>250</v>
      </c>
      <c r="AP697" t="s">
        <v>251</v>
      </c>
      <c r="AQ697" t="s">
        <v>74</v>
      </c>
      <c r="AR697" t="s">
        <v>252</v>
      </c>
      <c r="AS697" t="s">
        <v>253</v>
      </c>
      <c r="AT697" t="s">
        <v>254</v>
      </c>
      <c r="AU697">
        <v>2020</v>
      </c>
      <c r="AV697">
        <v>84</v>
      </c>
      <c r="AW697">
        <v>5</v>
      </c>
      <c r="AX697" t="s">
        <v>74</v>
      </c>
      <c r="AY697" t="s">
        <v>74</v>
      </c>
      <c r="AZ697" t="s">
        <v>74</v>
      </c>
      <c r="BA697" t="s">
        <v>74</v>
      </c>
      <c r="BB697">
        <v>1722</v>
      </c>
      <c r="BC697">
        <v>1736</v>
      </c>
      <c r="BD697" t="s">
        <v>74</v>
      </c>
      <c r="BE697" t="s">
        <v>13415</v>
      </c>
      <c r="BF697" t="str">
        <f>HYPERLINK("http://dx.doi.org/10.1002/saj2.20123","http://dx.doi.org/10.1002/saj2.20123")</f>
        <v>http://dx.doi.org/10.1002/saj2.20123</v>
      </c>
      <c r="BG697" t="s">
        <v>74</v>
      </c>
      <c r="BH697" t="s">
        <v>74</v>
      </c>
      <c r="BI697">
        <v>15</v>
      </c>
      <c r="BJ697" t="s">
        <v>256</v>
      </c>
      <c r="BK697" t="s">
        <v>102</v>
      </c>
      <c r="BL697" t="s">
        <v>103</v>
      </c>
      <c r="BM697" t="s">
        <v>13416</v>
      </c>
      <c r="BN697" t="s">
        <v>74</v>
      </c>
      <c r="BO697" t="s">
        <v>74</v>
      </c>
      <c r="BP697" t="s">
        <v>74</v>
      </c>
      <c r="BQ697" t="s">
        <v>74</v>
      </c>
      <c r="BR697" t="s">
        <v>106</v>
      </c>
      <c r="BS697" t="s">
        <v>13417</v>
      </c>
      <c r="BT697" t="str">
        <f>HYPERLINK("https%3A%2F%2Fwww.webofscience.com%2Fwos%2Fwoscc%2Ffull-record%2FWOS:000591835400027","View Full Record in Web of Science")</f>
        <v>View Full Record in Web of Science</v>
      </c>
    </row>
    <row r="698" spans="1:72" x14ac:dyDescent="0.2">
      <c r="A698" t="s">
        <v>72</v>
      </c>
      <c r="B698" t="s">
        <v>13418</v>
      </c>
      <c r="C698" t="s">
        <v>74</v>
      </c>
      <c r="D698" t="s">
        <v>74</v>
      </c>
      <c r="E698" t="s">
        <v>74</v>
      </c>
      <c r="F698" t="s">
        <v>13419</v>
      </c>
      <c r="G698" t="s">
        <v>74</v>
      </c>
      <c r="H698" t="s">
        <v>74</v>
      </c>
      <c r="I698" t="s">
        <v>13420</v>
      </c>
      <c r="J698" t="s">
        <v>13421</v>
      </c>
      <c r="K698" t="s">
        <v>74</v>
      </c>
      <c r="L698" t="s">
        <v>74</v>
      </c>
      <c r="M698" t="s">
        <v>78</v>
      </c>
      <c r="N698" t="s">
        <v>79</v>
      </c>
      <c r="O698" t="s">
        <v>74</v>
      </c>
      <c r="P698" t="s">
        <v>74</v>
      </c>
      <c r="Q698" t="s">
        <v>74</v>
      </c>
      <c r="R698" t="s">
        <v>74</v>
      </c>
      <c r="S698" t="s">
        <v>74</v>
      </c>
      <c r="T698" t="s">
        <v>13422</v>
      </c>
      <c r="U698" t="s">
        <v>13423</v>
      </c>
      <c r="V698" t="s">
        <v>13424</v>
      </c>
      <c r="W698" t="s">
        <v>13425</v>
      </c>
      <c r="X698" t="s">
        <v>13426</v>
      </c>
      <c r="Y698" t="s">
        <v>13427</v>
      </c>
      <c r="Z698" t="s">
        <v>13428</v>
      </c>
      <c r="AA698" t="s">
        <v>13429</v>
      </c>
      <c r="AB698" t="s">
        <v>13430</v>
      </c>
      <c r="AC698" t="s">
        <v>13431</v>
      </c>
      <c r="AD698" t="s">
        <v>13431</v>
      </c>
      <c r="AE698" t="s">
        <v>13432</v>
      </c>
      <c r="AF698" t="s">
        <v>74</v>
      </c>
      <c r="AG698">
        <v>41</v>
      </c>
      <c r="AH698">
        <v>5</v>
      </c>
      <c r="AI698">
        <v>5</v>
      </c>
      <c r="AJ698">
        <v>1</v>
      </c>
      <c r="AK698">
        <v>18</v>
      </c>
      <c r="AL698" t="s">
        <v>13433</v>
      </c>
      <c r="AM698" t="s">
        <v>13434</v>
      </c>
      <c r="AN698" t="s">
        <v>13435</v>
      </c>
      <c r="AO698" t="s">
        <v>13436</v>
      </c>
      <c r="AP698" t="s">
        <v>74</v>
      </c>
      <c r="AQ698" t="s">
        <v>74</v>
      </c>
      <c r="AR698" t="s">
        <v>13437</v>
      </c>
      <c r="AS698" t="s">
        <v>13438</v>
      </c>
      <c r="AT698" t="s">
        <v>183</v>
      </c>
      <c r="AU698">
        <v>2021</v>
      </c>
      <c r="AV698">
        <v>14</v>
      </c>
      <c r="AW698" t="s">
        <v>74</v>
      </c>
      <c r="AX698" t="s">
        <v>74</v>
      </c>
      <c r="AY698" t="s">
        <v>74</v>
      </c>
      <c r="AZ698" t="s">
        <v>74</v>
      </c>
      <c r="BA698" t="s">
        <v>74</v>
      </c>
      <c r="BB698">
        <v>362</v>
      </c>
      <c r="BC698">
        <v>369</v>
      </c>
      <c r="BD698" t="s">
        <v>74</v>
      </c>
      <c r="BE698" t="s">
        <v>13439</v>
      </c>
      <c r="BF698" t="str">
        <f>HYPERLINK("http://dx.doi.org/10.3832/ifor3700-014","http://dx.doi.org/10.3832/ifor3700-014")</f>
        <v>http://dx.doi.org/10.3832/ifor3700-014</v>
      </c>
      <c r="BG698" t="s">
        <v>74</v>
      </c>
      <c r="BH698" t="s">
        <v>74</v>
      </c>
      <c r="BI698">
        <v>8</v>
      </c>
      <c r="BJ698" t="s">
        <v>132</v>
      </c>
      <c r="BK698" t="s">
        <v>102</v>
      </c>
      <c r="BL698" t="s">
        <v>132</v>
      </c>
      <c r="BM698" t="s">
        <v>13440</v>
      </c>
      <c r="BN698" t="s">
        <v>74</v>
      </c>
      <c r="BO698" t="s">
        <v>161</v>
      </c>
      <c r="BP698" t="s">
        <v>74</v>
      </c>
      <c r="BQ698" t="s">
        <v>74</v>
      </c>
      <c r="BR698" t="s">
        <v>106</v>
      </c>
      <c r="BS698" t="s">
        <v>13441</v>
      </c>
      <c r="BT698" t="str">
        <f>HYPERLINK("https%3A%2F%2Fwww.webofscience.com%2Fwos%2Fwoscc%2Ffull-record%2FWOS:000686127800009","View Full Record in Web of Science")</f>
        <v>View Full Record in Web of Science</v>
      </c>
    </row>
    <row r="699" spans="1:72" x14ac:dyDescent="0.2">
      <c r="A699" t="s">
        <v>72</v>
      </c>
      <c r="B699" t="s">
        <v>13442</v>
      </c>
      <c r="C699" t="s">
        <v>74</v>
      </c>
      <c r="D699" t="s">
        <v>74</v>
      </c>
      <c r="E699" t="s">
        <v>74</v>
      </c>
      <c r="F699" t="s">
        <v>13443</v>
      </c>
      <c r="G699" t="s">
        <v>74</v>
      </c>
      <c r="H699" t="s">
        <v>74</v>
      </c>
      <c r="I699" t="s">
        <v>13444</v>
      </c>
      <c r="J699" t="s">
        <v>762</v>
      </c>
      <c r="K699" t="s">
        <v>74</v>
      </c>
      <c r="L699" t="s">
        <v>74</v>
      </c>
      <c r="M699" t="s">
        <v>78</v>
      </c>
      <c r="N699" t="s">
        <v>79</v>
      </c>
      <c r="O699" t="s">
        <v>74</v>
      </c>
      <c r="P699" t="s">
        <v>74</v>
      </c>
      <c r="Q699" t="s">
        <v>74</v>
      </c>
      <c r="R699" t="s">
        <v>74</v>
      </c>
      <c r="S699" t="s">
        <v>74</v>
      </c>
      <c r="T699" t="s">
        <v>13445</v>
      </c>
      <c r="U699" t="s">
        <v>13446</v>
      </c>
      <c r="V699" t="s">
        <v>13447</v>
      </c>
      <c r="W699" t="s">
        <v>13448</v>
      </c>
      <c r="X699" t="s">
        <v>13449</v>
      </c>
      <c r="Y699" t="s">
        <v>13450</v>
      </c>
      <c r="Z699" t="s">
        <v>13451</v>
      </c>
      <c r="AA699" t="s">
        <v>13452</v>
      </c>
      <c r="AB699" t="s">
        <v>13453</v>
      </c>
      <c r="AC699" t="s">
        <v>13454</v>
      </c>
      <c r="AD699" t="s">
        <v>13455</v>
      </c>
      <c r="AE699" t="s">
        <v>13456</v>
      </c>
      <c r="AF699" t="s">
        <v>74</v>
      </c>
      <c r="AG699">
        <v>40</v>
      </c>
      <c r="AH699">
        <v>24</v>
      </c>
      <c r="AI699">
        <v>26</v>
      </c>
      <c r="AJ699">
        <v>1</v>
      </c>
      <c r="AK699">
        <v>32</v>
      </c>
      <c r="AL699" t="s">
        <v>1631</v>
      </c>
      <c r="AM699" t="s">
        <v>776</v>
      </c>
      <c r="AN699" t="s">
        <v>777</v>
      </c>
      <c r="AO699" t="s">
        <v>778</v>
      </c>
      <c r="AP699" t="s">
        <v>74</v>
      </c>
      <c r="AQ699" t="s">
        <v>74</v>
      </c>
      <c r="AR699" t="s">
        <v>779</v>
      </c>
      <c r="AS699" t="s">
        <v>780</v>
      </c>
      <c r="AT699" t="s">
        <v>1752</v>
      </c>
      <c r="AU699">
        <v>2020</v>
      </c>
      <c r="AV699">
        <v>15</v>
      </c>
      <c r="AW699">
        <v>8</v>
      </c>
      <c r="AX699" t="s">
        <v>74</v>
      </c>
      <c r="AY699" t="s">
        <v>74</v>
      </c>
      <c r="AZ699" t="s">
        <v>74</v>
      </c>
      <c r="BA699" t="s">
        <v>74</v>
      </c>
      <c r="BB699" t="s">
        <v>74</v>
      </c>
      <c r="BC699" t="s">
        <v>74</v>
      </c>
      <c r="BD699">
        <v>84014</v>
      </c>
      <c r="BE699" t="s">
        <v>13457</v>
      </c>
      <c r="BF699" t="str">
        <f>HYPERLINK("http://dx.doi.org/10.1088/1748-9326/ab794e","http://dx.doi.org/10.1088/1748-9326/ab794e")</f>
        <v>http://dx.doi.org/10.1088/1748-9326/ab794e</v>
      </c>
      <c r="BG699" t="s">
        <v>74</v>
      </c>
      <c r="BH699" t="s">
        <v>74</v>
      </c>
      <c r="BI699">
        <v>11</v>
      </c>
      <c r="BJ699" t="s">
        <v>782</v>
      </c>
      <c r="BK699" t="s">
        <v>102</v>
      </c>
      <c r="BL699" t="s">
        <v>783</v>
      </c>
      <c r="BM699" t="s">
        <v>13458</v>
      </c>
      <c r="BN699" t="s">
        <v>74</v>
      </c>
      <c r="BO699" t="s">
        <v>161</v>
      </c>
      <c r="BP699" t="s">
        <v>74</v>
      </c>
      <c r="BQ699" t="s">
        <v>74</v>
      </c>
      <c r="BR699" t="s">
        <v>106</v>
      </c>
      <c r="BS699" t="s">
        <v>13459</v>
      </c>
      <c r="BT699" t="str">
        <f>HYPERLINK("https%3A%2F%2Fwww.webofscience.com%2Fwos%2Fwoscc%2Ffull-record%2FWOS:000553504400001","View Full Record in Web of Science")</f>
        <v>View Full Record in Web of Science</v>
      </c>
    </row>
    <row r="700" spans="1:72" x14ac:dyDescent="0.2">
      <c r="A700" t="s">
        <v>72</v>
      </c>
      <c r="B700" t="s">
        <v>13460</v>
      </c>
      <c r="C700" t="s">
        <v>74</v>
      </c>
      <c r="D700" t="s">
        <v>74</v>
      </c>
      <c r="E700" t="s">
        <v>74</v>
      </c>
      <c r="F700" t="s">
        <v>13461</v>
      </c>
      <c r="G700" t="s">
        <v>74</v>
      </c>
      <c r="H700" t="s">
        <v>74</v>
      </c>
      <c r="I700" t="s">
        <v>13420</v>
      </c>
      <c r="J700" t="s">
        <v>13421</v>
      </c>
      <c r="K700" t="s">
        <v>74</v>
      </c>
      <c r="L700" t="s">
        <v>74</v>
      </c>
      <c r="M700" t="s">
        <v>78</v>
      </c>
      <c r="N700" t="s">
        <v>79</v>
      </c>
      <c r="O700" t="s">
        <v>74</v>
      </c>
      <c r="P700" t="s">
        <v>74</v>
      </c>
      <c r="Q700" t="s">
        <v>74</v>
      </c>
      <c r="R700" t="s">
        <v>74</v>
      </c>
      <c r="S700" t="s">
        <v>74</v>
      </c>
      <c r="T700" t="s">
        <v>13422</v>
      </c>
      <c r="U700" t="s">
        <v>13423</v>
      </c>
      <c r="V700" t="s">
        <v>13462</v>
      </c>
      <c r="W700" t="s">
        <v>13463</v>
      </c>
      <c r="X700" t="s">
        <v>13426</v>
      </c>
      <c r="Y700" t="s">
        <v>13427</v>
      </c>
      <c r="Z700" t="s">
        <v>13428</v>
      </c>
      <c r="AA700" t="s">
        <v>13464</v>
      </c>
      <c r="AB700" t="s">
        <v>74</v>
      </c>
      <c r="AC700" t="s">
        <v>13465</v>
      </c>
      <c r="AD700" t="s">
        <v>13465</v>
      </c>
      <c r="AE700" t="s">
        <v>13466</v>
      </c>
      <c r="AF700" t="s">
        <v>74</v>
      </c>
      <c r="AG700">
        <v>41</v>
      </c>
      <c r="AH700">
        <v>1</v>
      </c>
      <c r="AI700">
        <v>1</v>
      </c>
      <c r="AJ700">
        <v>0</v>
      </c>
      <c r="AK700">
        <v>13</v>
      </c>
      <c r="AL700" t="s">
        <v>13433</v>
      </c>
      <c r="AM700" t="s">
        <v>13434</v>
      </c>
      <c r="AN700" t="s">
        <v>13435</v>
      </c>
      <c r="AO700" t="s">
        <v>13436</v>
      </c>
      <c r="AP700" t="s">
        <v>74</v>
      </c>
      <c r="AQ700" t="s">
        <v>74</v>
      </c>
      <c r="AR700" t="s">
        <v>13437</v>
      </c>
      <c r="AS700" t="s">
        <v>13438</v>
      </c>
      <c r="AT700" t="s">
        <v>183</v>
      </c>
      <c r="AU700">
        <v>2021</v>
      </c>
      <c r="AV700">
        <v>14</v>
      </c>
      <c r="AW700" t="s">
        <v>74</v>
      </c>
      <c r="AX700" t="s">
        <v>74</v>
      </c>
      <c r="AY700" t="s">
        <v>74</v>
      </c>
      <c r="AZ700" t="s">
        <v>74</v>
      </c>
      <c r="BA700" t="s">
        <v>74</v>
      </c>
      <c r="BB700">
        <v>362</v>
      </c>
      <c r="BC700">
        <v>369</v>
      </c>
      <c r="BD700" t="s">
        <v>74</v>
      </c>
      <c r="BE700" t="s">
        <v>13467</v>
      </c>
      <c r="BF700" t="str">
        <f>HYPERLINK("http://dx.doi.org/10.103832/ifor3700014","http://dx.doi.org/10.103832/ifor3700014")</f>
        <v>http://dx.doi.org/10.103832/ifor3700014</v>
      </c>
      <c r="BG700" t="s">
        <v>74</v>
      </c>
      <c r="BH700" t="s">
        <v>74</v>
      </c>
      <c r="BI700">
        <v>8</v>
      </c>
      <c r="BJ700" t="s">
        <v>132</v>
      </c>
      <c r="BK700" t="s">
        <v>102</v>
      </c>
      <c r="BL700" t="s">
        <v>132</v>
      </c>
      <c r="BM700" t="s">
        <v>13468</v>
      </c>
      <c r="BN700" t="s">
        <v>74</v>
      </c>
      <c r="BO700" t="s">
        <v>74</v>
      </c>
      <c r="BP700" t="s">
        <v>74</v>
      </c>
      <c r="BQ700" t="s">
        <v>74</v>
      </c>
      <c r="BR700" t="s">
        <v>106</v>
      </c>
      <c r="BS700" t="s">
        <v>13469</v>
      </c>
      <c r="BT700" t="str">
        <f>HYPERLINK("https%3A%2F%2Fwww.webofscience.com%2Fwos%2Fwoscc%2Ffull-record%2FWOS:000686757300005","View Full Record in Web of Science")</f>
        <v>View Full Record in Web of Science</v>
      </c>
    </row>
    <row r="701" spans="1:72" x14ac:dyDescent="0.2">
      <c r="A701" t="s">
        <v>72</v>
      </c>
      <c r="B701" t="s">
        <v>13470</v>
      </c>
      <c r="C701" t="s">
        <v>74</v>
      </c>
      <c r="D701" t="s">
        <v>74</v>
      </c>
      <c r="E701" t="s">
        <v>74</v>
      </c>
      <c r="F701" t="s">
        <v>13471</v>
      </c>
      <c r="G701" t="s">
        <v>74</v>
      </c>
      <c r="H701" t="s">
        <v>74</v>
      </c>
      <c r="I701" t="s">
        <v>13472</v>
      </c>
      <c r="J701" t="s">
        <v>1912</v>
      </c>
      <c r="K701" t="s">
        <v>74</v>
      </c>
      <c r="L701" t="s">
        <v>74</v>
      </c>
      <c r="M701" t="s">
        <v>78</v>
      </c>
      <c r="N701" t="s">
        <v>79</v>
      </c>
      <c r="O701" t="s">
        <v>74</v>
      </c>
      <c r="P701" t="s">
        <v>74</v>
      </c>
      <c r="Q701" t="s">
        <v>74</v>
      </c>
      <c r="R701" t="s">
        <v>74</v>
      </c>
      <c r="S701" t="s">
        <v>74</v>
      </c>
      <c r="T701" t="s">
        <v>13473</v>
      </c>
      <c r="U701" t="s">
        <v>13474</v>
      </c>
      <c r="V701" t="s">
        <v>13475</v>
      </c>
      <c r="W701" t="s">
        <v>13476</v>
      </c>
      <c r="X701" t="s">
        <v>13477</v>
      </c>
      <c r="Y701" t="s">
        <v>13478</v>
      </c>
      <c r="Z701" t="s">
        <v>13479</v>
      </c>
      <c r="AA701" t="s">
        <v>74</v>
      </c>
      <c r="AB701" t="s">
        <v>74</v>
      </c>
      <c r="AC701" t="s">
        <v>74</v>
      </c>
      <c r="AD701" t="s">
        <v>74</v>
      </c>
      <c r="AE701" t="s">
        <v>74</v>
      </c>
      <c r="AF701" t="s">
        <v>74</v>
      </c>
      <c r="AG701">
        <v>30</v>
      </c>
      <c r="AH701">
        <v>9</v>
      </c>
      <c r="AI701">
        <v>11</v>
      </c>
      <c r="AJ701">
        <v>5</v>
      </c>
      <c r="AK701">
        <v>135</v>
      </c>
      <c r="AL701" t="s">
        <v>1921</v>
      </c>
      <c r="AM701" t="s">
        <v>1922</v>
      </c>
      <c r="AN701" t="s">
        <v>1923</v>
      </c>
      <c r="AO701" t="s">
        <v>1924</v>
      </c>
      <c r="AP701" t="s">
        <v>1925</v>
      </c>
      <c r="AQ701" t="s">
        <v>74</v>
      </c>
      <c r="AR701" t="s">
        <v>1926</v>
      </c>
      <c r="AS701" t="s">
        <v>1927</v>
      </c>
      <c r="AT701" t="s">
        <v>74</v>
      </c>
      <c r="AU701">
        <v>2021</v>
      </c>
      <c r="AV701">
        <v>30</v>
      </c>
      <c r="AW701">
        <v>4</v>
      </c>
      <c r="AX701" t="s">
        <v>74</v>
      </c>
      <c r="AY701" t="s">
        <v>74</v>
      </c>
      <c r="AZ701" t="s">
        <v>74</v>
      </c>
      <c r="BA701" t="s">
        <v>74</v>
      </c>
      <c r="BB701">
        <v>3445</v>
      </c>
      <c r="BC701">
        <v>3455</v>
      </c>
      <c r="BD701" t="s">
        <v>74</v>
      </c>
      <c r="BE701" t="s">
        <v>74</v>
      </c>
      <c r="BF701" t="s">
        <v>74</v>
      </c>
      <c r="BG701" t="s">
        <v>74</v>
      </c>
      <c r="BH701" t="s">
        <v>74</v>
      </c>
      <c r="BI701">
        <v>11</v>
      </c>
      <c r="BJ701" t="s">
        <v>567</v>
      </c>
      <c r="BK701" t="s">
        <v>102</v>
      </c>
      <c r="BL701" t="s">
        <v>568</v>
      </c>
      <c r="BM701" t="s">
        <v>13480</v>
      </c>
      <c r="BN701" t="s">
        <v>74</v>
      </c>
      <c r="BO701" t="s">
        <v>74</v>
      </c>
      <c r="BP701" t="s">
        <v>74</v>
      </c>
      <c r="BQ701" t="s">
        <v>74</v>
      </c>
      <c r="BR701" t="s">
        <v>106</v>
      </c>
      <c r="BS701" t="s">
        <v>13481</v>
      </c>
      <c r="BT701" t="str">
        <f>HYPERLINK("https%3A%2F%2Fwww.webofscience.com%2Fwos%2Fwoscc%2Ffull-record%2FWOS:000658171700040","View Full Record in Web of Science")</f>
        <v>View Full Record in Web of Science</v>
      </c>
    </row>
    <row r="702" spans="1:72" x14ac:dyDescent="0.2">
      <c r="A702" t="s">
        <v>72</v>
      </c>
      <c r="B702" t="s">
        <v>13482</v>
      </c>
      <c r="C702" t="s">
        <v>74</v>
      </c>
      <c r="D702" t="s">
        <v>74</v>
      </c>
      <c r="E702" t="s">
        <v>74</v>
      </c>
      <c r="F702" t="s">
        <v>13483</v>
      </c>
      <c r="G702" t="s">
        <v>74</v>
      </c>
      <c r="H702" t="s">
        <v>74</v>
      </c>
      <c r="I702" t="s">
        <v>13484</v>
      </c>
      <c r="J702" t="s">
        <v>5898</v>
      </c>
      <c r="K702" t="s">
        <v>74</v>
      </c>
      <c r="L702" t="s">
        <v>74</v>
      </c>
      <c r="M702" t="s">
        <v>78</v>
      </c>
      <c r="N702" t="s">
        <v>79</v>
      </c>
      <c r="O702" t="s">
        <v>74</v>
      </c>
      <c r="P702" t="s">
        <v>74</v>
      </c>
      <c r="Q702" t="s">
        <v>74</v>
      </c>
      <c r="R702" t="s">
        <v>74</v>
      </c>
      <c r="S702" t="s">
        <v>74</v>
      </c>
      <c r="T702" t="s">
        <v>13485</v>
      </c>
      <c r="U702" t="s">
        <v>13486</v>
      </c>
      <c r="V702" t="s">
        <v>13487</v>
      </c>
      <c r="W702" t="s">
        <v>13488</v>
      </c>
      <c r="X702" t="s">
        <v>13489</v>
      </c>
      <c r="Y702" t="s">
        <v>13490</v>
      </c>
      <c r="Z702" t="s">
        <v>13491</v>
      </c>
      <c r="AA702" t="s">
        <v>74</v>
      </c>
      <c r="AB702" t="s">
        <v>74</v>
      </c>
      <c r="AC702" t="s">
        <v>13492</v>
      </c>
      <c r="AD702" t="s">
        <v>13493</v>
      </c>
      <c r="AE702" t="s">
        <v>13494</v>
      </c>
      <c r="AF702" t="s">
        <v>74</v>
      </c>
      <c r="AG702">
        <v>25</v>
      </c>
      <c r="AH702">
        <v>0</v>
      </c>
      <c r="AI702">
        <v>0</v>
      </c>
      <c r="AJ702">
        <v>5</v>
      </c>
      <c r="AK702">
        <v>5</v>
      </c>
      <c r="AL702" t="s">
        <v>123</v>
      </c>
      <c r="AM702" t="s">
        <v>124</v>
      </c>
      <c r="AN702" t="s">
        <v>125</v>
      </c>
      <c r="AO702" t="s">
        <v>5911</v>
      </c>
      <c r="AP702" t="s">
        <v>5912</v>
      </c>
      <c r="AQ702" t="s">
        <v>74</v>
      </c>
      <c r="AR702" t="s">
        <v>5913</v>
      </c>
      <c r="AS702" t="s">
        <v>5914</v>
      </c>
      <c r="AT702" t="s">
        <v>1109</v>
      </c>
      <c r="AU702">
        <v>2025</v>
      </c>
      <c r="AV702">
        <v>219</v>
      </c>
      <c r="AW702" t="s">
        <v>74</v>
      </c>
      <c r="AX702" t="s">
        <v>74</v>
      </c>
      <c r="AY702" t="s">
        <v>74</v>
      </c>
      <c r="AZ702" t="s">
        <v>74</v>
      </c>
      <c r="BA702" t="s">
        <v>74</v>
      </c>
      <c r="BB702" t="s">
        <v>74</v>
      </c>
      <c r="BC702" t="s">
        <v>74</v>
      </c>
      <c r="BD702">
        <v>116025</v>
      </c>
      <c r="BE702" t="s">
        <v>13495</v>
      </c>
      <c r="BF702" t="str">
        <f>HYPERLINK("http://dx.doi.org/10.1016/j.microc.2025.116025","http://dx.doi.org/10.1016/j.microc.2025.116025")</f>
        <v>http://dx.doi.org/10.1016/j.microc.2025.116025</v>
      </c>
      <c r="BG702" t="s">
        <v>74</v>
      </c>
      <c r="BH702" t="s">
        <v>74</v>
      </c>
      <c r="BI702">
        <v>10</v>
      </c>
      <c r="BJ702" t="s">
        <v>5916</v>
      </c>
      <c r="BK702" t="s">
        <v>102</v>
      </c>
      <c r="BL702" t="s">
        <v>2499</v>
      </c>
      <c r="BM702" t="s">
        <v>13496</v>
      </c>
      <c r="BN702" t="s">
        <v>74</v>
      </c>
      <c r="BO702" t="s">
        <v>74</v>
      </c>
      <c r="BP702" t="s">
        <v>74</v>
      </c>
      <c r="BQ702" t="s">
        <v>74</v>
      </c>
      <c r="BR702" t="s">
        <v>106</v>
      </c>
      <c r="BS702" t="s">
        <v>13497</v>
      </c>
      <c r="BT702" t="str">
        <f>HYPERLINK("https%3A%2F%2Fwww.webofscience.com%2Fwos%2Fwoscc%2Ffull-record%2FWOS:001617870400001","View Full Record in Web of Science")</f>
        <v>View Full Record in Web of Science</v>
      </c>
    </row>
    <row r="703" spans="1:72" x14ac:dyDescent="0.2">
      <c r="A703" t="s">
        <v>72</v>
      </c>
      <c r="B703" t="s">
        <v>13498</v>
      </c>
      <c r="C703" t="s">
        <v>74</v>
      </c>
      <c r="D703" t="s">
        <v>74</v>
      </c>
      <c r="E703" t="s">
        <v>74</v>
      </c>
      <c r="F703" t="s">
        <v>13499</v>
      </c>
      <c r="G703" t="s">
        <v>74</v>
      </c>
      <c r="H703" t="s">
        <v>74</v>
      </c>
      <c r="I703" t="s">
        <v>13500</v>
      </c>
      <c r="J703" t="s">
        <v>13501</v>
      </c>
      <c r="K703" t="s">
        <v>74</v>
      </c>
      <c r="L703" t="s">
        <v>74</v>
      </c>
      <c r="M703" t="s">
        <v>78</v>
      </c>
      <c r="N703" t="s">
        <v>79</v>
      </c>
      <c r="O703" t="s">
        <v>74</v>
      </c>
      <c r="P703" t="s">
        <v>74</v>
      </c>
      <c r="Q703" t="s">
        <v>74</v>
      </c>
      <c r="R703" t="s">
        <v>74</v>
      </c>
      <c r="S703" t="s">
        <v>74</v>
      </c>
      <c r="T703" t="s">
        <v>13502</v>
      </c>
      <c r="U703" t="s">
        <v>13503</v>
      </c>
      <c r="V703" t="s">
        <v>13504</v>
      </c>
      <c r="W703" t="s">
        <v>13505</v>
      </c>
      <c r="X703" t="s">
        <v>13506</v>
      </c>
      <c r="Y703" t="s">
        <v>13507</v>
      </c>
      <c r="Z703" t="s">
        <v>13508</v>
      </c>
      <c r="AA703" t="s">
        <v>13509</v>
      </c>
      <c r="AB703" t="s">
        <v>13510</v>
      </c>
      <c r="AC703" t="s">
        <v>13511</v>
      </c>
      <c r="AD703" t="s">
        <v>13512</v>
      </c>
      <c r="AE703" t="s">
        <v>13513</v>
      </c>
      <c r="AF703" t="s">
        <v>74</v>
      </c>
      <c r="AG703">
        <v>47</v>
      </c>
      <c r="AH703">
        <v>12</v>
      </c>
      <c r="AI703">
        <v>15</v>
      </c>
      <c r="AJ703">
        <v>2</v>
      </c>
      <c r="AK703">
        <v>55</v>
      </c>
      <c r="AL703" t="s">
        <v>1242</v>
      </c>
      <c r="AM703" t="s">
        <v>1243</v>
      </c>
      <c r="AN703" t="s">
        <v>1244</v>
      </c>
      <c r="AO703" t="s">
        <v>13514</v>
      </c>
      <c r="AP703" t="s">
        <v>13515</v>
      </c>
      <c r="AQ703" t="s">
        <v>74</v>
      </c>
      <c r="AR703" t="s">
        <v>13516</v>
      </c>
      <c r="AS703" t="s">
        <v>13517</v>
      </c>
      <c r="AT703" t="s">
        <v>227</v>
      </c>
      <c r="AU703">
        <v>2021</v>
      </c>
      <c r="AV703">
        <v>21</v>
      </c>
      <c r="AW703">
        <v>1</v>
      </c>
      <c r="AX703" t="s">
        <v>74</v>
      </c>
      <c r="AY703" t="s">
        <v>74</v>
      </c>
      <c r="AZ703" t="s">
        <v>74</v>
      </c>
      <c r="BA703" t="s">
        <v>74</v>
      </c>
      <c r="BB703">
        <v>172</v>
      </c>
      <c r="BC703">
        <v>188</v>
      </c>
      <c r="BD703" t="s">
        <v>74</v>
      </c>
      <c r="BE703" t="s">
        <v>13518</v>
      </c>
      <c r="BF703" t="str">
        <f>HYPERLINK("http://dx.doi.org/10.1007/s11368-020-02736-7","http://dx.doi.org/10.1007/s11368-020-02736-7")</f>
        <v>http://dx.doi.org/10.1007/s11368-020-02736-7</v>
      </c>
      <c r="BG703" t="s">
        <v>74</v>
      </c>
      <c r="BH703" t="s">
        <v>13519</v>
      </c>
      <c r="BI703">
        <v>17</v>
      </c>
      <c r="BJ703" t="s">
        <v>4942</v>
      </c>
      <c r="BK703" t="s">
        <v>102</v>
      </c>
      <c r="BL703" t="s">
        <v>4943</v>
      </c>
      <c r="BM703" t="s">
        <v>13520</v>
      </c>
      <c r="BN703" t="s">
        <v>74</v>
      </c>
      <c r="BO703" t="s">
        <v>74</v>
      </c>
      <c r="BP703" t="s">
        <v>74</v>
      </c>
      <c r="BQ703" t="s">
        <v>74</v>
      </c>
      <c r="BR703" t="s">
        <v>106</v>
      </c>
      <c r="BS703" t="s">
        <v>13521</v>
      </c>
      <c r="BT703" t="str">
        <f>HYPERLINK("https%3A%2F%2Fwww.webofscience.com%2Fwos%2Fwoscc%2Ffull-record%2FWOS:000553743900001","View Full Record in Web of Science")</f>
        <v>View Full Record in Web of Science</v>
      </c>
    </row>
    <row r="704" spans="1:72" x14ac:dyDescent="0.2">
      <c r="A704" t="s">
        <v>72</v>
      </c>
      <c r="B704" t="s">
        <v>13522</v>
      </c>
      <c r="C704" t="s">
        <v>74</v>
      </c>
      <c r="D704" t="s">
        <v>74</v>
      </c>
      <c r="E704" t="s">
        <v>74</v>
      </c>
      <c r="F704" t="s">
        <v>13523</v>
      </c>
      <c r="G704" t="s">
        <v>74</v>
      </c>
      <c r="H704" t="s">
        <v>74</v>
      </c>
      <c r="I704" t="s">
        <v>13524</v>
      </c>
      <c r="J704" t="s">
        <v>921</v>
      </c>
      <c r="K704" t="s">
        <v>74</v>
      </c>
      <c r="L704" t="s">
        <v>74</v>
      </c>
      <c r="M704" t="s">
        <v>78</v>
      </c>
      <c r="N704" t="s">
        <v>79</v>
      </c>
      <c r="O704" t="s">
        <v>74</v>
      </c>
      <c r="P704" t="s">
        <v>74</v>
      </c>
      <c r="Q704" t="s">
        <v>74</v>
      </c>
      <c r="R704" t="s">
        <v>74</v>
      </c>
      <c r="S704" t="s">
        <v>74</v>
      </c>
      <c r="T704" t="s">
        <v>13525</v>
      </c>
      <c r="U704" t="s">
        <v>13526</v>
      </c>
      <c r="V704" t="s">
        <v>13527</v>
      </c>
      <c r="W704" t="s">
        <v>13528</v>
      </c>
      <c r="X704" t="s">
        <v>13529</v>
      </c>
      <c r="Y704" t="s">
        <v>13530</v>
      </c>
      <c r="Z704" t="s">
        <v>13531</v>
      </c>
      <c r="AA704" t="s">
        <v>13532</v>
      </c>
      <c r="AB704" t="s">
        <v>13533</v>
      </c>
      <c r="AC704" t="s">
        <v>13534</v>
      </c>
      <c r="AD704" t="s">
        <v>13535</v>
      </c>
      <c r="AE704" t="s">
        <v>13536</v>
      </c>
      <c r="AF704" t="s">
        <v>74</v>
      </c>
      <c r="AG704">
        <v>109</v>
      </c>
      <c r="AH704">
        <v>31</v>
      </c>
      <c r="AI704">
        <v>33</v>
      </c>
      <c r="AJ704">
        <v>29</v>
      </c>
      <c r="AK704">
        <v>96</v>
      </c>
      <c r="AL704" t="s">
        <v>934</v>
      </c>
      <c r="AM704" t="s">
        <v>177</v>
      </c>
      <c r="AN704" t="s">
        <v>935</v>
      </c>
      <c r="AO704" t="s">
        <v>936</v>
      </c>
      <c r="AP704" t="s">
        <v>937</v>
      </c>
      <c r="AQ704" t="s">
        <v>74</v>
      </c>
      <c r="AR704" t="s">
        <v>938</v>
      </c>
      <c r="AS704" t="s">
        <v>939</v>
      </c>
      <c r="AT704" t="s">
        <v>912</v>
      </c>
      <c r="AU704">
        <v>2024</v>
      </c>
      <c r="AV704">
        <v>192</v>
      </c>
      <c r="AW704" t="s">
        <v>74</v>
      </c>
      <c r="AX704" t="s">
        <v>74</v>
      </c>
      <c r="AY704" t="s">
        <v>74</v>
      </c>
      <c r="AZ704" t="s">
        <v>74</v>
      </c>
      <c r="BA704" t="s">
        <v>74</v>
      </c>
      <c r="BB704" t="s">
        <v>74</v>
      </c>
      <c r="BC704" t="s">
        <v>74</v>
      </c>
      <c r="BD704">
        <v>109351</v>
      </c>
      <c r="BE704" t="s">
        <v>13537</v>
      </c>
      <c r="BF704" t="str">
        <f>HYPERLINK("http://dx.doi.org/10.1016/j.soilbio.2024.109351","http://dx.doi.org/10.1016/j.soilbio.2024.109351")</f>
        <v>http://dx.doi.org/10.1016/j.soilbio.2024.109351</v>
      </c>
      <c r="BG704" t="s">
        <v>74</v>
      </c>
      <c r="BH704" t="s">
        <v>2430</v>
      </c>
      <c r="BI704">
        <v>12</v>
      </c>
      <c r="BJ704" t="s">
        <v>256</v>
      </c>
      <c r="BK704" t="s">
        <v>102</v>
      </c>
      <c r="BL704" t="s">
        <v>103</v>
      </c>
      <c r="BM704" t="s">
        <v>13538</v>
      </c>
      <c r="BN704" t="s">
        <v>74</v>
      </c>
      <c r="BO704" t="s">
        <v>74</v>
      </c>
      <c r="BP704" t="s">
        <v>74</v>
      </c>
      <c r="BQ704" t="s">
        <v>74</v>
      </c>
      <c r="BR704" t="s">
        <v>106</v>
      </c>
      <c r="BS704" t="s">
        <v>13539</v>
      </c>
      <c r="BT704" t="str">
        <f>HYPERLINK("https%3A%2F%2Fwww.webofscience.com%2Fwos%2Fwoscc%2Ffull-record%2FWOS:001199807100001","View Full Record in Web of Science")</f>
        <v>View Full Record in Web of Science</v>
      </c>
    </row>
    <row r="705" spans="1:72" x14ac:dyDescent="0.2">
      <c r="A705" t="s">
        <v>72</v>
      </c>
      <c r="B705" t="s">
        <v>13540</v>
      </c>
      <c r="C705" t="s">
        <v>74</v>
      </c>
      <c r="D705" t="s">
        <v>74</v>
      </c>
      <c r="E705" t="s">
        <v>74</v>
      </c>
      <c r="F705" t="s">
        <v>13541</v>
      </c>
      <c r="G705" t="s">
        <v>74</v>
      </c>
      <c r="H705" t="s">
        <v>74</v>
      </c>
      <c r="I705" t="s">
        <v>13542</v>
      </c>
      <c r="J705" t="s">
        <v>13543</v>
      </c>
      <c r="K705" t="s">
        <v>74</v>
      </c>
      <c r="L705" t="s">
        <v>74</v>
      </c>
      <c r="M705" t="s">
        <v>78</v>
      </c>
      <c r="N705" t="s">
        <v>79</v>
      </c>
      <c r="O705" t="s">
        <v>74</v>
      </c>
      <c r="P705" t="s">
        <v>74</v>
      </c>
      <c r="Q705" t="s">
        <v>74</v>
      </c>
      <c r="R705" t="s">
        <v>74</v>
      </c>
      <c r="S705" t="s">
        <v>74</v>
      </c>
      <c r="T705" t="s">
        <v>13544</v>
      </c>
      <c r="U705" t="s">
        <v>13545</v>
      </c>
      <c r="V705" t="s">
        <v>13546</v>
      </c>
      <c r="W705" t="s">
        <v>13547</v>
      </c>
      <c r="X705" t="s">
        <v>13548</v>
      </c>
      <c r="Y705" t="s">
        <v>13549</v>
      </c>
      <c r="Z705" t="s">
        <v>13550</v>
      </c>
      <c r="AA705" t="s">
        <v>13551</v>
      </c>
      <c r="AB705" t="s">
        <v>13552</v>
      </c>
      <c r="AC705" t="s">
        <v>13553</v>
      </c>
      <c r="AD705" t="s">
        <v>13554</v>
      </c>
      <c r="AE705" t="s">
        <v>13555</v>
      </c>
      <c r="AF705" t="s">
        <v>74</v>
      </c>
      <c r="AG705">
        <v>74</v>
      </c>
      <c r="AH705">
        <v>16</v>
      </c>
      <c r="AI705">
        <v>18</v>
      </c>
      <c r="AJ705">
        <v>0</v>
      </c>
      <c r="AK705">
        <v>96</v>
      </c>
      <c r="AL705" t="s">
        <v>247</v>
      </c>
      <c r="AM705" t="s">
        <v>248</v>
      </c>
      <c r="AN705" t="s">
        <v>249</v>
      </c>
      <c r="AO705" t="s">
        <v>13556</v>
      </c>
      <c r="AP705" t="s">
        <v>13557</v>
      </c>
      <c r="AQ705" t="s">
        <v>74</v>
      </c>
      <c r="AR705" t="s">
        <v>13558</v>
      </c>
      <c r="AS705" t="s">
        <v>13559</v>
      </c>
      <c r="AT705" t="s">
        <v>2017</v>
      </c>
      <c r="AU705">
        <v>2015</v>
      </c>
      <c r="AV705">
        <v>52</v>
      </c>
      <c r="AW705">
        <v>5</v>
      </c>
      <c r="AX705" t="s">
        <v>74</v>
      </c>
      <c r="AY705" t="s">
        <v>74</v>
      </c>
      <c r="AZ705" t="s">
        <v>74</v>
      </c>
      <c r="BA705" t="s">
        <v>74</v>
      </c>
      <c r="BB705">
        <v>1237</v>
      </c>
      <c r="BC705">
        <v>1245</v>
      </c>
      <c r="BD705" t="s">
        <v>74</v>
      </c>
      <c r="BE705" t="s">
        <v>13560</v>
      </c>
      <c r="BF705" t="str">
        <f>HYPERLINK("http://dx.doi.org/10.1111/1365-2664.12491","http://dx.doi.org/10.1111/1365-2664.12491")</f>
        <v>http://dx.doi.org/10.1111/1365-2664.12491</v>
      </c>
      <c r="BG705" t="s">
        <v>74</v>
      </c>
      <c r="BH705" t="s">
        <v>74</v>
      </c>
      <c r="BI705">
        <v>9</v>
      </c>
      <c r="BJ705" t="s">
        <v>13561</v>
      </c>
      <c r="BK705" t="s">
        <v>102</v>
      </c>
      <c r="BL705" t="s">
        <v>756</v>
      </c>
      <c r="BM705" t="s">
        <v>13562</v>
      </c>
      <c r="BN705">
        <v>27546901</v>
      </c>
      <c r="BO705" t="s">
        <v>2296</v>
      </c>
      <c r="BP705" t="s">
        <v>74</v>
      </c>
      <c r="BQ705" t="s">
        <v>74</v>
      </c>
      <c r="BR705" t="s">
        <v>106</v>
      </c>
      <c r="BS705" t="s">
        <v>13563</v>
      </c>
      <c r="BT705" t="str">
        <f>HYPERLINK("https%3A%2F%2Fwww.webofscience.com%2Fwos%2Fwoscc%2Ffull-record%2FWOS:000361186500014","View Full Record in Web of Science")</f>
        <v>View Full Record in Web of Science</v>
      </c>
    </row>
    <row r="706" spans="1:72" x14ac:dyDescent="0.2">
      <c r="A706" t="s">
        <v>72</v>
      </c>
      <c r="B706" t="s">
        <v>13564</v>
      </c>
      <c r="C706" t="s">
        <v>74</v>
      </c>
      <c r="D706" t="s">
        <v>74</v>
      </c>
      <c r="E706" t="s">
        <v>74</v>
      </c>
      <c r="F706" t="s">
        <v>13565</v>
      </c>
      <c r="G706" t="s">
        <v>74</v>
      </c>
      <c r="H706" t="s">
        <v>74</v>
      </c>
      <c r="I706" t="s">
        <v>13566</v>
      </c>
      <c r="J706" t="s">
        <v>995</v>
      </c>
      <c r="K706" t="s">
        <v>74</v>
      </c>
      <c r="L706" t="s">
        <v>74</v>
      </c>
      <c r="M706" t="s">
        <v>78</v>
      </c>
      <c r="N706" t="s">
        <v>79</v>
      </c>
      <c r="O706" t="s">
        <v>74</v>
      </c>
      <c r="P706" t="s">
        <v>74</v>
      </c>
      <c r="Q706" t="s">
        <v>74</v>
      </c>
      <c r="R706" t="s">
        <v>74</v>
      </c>
      <c r="S706" t="s">
        <v>74</v>
      </c>
      <c r="T706" t="s">
        <v>13567</v>
      </c>
      <c r="U706" t="s">
        <v>13568</v>
      </c>
      <c r="V706" t="s">
        <v>13569</v>
      </c>
      <c r="W706" t="s">
        <v>13570</v>
      </c>
      <c r="X706" t="s">
        <v>13571</v>
      </c>
      <c r="Y706" t="s">
        <v>13572</v>
      </c>
      <c r="Z706" t="s">
        <v>13573</v>
      </c>
      <c r="AA706" t="s">
        <v>13574</v>
      </c>
      <c r="AB706" t="s">
        <v>13575</v>
      </c>
      <c r="AC706" t="s">
        <v>13576</v>
      </c>
      <c r="AD706" t="s">
        <v>13577</v>
      </c>
      <c r="AE706" t="s">
        <v>13578</v>
      </c>
      <c r="AF706" t="s">
        <v>74</v>
      </c>
      <c r="AG706">
        <v>69</v>
      </c>
      <c r="AH706">
        <v>44</v>
      </c>
      <c r="AI706">
        <v>52</v>
      </c>
      <c r="AJ706">
        <v>8</v>
      </c>
      <c r="AK706">
        <v>264</v>
      </c>
      <c r="AL706" t="s">
        <v>123</v>
      </c>
      <c r="AM706" t="s">
        <v>124</v>
      </c>
      <c r="AN706" t="s">
        <v>125</v>
      </c>
      <c r="AO706" t="s">
        <v>1008</v>
      </c>
      <c r="AP706" t="s">
        <v>1009</v>
      </c>
      <c r="AQ706" t="s">
        <v>74</v>
      </c>
      <c r="AR706" t="s">
        <v>1010</v>
      </c>
      <c r="AS706" t="s">
        <v>1011</v>
      </c>
      <c r="AT706" t="s">
        <v>4711</v>
      </c>
      <c r="AU706">
        <v>2019</v>
      </c>
      <c r="AV706">
        <v>687</v>
      </c>
      <c r="AW706" t="s">
        <v>74</v>
      </c>
      <c r="AX706" t="s">
        <v>74</v>
      </c>
      <c r="AY706" t="s">
        <v>74</v>
      </c>
      <c r="AZ706" t="s">
        <v>74</v>
      </c>
      <c r="BA706" t="s">
        <v>74</v>
      </c>
      <c r="BB706">
        <v>61</v>
      </c>
      <c r="BC706">
        <v>70</v>
      </c>
      <c r="BD706" t="s">
        <v>74</v>
      </c>
      <c r="BE706" t="s">
        <v>13579</v>
      </c>
      <c r="BF706" t="str">
        <f>HYPERLINK("http://dx.doi.org/10.1016/j.scitotenv.2019.06.054","http://dx.doi.org/10.1016/j.scitotenv.2019.06.054")</f>
        <v>http://dx.doi.org/10.1016/j.scitotenv.2019.06.054</v>
      </c>
      <c r="BG706" t="s">
        <v>74</v>
      </c>
      <c r="BH706" t="s">
        <v>74</v>
      </c>
      <c r="BI706">
        <v>10</v>
      </c>
      <c r="BJ706" t="s">
        <v>567</v>
      </c>
      <c r="BK706" t="s">
        <v>102</v>
      </c>
      <c r="BL706" t="s">
        <v>568</v>
      </c>
      <c r="BM706" t="s">
        <v>13580</v>
      </c>
      <c r="BN706">
        <v>31202014</v>
      </c>
      <c r="BO706" t="s">
        <v>74</v>
      </c>
      <c r="BP706" t="s">
        <v>74</v>
      </c>
      <c r="BQ706" t="s">
        <v>74</v>
      </c>
      <c r="BR706" t="s">
        <v>106</v>
      </c>
      <c r="BS706" t="s">
        <v>13581</v>
      </c>
      <c r="BT706" t="str">
        <f>HYPERLINK("https%3A%2F%2Fwww.webofscience.com%2Fwos%2Fwoscc%2Ffull-record%2FWOS:000480316300008","View Full Record in Web of Science")</f>
        <v>View Full Record in Web of Science</v>
      </c>
    </row>
    <row r="707" spans="1:72" x14ac:dyDescent="0.2">
      <c r="A707" t="s">
        <v>72</v>
      </c>
      <c r="B707" t="s">
        <v>13582</v>
      </c>
      <c r="C707" t="s">
        <v>74</v>
      </c>
      <c r="D707" t="s">
        <v>74</v>
      </c>
      <c r="E707" t="s">
        <v>74</v>
      </c>
      <c r="F707" t="s">
        <v>13583</v>
      </c>
      <c r="G707" t="s">
        <v>74</v>
      </c>
      <c r="H707" t="s">
        <v>74</v>
      </c>
      <c r="I707" t="s">
        <v>13584</v>
      </c>
      <c r="J707" t="s">
        <v>11097</v>
      </c>
      <c r="K707" t="s">
        <v>74</v>
      </c>
      <c r="L707" t="s">
        <v>74</v>
      </c>
      <c r="M707" t="s">
        <v>78</v>
      </c>
      <c r="N707" t="s">
        <v>79</v>
      </c>
      <c r="O707" t="s">
        <v>74</v>
      </c>
      <c r="P707" t="s">
        <v>74</v>
      </c>
      <c r="Q707" t="s">
        <v>74</v>
      </c>
      <c r="R707" t="s">
        <v>74</v>
      </c>
      <c r="S707" t="s">
        <v>74</v>
      </c>
      <c r="T707" t="s">
        <v>13585</v>
      </c>
      <c r="U707" t="s">
        <v>13586</v>
      </c>
      <c r="V707" t="s">
        <v>13587</v>
      </c>
      <c r="W707" t="s">
        <v>13588</v>
      </c>
      <c r="X707" t="s">
        <v>11102</v>
      </c>
      <c r="Y707" t="s">
        <v>11103</v>
      </c>
      <c r="Z707" t="s">
        <v>11104</v>
      </c>
      <c r="AA707" t="s">
        <v>13589</v>
      </c>
      <c r="AB707" t="s">
        <v>13590</v>
      </c>
      <c r="AC707" t="s">
        <v>13591</v>
      </c>
      <c r="AD707" t="s">
        <v>13592</v>
      </c>
      <c r="AE707" t="s">
        <v>11109</v>
      </c>
      <c r="AF707" t="s">
        <v>74</v>
      </c>
      <c r="AG707">
        <v>84</v>
      </c>
      <c r="AH707">
        <v>6</v>
      </c>
      <c r="AI707">
        <v>8</v>
      </c>
      <c r="AJ707">
        <v>6</v>
      </c>
      <c r="AK707">
        <v>60</v>
      </c>
      <c r="AL707" t="s">
        <v>585</v>
      </c>
      <c r="AM707" t="s">
        <v>306</v>
      </c>
      <c r="AN707" t="s">
        <v>586</v>
      </c>
      <c r="AO707" t="s">
        <v>11110</v>
      </c>
      <c r="AP707" t="s">
        <v>11111</v>
      </c>
      <c r="AQ707" t="s">
        <v>74</v>
      </c>
      <c r="AR707" t="s">
        <v>11112</v>
      </c>
      <c r="AS707" t="s">
        <v>11113</v>
      </c>
      <c r="AT707" t="s">
        <v>9369</v>
      </c>
      <c r="AU707">
        <v>2022</v>
      </c>
      <c r="AV707">
        <v>68</v>
      </c>
      <c r="AW707">
        <v>4</v>
      </c>
      <c r="AX707" t="s">
        <v>74</v>
      </c>
      <c r="AY707" t="s">
        <v>74</v>
      </c>
      <c r="AZ707" t="s">
        <v>74</v>
      </c>
      <c r="BA707" t="s">
        <v>74</v>
      </c>
      <c r="BB707">
        <v>473</v>
      </c>
      <c r="BC707">
        <v>490</v>
      </c>
      <c r="BD707" t="s">
        <v>74</v>
      </c>
      <c r="BE707" t="s">
        <v>13593</v>
      </c>
      <c r="BF707" t="str">
        <f>HYPERLINK("http://dx.doi.org/10.1080/00380768.2022.2087198","http://dx.doi.org/10.1080/00380768.2022.2087198")</f>
        <v>http://dx.doi.org/10.1080/00380768.2022.2087198</v>
      </c>
      <c r="BG707" t="s">
        <v>74</v>
      </c>
      <c r="BH707" t="s">
        <v>2829</v>
      </c>
      <c r="BI707">
        <v>18</v>
      </c>
      <c r="BJ707" t="s">
        <v>11115</v>
      </c>
      <c r="BK707" t="s">
        <v>102</v>
      </c>
      <c r="BL707" t="s">
        <v>11116</v>
      </c>
      <c r="BM707" t="s">
        <v>11117</v>
      </c>
      <c r="BN707" t="s">
        <v>74</v>
      </c>
      <c r="BO707" t="s">
        <v>74</v>
      </c>
      <c r="BP707" t="s">
        <v>74</v>
      </c>
      <c r="BQ707" t="s">
        <v>74</v>
      </c>
      <c r="BR707" t="s">
        <v>106</v>
      </c>
      <c r="BS707" t="s">
        <v>13594</v>
      </c>
      <c r="BT707" t="str">
        <f>HYPERLINK("https%3A%2F%2Fwww.webofscience.com%2Fwos%2Fwoscc%2Ffull-record%2FWOS:000812125900001","View Full Record in Web of Science")</f>
        <v>View Full Record in Web of Science</v>
      </c>
    </row>
    <row r="708" spans="1:72" x14ac:dyDescent="0.2">
      <c r="A708" t="s">
        <v>72</v>
      </c>
      <c r="B708" t="s">
        <v>13595</v>
      </c>
      <c r="C708" t="s">
        <v>74</v>
      </c>
      <c r="D708" t="s">
        <v>74</v>
      </c>
      <c r="E708" t="s">
        <v>74</v>
      </c>
      <c r="F708" t="s">
        <v>13596</v>
      </c>
      <c r="G708" t="s">
        <v>74</v>
      </c>
      <c r="H708" t="s">
        <v>74</v>
      </c>
      <c r="I708" t="s">
        <v>13597</v>
      </c>
      <c r="J708" t="s">
        <v>1526</v>
      </c>
      <c r="K708" t="s">
        <v>74</v>
      </c>
      <c r="L708" t="s">
        <v>74</v>
      </c>
      <c r="M708" t="s">
        <v>78</v>
      </c>
      <c r="N708" t="s">
        <v>79</v>
      </c>
      <c r="O708" t="s">
        <v>74</v>
      </c>
      <c r="P708" t="s">
        <v>74</v>
      </c>
      <c r="Q708" t="s">
        <v>74</v>
      </c>
      <c r="R708" t="s">
        <v>74</v>
      </c>
      <c r="S708" t="s">
        <v>74</v>
      </c>
      <c r="T708" t="s">
        <v>13598</v>
      </c>
      <c r="U708" t="s">
        <v>13599</v>
      </c>
      <c r="V708" t="s">
        <v>13600</v>
      </c>
      <c r="W708" t="s">
        <v>13601</v>
      </c>
      <c r="X708" t="s">
        <v>13602</v>
      </c>
      <c r="Y708" t="s">
        <v>13603</v>
      </c>
      <c r="Z708" t="s">
        <v>13604</v>
      </c>
      <c r="AA708" t="s">
        <v>13605</v>
      </c>
      <c r="AB708" t="s">
        <v>13606</v>
      </c>
      <c r="AC708" t="s">
        <v>13607</v>
      </c>
      <c r="AD708" t="s">
        <v>13607</v>
      </c>
      <c r="AE708" t="s">
        <v>13608</v>
      </c>
      <c r="AF708" t="s">
        <v>74</v>
      </c>
      <c r="AG708">
        <v>85</v>
      </c>
      <c r="AH708">
        <v>104</v>
      </c>
      <c r="AI708">
        <v>114</v>
      </c>
      <c r="AJ708">
        <v>15</v>
      </c>
      <c r="AK708">
        <v>132</v>
      </c>
      <c r="AL708" t="s">
        <v>176</v>
      </c>
      <c r="AM708" t="s">
        <v>1610</v>
      </c>
      <c r="AN708" t="s">
        <v>1611</v>
      </c>
      <c r="AO708" t="s">
        <v>1538</v>
      </c>
      <c r="AP708" t="s">
        <v>1539</v>
      </c>
      <c r="AQ708" t="s">
        <v>74</v>
      </c>
      <c r="AR708" t="s">
        <v>1540</v>
      </c>
      <c r="AS708" t="s">
        <v>1541</v>
      </c>
      <c r="AT708" t="s">
        <v>3826</v>
      </c>
      <c r="AU708">
        <v>2019</v>
      </c>
      <c r="AV708">
        <v>226</v>
      </c>
      <c r="AW708" t="s">
        <v>74</v>
      </c>
      <c r="AX708" t="s">
        <v>74</v>
      </c>
      <c r="AY708" t="s">
        <v>74</v>
      </c>
      <c r="AZ708" t="s">
        <v>74</v>
      </c>
      <c r="BA708" t="s">
        <v>74</v>
      </c>
      <c r="BB708">
        <v>815</v>
      </c>
      <c r="BC708">
        <v>830</v>
      </c>
      <c r="BD708" t="s">
        <v>74</v>
      </c>
      <c r="BE708" t="s">
        <v>13609</v>
      </c>
      <c r="BF708" t="str">
        <f>HYPERLINK("http://dx.doi.org/10.1016/j.jclepro.2019.04.041","http://dx.doi.org/10.1016/j.jclepro.2019.04.041")</f>
        <v>http://dx.doi.org/10.1016/j.jclepro.2019.04.041</v>
      </c>
      <c r="BG708" t="s">
        <v>74</v>
      </c>
      <c r="BH708" t="s">
        <v>74</v>
      </c>
      <c r="BI708">
        <v>16</v>
      </c>
      <c r="BJ708" t="s">
        <v>1543</v>
      </c>
      <c r="BK708" t="s">
        <v>102</v>
      </c>
      <c r="BL708" t="s">
        <v>1544</v>
      </c>
      <c r="BM708" t="s">
        <v>13610</v>
      </c>
      <c r="BN708" t="s">
        <v>74</v>
      </c>
      <c r="BO708" t="s">
        <v>74</v>
      </c>
      <c r="BP708" t="s">
        <v>74</v>
      </c>
      <c r="BQ708" t="s">
        <v>74</v>
      </c>
      <c r="BR708" t="s">
        <v>106</v>
      </c>
      <c r="BS708" t="s">
        <v>13611</v>
      </c>
      <c r="BT708" t="str">
        <f>HYPERLINK("https%3A%2F%2Fwww.webofscience.com%2Fwos%2Fwoscc%2Ffull-record%2FWOS:000469901200070","View Full Record in Web of Science")</f>
        <v>View Full Record in Web of Science</v>
      </c>
    </row>
    <row r="709" spans="1:72" x14ac:dyDescent="0.2">
      <c r="A709" t="s">
        <v>72</v>
      </c>
      <c r="B709" t="s">
        <v>13612</v>
      </c>
      <c r="C709" t="s">
        <v>74</v>
      </c>
      <c r="D709" t="s">
        <v>74</v>
      </c>
      <c r="E709" t="s">
        <v>74</v>
      </c>
      <c r="F709" t="s">
        <v>13613</v>
      </c>
      <c r="G709" t="s">
        <v>74</v>
      </c>
      <c r="H709" t="s">
        <v>74</v>
      </c>
      <c r="I709" t="s">
        <v>13614</v>
      </c>
      <c r="J709" t="s">
        <v>995</v>
      </c>
      <c r="K709" t="s">
        <v>74</v>
      </c>
      <c r="L709" t="s">
        <v>74</v>
      </c>
      <c r="M709" t="s">
        <v>78</v>
      </c>
      <c r="N709" t="s">
        <v>79</v>
      </c>
      <c r="O709" t="s">
        <v>74</v>
      </c>
      <c r="P709" t="s">
        <v>74</v>
      </c>
      <c r="Q709" t="s">
        <v>74</v>
      </c>
      <c r="R709" t="s">
        <v>74</v>
      </c>
      <c r="S709" t="s">
        <v>74</v>
      </c>
      <c r="T709" t="s">
        <v>13615</v>
      </c>
      <c r="U709" t="s">
        <v>13616</v>
      </c>
      <c r="V709" t="s">
        <v>13617</v>
      </c>
      <c r="W709" t="s">
        <v>13618</v>
      </c>
      <c r="X709" t="s">
        <v>13619</v>
      </c>
      <c r="Y709" t="s">
        <v>13620</v>
      </c>
      <c r="Z709" t="s">
        <v>13621</v>
      </c>
      <c r="AA709" t="s">
        <v>13622</v>
      </c>
      <c r="AB709" t="s">
        <v>13623</v>
      </c>
      <c r="AC709" t="s">
        <v>74</v>
      </c>
      <c r="AD709" t="s">
        <v>74</v>
      </c>
      <c r="AE709" t="s">
        <v>74</v>
      </c>
      <c r="AF709" t="s">
        <v>74</v>
      </c>
      <c r="AG709">
        <v>80</v>
      </c>
      <c r="AH709">
        <v>13</v>
      </c>
      <c r="AI709">
        <v>13</v>
      </c>
      <c r="AJ709">
        <v>25</v>
      </c>
      <c r="AK709">
        <v>114</v>
      </c>
      <c r="AL709" t="s">
        <v>123</v>
      </c>
      <c r="AM709" t="s">
        <v>124</v>
      </c>
      <c r="AN709" t="s">
        <v>125</v>
      </c>
      <c r="AO709" t="s">
        <v>1008</v>
      </c>
      <c r="AP709" t="s">
        <v>1009</v>
      </c>
      <c r="AQ709" t="s">
        <v>74</v>
      </c>
      <c r="AR709" t="s">
        <v>1010</v>
      </c>
      <c r="AS709" t="s">
        <v>1011</v>
      </c>
      <c r="AT709" t="s">
        <v>3405</v>
      </c>
      <c r="AU709">
        <v>2023</v>
      </c>
      <c r="AV709">
        <v>897</v>
      </c>
      <c r="AW709" t="s">
        <v>74</v>
      </c>
      <c r="AX709" t="s">
        <v>74</v>
      </c>
      <c r="AY709" t="s">
        <v>74</v>
      </c>
      <c r="AZ709" t="s">
        <v>74</v>
      </c>
      <c r="BA709" t="s">
        <v>74</v>
      </c>
      <c r="BB709" t="s">
        <v>74</v>
      </c>
      <c r="BC709" t="s">
        <v>74</v>
      </c>
      <c r="BD709">
        <v>165176</v>
      </c>
      <c r="BE709" t="s">
        <v>13624</v>
      </c>
      <c r="BF709" t="str">
        <f>HYPERLINK("http://dx.doi.org/10.1016/j.scitotenv.2023.165176","http://dx.doi.org/10.1016/j.scitotenv.2023.165176")</f>
        <v>http://dx.doi.org/10.1016/j.scitotenv.2023.165176</v>
      </c>
      <c r="BG709" t="s">
        <v>74</v>
      </c>
      <c r="BH709" t="s">
        <v>4519</v>
      </c>
      <c r="BI709">
        <v>12</v>
      </c>
      <c r="BJ709" t="s">
        <v>567</v>
      </c>
      <c r="BK709" t="s">
        <v>102</v>
      </c>
      <c r="BL709" t="s">
        <v>568</v>
      </c>
      <c r="BM709" t="s">
        <v>13625</v>
      </c>
      <c r="BN709">
        <v>37391141</v>
      </c>
      <c r="BO709" t="s">
        <v>74</v>
      </c>
      <c r="BP709" t="s">
        <v>74</v>
      </c>
      <c r="BQ709" t="s">
        <v>74</v>
      </c>
      <c r="BR709" t="s">
        <v>106</v>
      </c>
      <c r="BS709" t="s">
        <v>13626</v>
      </c>
      <c r="BT709" t="str">
        <f>HYPERLINK("https%3A%2F%2Fwww.webofscience.com%2Fwos%2Fwoscc%2Ffull-record%2FWOS:001044989900001","View Full Record in Web of Science")</f>
        <v>View Full Record in Web of Science</v>
      </c>
    </row>
    <row r="710" spans="1:72" x14ac:dyDescent="0.2">
      <c r="A710" t="s">
        <v>72</v>
      </c>
      <c r="B710" t="s">
        <v>13627</v>
      </c>
      <c r="C710" t="s">
        <v>74</v>
      </c>
      <c r="D710" t="s">
        <v>74</v>
      </c>
      <c r="E710" t="s">
        <v>74</v>
      </c>
      <c r="F710" t="s">
        <v>13628</v>
      </c>
      <c r="G710" t="s">
        <v>74</v>
      </c>
      <c r="H710" t="s">
        <v>74</v>
      </c>
      <c r="I710" t="s">
        <v>13629</v>
      </c>
      <c r="J710" t="s">
        <v>1451</v>
      </c>
      <c r="K710" t="s">
        <v>74</v>
      </c>
      <c r="L710" t="s">
        <v>74</v>
      </c>
      <c r="M710" t="s">
        <v>78</v>
      </c>
      <c r="N710" t="s">
        <v>79</v>
      </c>
      <c r="O710" t="s">
        <v>74</v>
      </c>
      <c r="P710" t="s">
        <v>74</v>
      </c>
      <c r="Q710" t="s">
        <v>74</v>
      </c>
      <c r="R710" t="s">
        <v>74</v>
      </c>
      <c r="S710" t="s">
        <v>74</v>
      </c>
      <c r="T710" t="s">
        <v>13630</v>
      </c>
      <c r="U710" t="s">
        <v>13631</v>
      </c>
      <c r="V710" t="s">
        <v>13632</v>
      </c>
      <c r="W710" t="s">
        <v>13633</v>
      </c>
      <c r="X710" t="s">
        <v>13634</v>
      </c>
      <c r="Y710" t="s">
        <v>13635</v>
      </c>
      <c r="Z710" t="s">
        <v>13636</v>
      </c>
      <c r="AA710" t="s">
        <v>13637</v>
      </c>
      <c r="AB710" t="s">
        <v>74</v>
      </c>
      <c r="AC710" t="s">
        <v>13638</v>
      </c>
      <c r="AD710" t="s">
        <v>13639</v>
      </c>
      <c r="AE710" t="s">
        <v>13640</v>
      </c>
      <c r="AF710" t="s">
        <v>74</v>
      </c>
      <c r="AG710">
        <v>53</v>
      </c>
      <c r="AH710">
        <v>23</v>
      </c>
      <c r="AI710">
        <v>28</v>
      </c>
      <c r="AJ710">
        <v>14</v>
      </c>
      <c r="AK710">
        <v>163</v>
      </c>
      <c r="AL710" t="s">
        <v>123</v>
      </c>
      <c r="AM710" t="s">
        <v>124</v>
      </c>
      <c r="AN710" t="s">
        <v>125</v>
      </c>
      <c r="AO710" t="s">
        <v>1464</v>
      </c>
      <c r="AP710" t="s">
        <v>1465</v>
      </c>
      <c r="AQ710" t="s">
        <v>74</v>
      </c>
      <c r="AR710" t="s">
        <v>1466</v>
      </c>
      <c r="AS710" t="s">
        <v>1467</v>
      </c>
      <c r="AT710" t="s">
        <v>1632</v>
      </c>
      <c r="AU710">
        <v>2023</v>
      </c>
      <c r="AV710">
        <v>341</v>
      </c>
      <c r="AW710" t="s">
        <v>74</v>
      </c>
      <c r="AX710" t="s">
        <v>74</v>
      </c>
      <c r="AY710" t="s">
        <v>74</v>
      </c>
      <c r="AZ710" t="s">
        <v>74</v>
      </c>
      <c r="BA710" t="s">
        <v>74</v>
      </c>
      <c r="BB710" t="s">
        <v>74</v>
      </c>
      <c r="BC710" t="s">
        <v>74</v>
      </c>
      <c r="BD710">
        <v>108209</v>
      </c>
      <c r="BE710" t="s">
        <v>13641</v>
      </c>
      <c r="BF710" t="str">
        <f>HYPERLINK("http://dx.doi.org/10.1016/j.agee.2022.108209","http://dx.doi.org/10.1016/j.agee.2022.108209")</f>
        <v>http://dx.doi.org/10.1016/j.agee.2022.108209</v>
      </c>
      <c r="BG710" t="s">
        <v>74</v>
      </c>
      <c r="BH710" t="s">
        <v>11795</v>
      </c>
      <c r="BI710">
        <v>11</v>
      </c>
      <c r="BJ710" t="s">
        <v>1470</v>
      </c>
      <c r="BK710" t="s">
        <v>102</v>
      </c>
      <c r="BL710" t="s">
        <v>1471</v>
      </c>
      <c r="BM710" t="s">
        <v>13642</v>
      </c>
      <c r="BN710" t="s">
        <v>74</v>
      </c>
      <c r="BO710" t="s">
        <v>74</v>
      </c>
      <c r="BP710" t="s">
        <v>74</v>
      </c>
      <c r="BQ710" t="s">
        <v>74</v>
      </c>
      <c r="BR710" t="s">
        <v>106</v>
      </c>
      <c r="BS710" t="s">
        <v>13643</v>
      </c>
      <c r="BT710" t="str">
        <f>HYPERLINK("https%3A%2F%2Fwww.webofscience.com%2Fwos%2Fwoscc%2Ffull-record%2FWOS:000888084300007","View Full Record in Web of Science")</f>
        <v>View Full Record in Web of Science</v>
      </c>
    </row>
    <row r="711" spans="1:72" x14ac:dyDescent="0.2">
      <c r="A711" t="s">
        <v>72</v>
      </c>
      <c r="B711" t="s">
        <v>13644</v>
      </c>
      <c r="C711" t="s">
        <v>74</v>
      </c>
      <c r="D711" t="s">
        <v>74</v>
      </c>
      <c r="E711" t="s">
        <v>74</v>
      </c>
      <c r="F711" t="s">
        <v>13645</v>
      </c>
      <c r="G711" t="s">
        <v>74</v>
      </c>
      <c r="H711" t="s">
        <v>74</v>
      </c>
      <c r="I711" t="s">
        <v>13646</v>
      </c>
      <c r="J711" t="s">
        <v>3035</v>
      </c>
      <c r="K711" t="s">
        <v>74</v>
      </c>
      <c r="L711" t="s">
        <v>74</v>
      </c>
      <c r="M711" t="s">
        <v>78</v>
      </c>
      <c r="N711" t="s">
        <v>79</v>
      </c>
      <c r="O711" t="s">
        <v>74</v>
      </c>
      <c r="P711" t="s">
        <v>74</v>
      </c>
      <c r="Q711" t="s">
        <v>74</v>
      </c>
      <c r="R711" t="s">
        <v>74</v>
      </c>
      <c r="S711" t="s">
        <v>74</v>
      </c>
      <c r="T711" t="s">
        <v>13647</v>
      </c>
      <c r="U711" t="s">
        <v>13648</v>
      </c>
      <c r="V711" t="s">
        <v>13649</v>
      </c>
      <c r="W711" t="s">
        <v>13650</v>
      </c>
      <c r="X711" t="s">
        <v>2221</v>
      </c>
      <c r="Y711" t="s">
        <v>13651</v>
      </c>
      <c r="Z711" t="s">
        <v>13652</v>
      </c>
      <c r="AA711" t="s">
        <v>13653</v>
      </c>
      <c r="AB711" t="s">
        <v>13654</v>
      </c>
      <c r="AC711" t="s">
        <v>13655</v>
      </c>
      <c r="AD711" t="s">
        <v>13655</v>
      </c>
      <c r="AE711" t="s">
        <v>13656</v>
      </c>
      <c r="AF711" t="s">
        <v>74</v>
      </c>
      <c r="AG711">
        <v>112</v>
      </c>
      <c r="AH711">
        <v>0</v>
      </c>
      <c r="AI711">
        <v>0</v>
      </c>
      <c r="AJ711">
        <v>7</v>
      </c>
      <c r="AK711">
        <v>23</v>
      </c>
      <c r="AL711" t="s">
        <v>1820</v>
      </c>
      <c r="AM711" t="s">
        <v>3047</v>
      </c>
      <c r="AN711" t="s">
        <v>3048</v>
      </c>
      <c r="AO711" t="s">
        <v>3049</v>
      </c>
      <c r="AP711" t="s">
        <v>3050</v>
      </c>
      <c r="AQ711" t="s">
        <v>74</v>
      </c>
      <c r="AR711" t="s">
        <v>3051</v>
      </c>
      <c r="AS711" t="s">
        <v>3052</v>
      </c>
      <c r="AT711" t="s">
        <v>74</v>
      </c>
      <c r="AU711">
        <v>2024</v>
      </c>
      <c r="AV711">
        <v>64</v>
      </c>
      <c r="AW711">
        <v>12</v>
      </c>
      <c r="AX711" t="s">
        <v>74</v>
      </c>
      <c r="AY711" t="s">
        <v>74</v>
      </c>
      <c r="AZ711" t="s">
        <v>1070</v>
      </c>
      <c r="BA711" t="s">
        <v>74</v>
      </c>
      <c r="BB711" t="s">
        <v>74</v>
      </c>
      <c r="BC711" t="s">
        <v>74</v>
      </c>
      <c r="BD711" t="s">
        <v>13657</v>
      </c>
      <c r="BE711" t="s">
        <v>13658</v>
      </c>
      <c r="BF711" t="str">
        <f>HYPERLINK("http://dx.doi.org/10.1071/AN24040","http://dx.doi.org/10.1071/AN24040")</f>
        <v>http://dx.doi.org/10.1071/AN24040</v>
      </c>
      <c r="BG711" t="s">
        <v>74</v>
      </c>
      <c r="BH711" t="s">
        <v>74</v>
      </c>
      <c r="BI711">
        <v>15</v>
      </c>
      <c r="BJ711" t="s">
        <v>3055</v>
      </c>
      <c r="BK711" t="s">
        <v>102</v>
      </c>
      <c r="BL711" t="s">
        <v>103</v>
      </c>
      <c r="BM711" t="s">
        <v>13659</v>
      </c>
      <c r="BN711" t="s">
        <v>74</v>
      </c>
      <c r="BO711" t="s">
        <v>74</v>
      </c>
      <c r="BP711" t="s">
        <v>74</v>
      </c>
      <c r="BQ711" t="s">
        <v>74</v>
      </c>
      <c r="BR711" t="s">
        <v>106</v>
      </c>
      <c r="BS711" t="s">
        <v>13660</v>
      </c>
      <c r="BT711" t="str">
        <f>HYPERLINK("https%3A%2F%2Fwww.webofscience.com%2Fwos%2Fwoscc%2Ffull-record%2FWOS:001282467400001","View Full Record in Web of Science")</f>
        <v>View Full Record in Web of Science</v>
      </c>
    </row>
    <row r="712" spans="1:72" x14ac:dyDescent="0.2">
      <c r="A712" t="s">
        <v>72</v>
      </c>
      <c r="B712" t="s">
        <v>13661</v>
      </c>
      <c r="C712" t="s">
        <v>74</v>
      </c>
      <c r="D712" t="s">
        <v>74</v>
      </c>
      <c r="E712" t="s">
        <v>74</v>
      </c>
      <c r="F712" t="s">
        <v>13662</v>
      </c>
      <c r="G712" t="s">
        <v>74</v>
      </c>
      <c r="H712" t="s">
        <v>74</v>
      </c>
      <c r="I712" t="s">
        <v>13663</v>
      </c>
      <c r="J712" t="s">
        <v>762</v>
      </c>
      <c r="K712" t="s">
        <v>74</v>
      </c>
      <c r="L712" t="s">
        <v>74</v>
      </c>
      <c r="M712" t="s">
        <v>78</v>
      </c>
      <c r="N712" t="s">
        <v>79</v>
      </c>
      <c r="O712" t="s">
        <v>74</v>
      </c>
      <c r="P712" t="s">
        <v>74</v>
      </c>
      <c r="Q712" t="s">
        <v>74</v>
      </c>
      <c r="R712" t="s">
        <v>74</v>
      </c>
      <c r="S712" t="s">
        <v>74</v>
      </c>
      <c r="T712" t="s">
        <v>13664</v>
      </c>
      <c r="U712" t="s">
        <v>13665</v>
      </c>
      <c r="V712" t="s">
        <v>13666</v>
      </c>
      <c r="W712" t="s">
        <v>13667</v>
      </c>
      <c r="X712" t="s">
        <v>13668</v>
      </c>
      <c r="Y712" t="s">
        <v>13669</v>
      </c>
      <c r="Z712" t="s">
        <v>13670</v>
      </c>
      <c r="AA712" t="s">
        <v>13671</v>
      </c>
      <c r="AB712" t="s">
        <v>13672</v>
      </c>
      <c r="AC712" t="s">
        <v>13673</v>
      </c>
      <c r="AD712" t="s">
        <v>13674</v>
      </c>
      <c r="AE712" t="s">
        <v>13675</v>
      </c>
      <c r="AF712" t="s">
        <v>74</v>
      </c>
      <c r="AG712">
        <v>54</v>
      </c>
      <c r="AH712">
        <v>6</v>
      </c>
      <c r="AI712">
        <v>8</v>
      </c>
      <c r="AJ712">
        <v>2</v>
      </c>
      <c r="AK712">
        <v>36</v>
      </c>
      <c r="AL712" t="s">
        <v>1631</v>
      </c>
      <c r="AM712" t="s">
        <v>13676</v>
      </c>
      <c r="AN712" t="s">
        <v>13677</v>
      </c>
      <c r="AO712" t="s">
        <v>778</v>
      </c>
      <c r="AP712" t="s">
        <v>74</v>
      </c>
      <c r="AQ712" t="s">
        <v>74</v>
      </c>
      <c r="AR712" t="s">
        <v>779</v>
      </c>
      <c r="AS712" t="s">
        <v>780</v>
      </c>
      <c r="AT712" t="s">
        <v>2977</v>
      </c>
      <c r="AU712">
        <v>2023</v>
      </c>
      <c r="AV712">
        <v>18</v>
      </c>
      <c r="AW712">
        <v>9</v>
      </c>
      <c r="AX712" t="s">
        <v>74</v>
      </c>
      <c r="AY712" t="s">
        <v>74</v>
      </c>
      <c r="AZ712" t="s">
        <v>74</v>
      </c>
      <c r="BA712" t="s">
        <v>74</v>
      </c>
      <c r="BB712" t="s">
        <v>74</v>
      </c>
      <c r="BC712" t="s">
        <v>74</v>
      </c>
      <c r="BD712">
        <v>94019</v>
      </c>
      <c r="BE712" t="s">
        <v>13678</v>
      </c>
      <c r="BF712" t="str">
        <f>HYPERLINK("http://dx.doi.org/10.1088/1748-9326/aced18","http://dx.doi.org/10.1088/1748-9326/aced18")</f>
        <v>http://dx.doi.org/10.1088/1748-9326/aced18</v>
      </c>
      <c r="BG712" t="s">
        <v>74</v>
      </c>
      <c r="BH712" t="s">
        <v>74</v>
      </c>
      <c r="BI712">
        <v>13</v>
      </c>
      <c r="BJ712" t="s">
        <v>782</v>
      </c>
      <c r="BK712" t="s">
        <v>102</v>
      </c>
      <c r="BL712" t="s">
        <v>783</v>
      </c>
      <c r="BM712" t="s">
        <v>13679</v>
      </c>
      <c r="BN712" t="s">
        <v>74</v>
      </c>
      <c r="BO712" t="s">
        <v>231</v>
      </c>
      <c r="BP712" t="s">
        <v>74</v>
      </c>
      <c r="BQ712" t="s">
        <v>74</v>
      </c>
      <c r="BR712" t="s">
        <v>106</v>
      </c>
      <c r="BS712" t="s">
        <v>13680</v>
      </c>
      <c r="BT712" t="str">
        <f>HYPERLINK("https%3A%2F%2Fwww.webofscience.com%2Fwos%2Fwoscc%2Ffull-record%2FWOS:001048992800001","View Full Record in Web of Science")</f>
        <v>View Full Record in Web of Science</v>
      </c>
    </row>
    <row r="713" spans="1:72" x14ac:dyDescent="0.2">
      <c r="A713" t="s">
        <v>72</v>
      </c>
      <c r="B713" t="s">
        <v>13681</v>
      </c>
      <c r="C713" t="s">
        <v>74</v>
      </c>
      <c r="D713" t="s">
        <v>74</v>
      </c>
      <c r="E713" t="s">
        <v>74</v>
      </c>
      <c r="F713" t="s">
        <v>13682</v>
      </c>
      <c r="G713" t="s">
        <v>74</v>
      </c>
      <c r="H713" t="s">
        <v>74</v>
      </c>
      <c r="I713" t="s">
        <v>13683</v>
      </c>
      <c r="J713" t="s">
        <v>9582</v>
      </c>
      <c r="K713" t="s">
        <v>74</v>
      </c>
      <c r="L713" t="s">
        <v>74</v>
      </c>
      <c r="M713" t="s">
        <v>78</v>
      </c>
      <c r="N713" t="s">
        <v>79</v>
      </c>
      <c r="O713" t="s">
        <v>74</v>
      </c>
      <c r="P713" t="s">
        <v>74</v>
      </c>
      <c r="Q713" t="s">
        <v>74</v>
      </c>
      <c r="R713" t="s">
        <v>74</v>
      </c>
      <c r="S713" t="s">
        <v>74</v>
      </c>
      <c r="T713" t="s">
        <v>13684</v>
      </c>
      <c r="U713" t="s">
        <v>13685</v>
      </c>
      <c r="V713" t="s">
        <v>13686</v>
      </c>
      <c r="W713" t="s">
        <v>13687</v>
      </c>
      <c r="X713" t="s">
        <v>13688</v>
      </c>
      <c r="Y713" t="s">
        <v>13689</v>
      </c>
      <c r="Z713" t="s">
        <v>13690</v>
      </c>
      <c r="AA713" t="s">
        <v>13691</v>
      </c>
      <c r="AB713" t="s">
        <v>13692</v>
      </c>
      <c r="AC713" t="s">
        <v>13693</v>
      </c>
      <c r="AD713" t="s">
        <v>13694</v>
      </c>
      <c r="AE713" t="s">
        <v>13695</v>
      </c>
      <c r="AF713" t="s">
        <v>74</v>
      </c>
      <c r="AG713">
        <v>123</v>
      </c>
      <c r="AH713">
        <v>108</v>
      </c>
      <c r="AI713">
        <v>116</v>
      </c>
      <c r="AJ713">
        <v>2</v>
      </c>
      <c r="AK713">
        <v>99</v>
      </c>
      <c r="AL713" t="s">
        <v>176</v>
      </c>
      <c r="AM713" t="s">
        <v>177</v>
      </c>
      <c r="AN713" t="s">
        <v>178</v>
      </c>
      <c r="AO713" t="s">
        <v>9595</v>
      </c>
      <c r="AP713" t="s">
        <v>9596</v>
      </c>
      <c r="AQ713" t="s">
        <v>74</v>
      </c>
      <c r="AR713" t="s">
        <v>9597</v>
      </c>
      <c r="AS713" t="s">
        <v>9598</v>
      </c>
      <c r="AT713" t="s">
        <v>636</v>
      </c>
      <c r="AU713">
        <v>2020</v>
      </c>
      <c r="AV713">
        <v>259</v>
      </c>
      <c r="AW713" t="s">
        <v>74</v>
      </c>
      <c r="AX713" t="s">
        <v>74</v>
      </c>
      <c r="AY713" t="s">
        <v>74</v>
      </c>
      <c r="AZ713" t="s">
        <v>74</v>
      </c>
      <c r="BA713" t="s">
        <v>74</v>
      </c>
      <c r="BB713" t="s">
        <v>74</v>
      </c>
      <c r="BC713" t="s">
        <v>74</v>
      </c>
      <c r="BD713">
        <v>113871</v>
      </c>
      <c r="BE713" t="s">
        <v>13696</v>
      </c>
      <c r="BF713" t="str">
        <f>HYPERLINK("http://dx.doi.org/10.1016/j.envpol.2019.113871","http://dx.doi.org/10.1016/j.envpol.2019.113871")</f>
        <v>http://dx.doi.org/10.1016/j.envpol.2019.113871</v>
      </c>
      <c r="BG713" t="s">
        <v>74</v>
      </c>
      <c r="BH713" t="s">
        <v>74</v>
      </c>
      <c r="BI713">
        <v>12</v>
      </c>
      <c r="BJ713" t="s">
        <v>567</v>
      </c>
      <c r="BK713" t="s">
        <v>102</v>
      </c>
      <c r="BL713" t="s">
        <v>568</v>
      </c>
      <c r="BM713" t="s">
        <v>13697</v>
      </c>
      <c r="BN713">
        <v>31918141</v>
      </c>
      <c r="BO713" t="s">
        <v>74</v>
      </c>
      <c r="BP713" t="s">
        <v>74</v>
      </c>
      <c r="BQ713" t="s">
        <v>74</v>
      </c>
      <c r="BR713" t="s">
        <v>106</v>
      </c>
      <c r="BS713" t="s">
        <v>13698</v>
      </c>
      <c r="BT713" t="str">
        <f>HYPERLINK("https%3A%2F%2Fwww.webofscience.com%2Fwos%2Fwoscc%2Ffull-record%2FWOS:000528534600049","View Full Record in Web of Science")</f>
        <v>View Full Record in Web of Science</v>
      </c>
    </row>
    <row r="714" spans="1:72" x14ac:dyDescent="0.2">
      <c r="A714" t="s">
        <v>72</v>
      </c>
      <c r="B714" t="s">
        <v>13699</v>
      </c>
      <c r="C714" t="s">
        <v>74</v>
      </c>
      <c r="D714" t="s">
        <v>74</v>
      </c>
      <c r="E714" t="s">
        <v>74</v>
      </c>
      <c r="F714" t="s">
        <v>13700</v>
      </c>
      <c r="G714" t="s">
        <v>74</v>
      </c>
      <c r="H714" t="s">
        <v>74</v>
      </c>
      <c r="I714" t="s">
        <v>13701</v>
      </c>
      <c r="J714" t="s">
        <v>1526</v>
      </c>
      <c r="K714" t="s">
        <v>74</v>
      </c>
      <c r="L714" t="s">
        <v>74</v>
      </c>
      <c r="M714" t="s">
        <v>78</v>
      </c>
      <c r="N714" t="s">
        <v>79</v>
      </c>
      <c r="O714" t="s">
        <v>74</v>
      </c>
      <c r="P714" t="s">
        <v>74</v>
      </c>
      <c r="Q714" t="s">
        <v>74</v>
      </c>
      <c r="R714" t="s">
        <v>74</v>
      </c>
      <c r="S714" t="s">
        <v>74</v>
      </c>
      <c r="T714" t="s">
        <v>13702</v>
      </c>
      <c r="U714" t="s">
        <v>13703</v>
      </c>
      <c r="V714" t="s">
        <v>13704</v>
      </c>
      <c r="W714" t="s">
        <v>13705</v>
      </c>
      <c r="X714" t="s">
        <v>13706</v>
      </c>
      <c r="Y714" t="s">
        <v>13707</v>
      </c>
      <c r="Z714" t="s">
        <v>13708</v>
      </c>
      <c r="AA714" t="s">
        <v>13709</v>
      </c>
      <c r="AB714" t="s">
        <v>13710</v>
      </c>
      <c r="AC714" t="s">
        <v>74</v>
      </c>
      <c r="AD714" t="s">
        <v>74</v>
      </c>
      <c r="AE714" t="s">
        <v>74</v>
      </c>
      <c r="AF714" t="s">
        <v>74</v>
      </c>
      <c r="AG714">
        <v>88</v>
      </c>
      <c r="AH714">
        <v>65</v>
      </c>
      <c r="AI714">
        <v>82</v>
      </c>
      <c r="AJ714">
        <v>8</v>
      </c>
      <c r="AK714">
        <v>361</v>
      </c>
      <c r="AL714" t="s">
        <v>176</v>
      </c>
      <c r="AM714" t="s">
        <v>177</v>
      </c>
      <c r="AN714" t="s">
        <v>178</v>
      </c>
      <c r="AO714" t="s">
        <v>1538</v>
      </c>
      <c r="AP714" t="s">
        <v>1539</v>
      </c>
      <c r="AQ714" t="s">
        <v>74</v>
      </c>
      <c r="AR714" t="s">
        <v>1540</v>
      </c>
      <c r="AS714" t="s">
        <v>1541</v>
      </c>
      <c r="AT714" t="s">
        <v>8106</v>
      </c>
      <c r="AU714">
        <v>2019</v>
      </c>
      <c r="AV714">
        <v>235</v>
      </c>
      <c r="AW714" t="s">
        <v>74</v>
      </c>
      <c r="AX714" t="s">
        <v>74</v>
      </c>
      <c r="AY714" t="s">
        <v>74</v>
      </c>
      <c r="AZ714" t="s">
        <v>74</v>
      </c>
      <c r="BA714" t="s">
        <v>74</v>
      </c>
      <c r="BB714">
        <v>96</v>
      </c>
      <c r="BC714">
        <v>111</v>
      </c>
      <c r="BD714" t="s">
        <v>74</v>
      </c>
      <c r="BE714" t="s">
        <v>13711</v>
      </c>
      <c r="BF714" t="str">
        <f>HYPERLINK("http://dx.doi.org/10.1016/j.jclepro.2019.06.252","http://dx.doi.org/10.1016/j.jclepro.2019.06.252")</f>
        <v>http://dx.doi.org/10.1016/j.jclepro.2019.06.252</v>
      </c>
      <c r="BG714" t="s">
        <v>74</v>
      </c>
      <c r="BH714" t="s">
        <v>74</v>
      </c>
      <c r="BI714">
        <v>16</v>
      </c>
      <c r="BJ714" t="s">
        <v>1543</v>
      </c>
      <c r="BK714" t="s">
        <v>186</v>
      </c>
      <c r="BL714" t="s">
        <v>1544</v>
      </c>
      <c r="BM714" t="s">
        <v>13712</v>
      </c>
      <c r="BN714" t="s">
        <v>74</v>
      </c>
      <c r="BO714" t="s">
        <v>74</v>
      </c>
      <c r="BP714" t="s">
        <v>74</v>
      </c>
      <c r="BQ714" t="s">
        <v>74</v>
      </c>
      <c r="BR714" t="s">
        <v>106</v>
      </c>
      <c r="BS714" t="s">
        <v>13713</v>
      </c>
      <c r="BT714" t="str">
        <f>HYPERLINK("https%3A%2F%2Fwww.webofscience.com%2Fwos%2Fwoscc%2Ffull-record%2FWOS:000482491500009","View Full Record in Web of Science")</f>
        <v>View Full Record in Web of Science</v>
      </c>
    </row>
    <row r="715" spans="1:72" x14ac:dyDescent="0.2">
      <c r="A715" t="s">
        <v>72</v>
      </c>
      <c r="B715" t="s">
        <v>13714</v>
      </c>
      <c r="C715" t="s">
        <v>74</v>
      </c>
      <c r="D715" t="s">
        <v>74</v>
      </c>
      <c r="E715" t="s">
        <v>74</v>
      </c>
      <c r="F715" t="s">
        <v>13715</v>
      </c>
      <c r="G715" t="s">
        <v>74</v>
      </c>
      <c r="H715" t="s">
        <v>74</v>
      </c>
      <c r="I715" t="s">
        <v>13716</v>
      </c>
      <c r="J715" t="s">
        <v>995</v>
      </c>
      <c r="K715" t="s">
        <v>74</v>
      </c>
      <c r="L715" t="s">
        <v>74</v>
      </c>
      <c r="M715" t="s">
        <v>78</v>
      </c>
      <c r="N715" t="s">
        <v>79</v>
      </c>
      <c r="O715" t="s">
        <v>74</v>
      </c>
      <c r="P715" t="s">
        <v>74</v>
      </c>
      <c r="Q715" t="s">
        <v>74</v>
      </c>
      <c r="R715" t="s">
        <v>74</v>
      </c>
      <c r="S715" t="s">
        <v>74</v>
      </c>
      <c r="T715" t="s">
        <v>13717</v>
      </c>
      <c r="U715" t="s">
        <v>13718</v>
      </c>
      <c r="V715" t="s">
        <v>13719</v>
      </c>
      <c r="W715" t="s">
        <v>13720</v>
      </c>
      <c r="X715" t="s">
        <v>13721</v>
      </c>
      <c r="Y715" t="s">
        <v>13722</v>
      </c>
      <c r="Z715" t="s">
        <v>13723</v>
      </c>
      <c r="AA715" t="s">
        <v>13724</v>
      </c>
      <c r="AB715" t="s">
        <v>13725</v>
      </c>
      <c r="AC715" t="s">
        <v>13726</v>
      </c>
      <c r="AD715" t="s">
        <v>13727</v>
      </c>
      <c r="AE715" t="s">
        <v>13728</v>
      </c>
      <c r="AF715" t="s">
        <v>74</v>
      </c>
      <c r="AG715">
        <v>54</v>
      </c>
      <c r="AH715">
        <v>16</v>
      </c>
      <c r="AI715">
        <v>19</v>
      </c>
      <c r="AJ715">
        <v>2</v>
      </c>
      <c r="AK715">
        <v>83</v>
      </c>
      <c r="AL715" t="s">
        <v>123</v>
      </c>
      <c r="AM715" t="s">
        <v>124</v>
      </c>
      <c r="AN715" t="s">
        <v>125</v>
      </c>
      <c r="AO715" t="s">
        <v>1008</v>
      </c>
      <c r="AP715" t="s">
        <v>1009</v>
      </c>
      <c r="AQ715" t="s">
        <v>74</v>
      </c>
      <c r="AR715" t="s">
        <v>1010</v>
      </c>
      <c r="AS715" t="s">
        <v>1011</v>
      </c>
      <c r="AT715" t="s">
        <v>3242</v>
      </c>
      <c r="AU715">
        <v>2020</v>
      </c>
      <c r="AV715">
        <v>744</v>
      </c>
      <c r="AW715" t="s">
        <v>74</v>
      </c>
      <c r="AX715" t="s">
        <v>74</v>
      </c>
      <c r="AY715" t="s">
        <v>74</v>
      </c>
      <c r="AZ715" t="s">
        <v>74</v>
      </c>
      <c r="BA715" t="s">
        <v>74</v>
      </c>
      <c r="BB715" t="s">
        <v>74</v>
      </c>
      <c r="BC715" t="s">
        <v>74</v>
      </c>
      <c r="BD715">
        <v>140359</v>
      </c>
      <c r="BE715" t="s">
        <v>13729</v>
      </c>
      <c r="BF715" t="str">
        <f>HYPERLINK("http://dx.doi.org/10.1016/j.scitotenv.2020.140359","http://dx.doi.org/10.1016/j.scitotenv.2020.140359")</f>
        <v>http://dx.doi.org/10.1016/j.scitotenv.2020.140359</v>
      </c>
      <c r="BG715" t="s">
        <v>74</v>
      </c>
      <c r="BH715" t="s">
        <v>74</v>
      </c>
      <c r="BI715">
        <v>7</v>
      </c>
      <c r="BJ715" t="s">
        <v>567</v>
      </c>
      <c r="BK715" t="s">
        <v>102</v>
      </c>
      <c r="BL715" t="s">
        <v>568</v>
      </c>
      <c r="BM715" t="s">
        <v>13730</v>
      </c>
      <c r="BN715">
        <v>32688001</v>
      </c>
      <c r="BO715" t="s">
        <v>74</v>
      </c>
      <c r="BP715" t="s">
        <v>74</v>
      </c>
      <c r="BQ715" t="s">
        <v>74</v>
      </c>
      <c r="BR715" t="s">
        <v>106</v>
      </c>
      <c r="BS715" t="s">
        <v>13731</v>
      </c>
      <c r="BT715" t="str">
        <f>HYPERLINK("https%3A%2F%2Fwww.webofscience.com%2Fwos%2Fwoscc%2Ffull-record%2FWOS:000578951100001","View Full Record in Web of Science")</f>
        <v>View Full Record in Web of Science</v>
      </c>
    </row>
    <row r="716" spans="1:72" x14ac:dyDescent="0.2">
      <c r="A716" t="s">
        <v>72</v>
      </c>
      <c r="B716" t="s">
        <v>13732</v>
      </c>
      <c r="C716" t="s">
        <v>74</v>
      </c>
      <c r="D716" t="s">
        <v>74</v>
      </c>
      <c r="E716" t="s">
        <v>74</v>
      </c>
      <c r="F716" t="s">
        <v>13733</v>
      </c>
      <c r="G716" t="s">
        <v>74</v>
      </c>
      <c r="H716" t="s">
        <v>74</v>
      </c>
      <c r="I716" t="s">
        <v>13734</v>
      </c>
      <c r="J716" t="s">
        <v>13735</v>
      </c>
      <c r="K716" t="s">
        <v>74</v>
      </c>
      <c r="L716" t="s">
        <v>74</v>
      </c>
      <c r="M716" t="s">
        <v>78</v>
      </c>
      <c r="N716" t="s">
        <v>79</v>
      </c>
      <c r="O716" t="s">
        <v>74</v>
      </c>
      <c r="P716" t="s">
        <v>74</v>
      </c>
      <c r="Q716" t="s">
        <v>74</v>
      </c>
      <c r="R716" t="s">
        <v>74</v>
      </c>
      <c r="S716" t="s">
        <v>74</v>
      </c>
      <c r="T716" t="s">
        <v>13736</v>
      </c>
      <c r="U716" t="s">
        <v>13737</v>
      </c>
      <c r="V716" t="s">
        <v>13738</v>
      </c>
      <c r="W716" t="s">
        <v>13739</v>
      </c>
      <c r="X716" t="s">
        <v>13740</v>
      </c>
      <c r="Y716" t="s">
        <v>13741</v>
      </c>
      <c r="Z716" t="s">
        <v>13742</v>
      </c>
      <c r="AA716" t="s">
        <v>13743</v>
      </c>
      <c r="AB716" t="s">
        <v>74</v>
      </c>
      <c r="AC716" t="s">
        <v>13744</v>
      </c>
      <c r="AD716" t="s">
        <v>13745</v>
      </c>
      <c r="AE716" t="s">
        <v>13746</v>
      </c>
      <c r="AF716" t="s">
        <v>74</v>
      </c>
      <c r="AG716">
        <v>53</v>
      </c>
      <c r="AH716">
        <v>4</v>
      </c>
      <c r="AI716">
        <v>4</v>
      </c>
      <c r="AJ716">
        <v>9</v>
      </c>
      <c r="AK716">
        <v>40</v>
      </c>
      <c r="AL716" t="s">
        <v>13747</v>
      </c>
      <c r="AM716" t="s">
        <v>13748</v>
      </c>
      <c r="AN716" t="s">
        <v>13749</v>
      </c>
      <c r="AO716" t="s">
        <v>13750</v>
      </c>
      <c r="AP716" t="s">
        <v>13751</v>
      </c>
      <c r="AQ716" t="s">
        <v>74</v>
      </c>
      <c r="AR716" t="s">
        <v>13752</v>
      </c>
      <c r="AS716" t="s">
        <v>13753</v>
      </c>
      <c r="AT716" t="s">
        <v>960</v>
      </c>
      <c r="AU716">
        <v>2023</v>
      </c>
      <c r="AV716">
        <v>149</v>
      </c>
      <c r="AW716">
        <v>1</v>
      </c>
      <c r="AX716" t="s">
        <v>74</v>
      </c>
      <c r="AY716" t="s">
        <v>74</v>
      </c>
      <c r="AZ716" t="s">
        <v>74</v>
      </c>
      <c r="BA716" t="s">
        <v>74</v>
      </c>
      <c r="BB716" t="s">
        <v>74</v>
      </c>
      <c r="BC716" t="s">
        <v>74</v>
      </c>
      <c r="BD716">
        <v>4022045</v>
      </c>
      <c r="BE716" t="s">
        <v>13754</v>
      </c>
      <c r="BF716" t="str">
        <f>HYPERLINK("http://dx.doi.org/10.1061/(ASCE)EY.1943-7897.0000876","http://dx.doi.org/10.1061/(ASCE)EY.1943-7897.0000876")</f>
        <v>http://dx.doi.org/10.1061/(ASCE)EY.1943-7897.0000876</v>
      </c>
      <c r="BG716" t="s">
        <v>74</v>
      </c>
      <c r="BH716" t="s">
        <v>74</v>
      </c>
      <c r="BI716">
        <v>13</v>
      </c>
      <c r="BJ716" t="s">
        <v>13755</v>
      </c>
      <c r="BK716" t="s">
        <v>102</v>
      </c>
      <c r="BL716" t="s">
        <v>2980</v>
      </c>
      <c r="BM716" t="s">
        <v>13756</v>
      </c>
      <c r="BN716" t="s">
        <v>74</v>
      </c>
      <c r="BO716" t="s">
        <v>74</v>
      </c>
      <c r="BP716" t="s">
        <v>74</v>
      </c>
      <c r="BQ716" t="s">
        <v>74</v>
      </c>
      <c r="BR716" t="s">
        <v>106</v>
      </c>
      <c r="BS716" t="s">
        <v>13757</v>
      </c>
      <c r="BT716" t="str">
        <f>HYPERLINK("https%3A%2F%2Fwww.webofscience.com%2Fwos%2Fwoscc%2Ffull-record%2FWOS:000899251800018","View Full Record in Web of Science")</f>
        <v>View Full Record in Web of Science</v>
      </c>
    </row>
    <row r="717" spans="1:72" x14ac:dyDescent="0.2">
      <c r="A717" t="s">
        <v>72</v>
      </c>
      <c r="B717" t="s">
        <v>13758</v>
      </c>
      <c r="C717" t="s">
        <v>74</v>
      </c>
      <c r="D717" t="s">
        <v>74</v>
      </c>
      <c r="E717" t="s">
        <v>74</v>
      </c>
      <c r="F717" t="s">
        <v>13759</v>
      </c>
      <c r="G717" t="s">
        <v>74</v>
      </c>
      <c r="H717" t="s">
        <v>74</v>
      </c>
      <c r="I717" t="s">
        <v>13760</v>
      </c>
      <c r="J717" t="s">
        <v>3277</v>
      </c>
      <c r="K717" t="s">
        <v>74</v>
      </c>
      <c r="L717" t="s">
        <v>74</v>
      </c>
      <c r="M717" t="s">
        <v>78</v>
      </c>
      <c r="N717" t="s">
        <v>79</v>
      </c>
      <c r="O717" t="s">
        <v>74</v>
      </c>
      <c r="P717" t="s">
        <v>74</v>
      </c>
      <c r="Q717" t="s">
        <v>74</v>
      </c>
      <c r="R717" t="s">
        <v>74</v>
      </c>
      <c r="S717" t="s">
        <v>74</v>
      </c>
      <c r="T717" t="s">
        <v>74</v>
      </c>
      <c r="U717" t="s">
        <v>13761</v>
      </c>
      <c r="V717" t="s">
        <v>13762</v>
      </c>
      <c r="W717" t="s">
        <v>13763</v>
      </c>
      <c r="X717" t="s">
        <v>13764</v>
      </c>
      <c r="Y717" t="s">
        <v>13765</v>
      </c>
      <c r="Z717" t="s">
        <v>13766</v>
      </c>
      <c r="AA717" t="s">
        <v>13767</v>
      </c>
      <c r="AB717" t="s">
        <v>13768</v>
      </c>
      <c r="AC717" t="s">
        <v>13769</v>
      </c>
      <c r="AD717" t="s">
        <v>13769</v>
      </c>
      <c r="AE717" t="s">
        <v>13770</v>
      </c>
      <c r="AF717" t="s">
        <v>74</v>
      </c>
      <c r="AG717">
        <v>79</v>
      </c>
      <c r="AH717">
        <v>24</v>
      </c>
      <c r="AI717">
        <v>29</v>
      </c>
      <c r="AJ717">
        <v>5</v>
      </c>
      <c r="AK717">
        <v>73</v>
      </c>
      <c r="AL717" t="s">
        <v>3289</v>
      </c>
      <c r="AM717" t="s">
        <v>3290</v>
      </c>
      <c r="AN717" t="s">
        <v>3291</v>
      </c>
      <c r="AO717" t="s">
        <v>3292</v>
      </c>
      <c r="AP717" t="s">
        <v>3293</v>
      </c>
      <c r="AQ717" t="s">
        <v>74</v>
      </c>
      <c r="AR717" t="s">
        <v>3277</v>
      </c>
      <c r="AS717" t="s">
        <v>3294</v>
      </c>
      <c r="AT717" t="s">
        <v>13771</v>
      </c>
      <c r="AU717">
        <v>2019</v>
      </c>
      <c r="AV717">
        <v>16</v>
      </c>
      <c r="AW717">
        <v>3</v>
      </c>
      <c r="AX717" t="s">
        <v>74</v>
      </c>
      <c r="AY717" t="s">
        <v>74</v>
      </c>
      <c r="AZ717" t="s">
        <v>74</v>
      </c>
      <c r="BA717" t="s">
        <v>74</v>
      </c>
      <c r="BB717">
        <v>831</v>
      </c>
      <c r="BC717">
        <v>846</v>
      </c>
      <c r="BD717" t="s">
        <v>74</v>
      </c>
      <c r="BE717" t="s">
        <v>13772</v>
      </c>
      <c r="BF717" t="str">
        <f>HYPERLINK("http://dx.doi.org/10.5194/bg-16-831-2019","http://dx.doi.org/10.5194/bg-16-831-2019")</f>
        <v>http://dx.doi.org/10.5194/bg-16-831-2019</v>
      </c>
      <c r="BG717" t="s">
        <v>74</v>
      </c>
      <c r="BH717" t="s">
        <v>74</v>
      </c>
      <c r="BI717">
        <v>16</v>
      </c>
      <c r="BJ717" t="s">
        <v>3296</v>
      </c>
      <c r="BK717" t="s">
        <v>102</v>
      </c>
      <c r="BL717" t="s">
        <v>1206</v>
      </c>
      <c r="BM717" t="s">
        <v>13773</v>
      </c>
      <c r="BN717" t="s">
        <v>74</v>
      </c>
      <c r="BO717" t="s">
        <v>161</v>
      </c>
      <c r="BP717" t="s">
        <v>74</v>
      </c>
      <c r="BQ717" t="s">
        <v>74</v>
      </c>
      <c r="BR717" t="s">
        <v>106</v>
      </c>
      <c r="BS717" t="s">
        <v>13774</v>
      </c>
      <c r="BT717" t="str">
        <f>HYPERLINK("https%3A%2F%2Fwww.webofscience.com%2Fwos%2Fwoscc%2Ffull-record%2FWOS:000458626400001","View Full Record in Web of Science")</f>
        <v>View Full Record in Web of Science</v>
      </c>
    </row>
    <row r="718" spans="1:72" x14ac:dyDescent="0.2">
      <c r="A718" t="s">
        <v>72</v>
      </c>
      <c r="B718" t="s">
        <v>13775</v>
      </c>
      <c r="C718" t="s">
        <v>74</v>
      </c>
      <c r="D718" t="s">
        <v>74</v>
      </c>
      <c r="E718" t="s">
        <v>74</v>
      </c>
      <c r="F718" t="s">
        <v>13776</v>
      </c>
      <c r="G718" t="s">
        <v>74</v>
      </c>
      <c r="H718" t="s">
        <v>74</v>
      </c>
      <c r="I718" t="s">
        <v>13777</v>
      </c>
      <c r="J718" t="s">
        <v>2044</v>
      </c>
      <c r="K718" t="s">
        <v>74</v>
      </c>
      <c r="L718" t="s">
        <v>74</v>
      </c>
      <c r="M718" t="s">
        <v>78</v>
      </c>
      <c r="N718" t="s">
        <v>2506</v>
      </c>
      <c r="O718" t="s">
        <v>74</v>
      </c>
      <c r="P718" t="s">
        <v>74</v>
      </c>
      <c r="Q718" t="s">
        <v>74</v>
      </c>
      <c r="R718" t="s">
        <v>74</v>
      </c>
      <c r="S718" t="s">
        <v>74</v>
      </c>
      <c r="T718" t="s">
        <v>13778</v>
      </c>
      <c r="U718" t="s">
        <v>13779</v>
      </c>
      <c r="V718" t="s">
        <v>13780</v>
      </c>
      <c r="W718" t="s">
        <v>13781</v>
      </c>
      <c r="X718" t="s">
        <v>13782</v>
      </c>
      <c r="Y718" t="s">
        <v>13783</v>
      </c>
      <c r="Z718" t="s">
        <v>13784</v>
      </c>
      <c r="AA718" t="s">
        <v>13785</v>
      </c>
      <c r="AB718" t="s">
        <v>13786</v>
      </c>
      <c r="AC718" t="s">
        <v>74</v>
      </c>
      <c r="AD718" t="s">
        <v>74</v>
      </c>
      <c r="AE718" t="s">
        <v>74</v>
      </c>
      <c r="AF718" t="s">
        <v>74</v>
      </c>
      <c r="AG718">
        <v>70</v>
      </c>
      <c r="AH718">
        <v>9</v>
      </c>
      <c r="AI718">
        <v>16</v>
      </c>
      <c r="AJ718">
        <v>7</v>
      </c>
      <c r="AK718">
        <v>47</v>
      </c>
      <c r="AL718" t="s">
        <v>1995</v>
      </c>
      <c r="AM718" t="s">
        <v>1996</v>
      </c>
      <c r="AN718" t="s">
        <v>1997</v>
      </c>
      <c r="AO718" t="s">
        <v>74</v>
      </c>
      <c r="AP718" t="s">
        <v>2057</v>
      </c>
      <c r="AQ718" t="s">
        <v>74</v>
      </c>
      <c r="AR718" t="s">
        <v>2044</v>
      </c>
      <c r="AS718" t="s">
        <v>2058</v>
      </c>
      <c r="AT718" t="s">
        <v>912</v>
      </c>
      <c r="AU718">
        <v>2023</v>
      </c>
      <c r="AV718">
        <v>9</v>
      </c>
      <c r="AW718">
        <v>5</v>
      </c>
      <c r="AX718" t="s">
        <v>74</v>
      </c>
      <c r="AY718" t="s">
        <v>74</v>
      </c>
      <c r="AZ718" t="s">
        <v>74</v>
      </c>
      <c r="BA718" t="s">
        <v>74</v>
      </c>
      <c r="BB718" t="s">
        <v>74</v>
      </c>
      <c r="BC718" t="s">
        <v>74</v>
      </c>
      <c r="BD718" t="s">
        <v>13787</v>
      </c>
      <c r="BE718" t="s">
        <v>13788</v>
      </c>
      <c r="BF718" t="str">
        <f>HYPERLINK("http://dx.doi.org/10.1016/j.heliyon.2023.e16124","http://dx.doi.org/10.1016/j.heliyon.2023.e16124")</f>
        <v>http://dx.doi.org/10.1016/j.heliyon.2023.e16124</v>
      </c>
      <c r="BG718" t="s">
        <v>74</v>
      </c>
      <c r="BH718" t="s">
        <v>5971</v>
      </c>
      <c r="BI718">
        <v>16</v>
      </c>
      <c r="BJ718" t="s">
        <v>158</v>
      </c>
      <c r="BK718" t="s">
        <v>102</v>
      </c>
      <c r="BL718" t="s">
        <v>159</v>
      </c>
      <c r="BM718" t="s">
        <v>13789</v>
      </c>
      <c r="BN718">
        <v>37234621</v>
      </c>
      <c r="BO718" t="s">
        <v>161</v>
      </c>
      <c r="BP718" t="s">
        <v>74</v>
      </c>
      <c r="BQ718" t="s">
        <v>74</v>
      </c>
      <c r="BR718" t="s">
        <v>106</v>
      </c>
      <c r="BS718" t="s">
        <v>13790</v>
      </c>
      <c r="BT718" t="str">
        <f>HYPERLINK("https%3A%2F%2Fwww.webofscience.com%2Fwos%2Fwoscc%2Ffull-record%2FWOS:001042476900001","View Full Record in Web of Science")</f>
        <v>View Full Record in Web of Science</v>
      </c>
    </row>
    <row r="719" spans="1:72" x14ac:dyDescent="0.2">
      <c r="A719" t="s">
        <v>72</v>
      </c>
      <c r="B719" t="s">
        <v>13791</v>
      </c>
      <c r="C719" t="s">
        <v>74</v>
      </c>
      <c r="D719" t="s">
        <v>74</v>
      </c>
      <c r="E719" t="s">
        <v>74</v>
      </c>
      <c r="F719" t="s">
        <v>13792</v>
      </c>
      <c r="G719" t="s">
        <v>74</v>
      </c>
      <c r="H719" t="s">
        <v>74</v>
      </c>
      <c r="I719" t="s">
        <v>13793</v>
      </c>
      <c r="J719" t="s">
        <v>1526</v>
      </c>
      <c r="K719" t="s">
        <v>74</v>
      </c>
      <c r="L719" t="s">
        <v>74</v>
      </c>
      <c r="M719" t="s">
        <v>78</v>
      </c>
      <c r="N719" t="s">
        <v>79</v>
      </c>
      <c r="O719" t="s">
        <v>74</v>
      </c>
      <c r="P719" t="s">
        <v>74</v>
      </c>
      <c r="Q719" t="s">
        <v>74</v>
      </c>
      <c r="R719" t="s">
        <v>74</v>
      </c>
      <c r="S719" t="s">
        <v>74</v>
      </c>
      <c r="T719" t="s">
        <v>13794</v>
      </c>
      <c r="U719" t="s">
        <v>13795</v>
      </c>
      <c r="V719" t="s">
        <v>13796</v>
      </c>
      <c r="W719" t="s">
        <v>13797</v>
      </c>
      <c r="X719" t="s">
        <v>13798</v>
      </c>
      <c r="Y719" t="s">
        <v>13799</v>
      </c>
      <c r="Z719" t="s">
        <v>13800</v>
      </c>
      <c r="AA719" t="s">
        <v>13801</v>
      </c>
      <c r="AB719" t="s">
        <v>13802</v>
      </c>
      <c r="AC719" t="s">
        <v>13803</v>
      </c>
      <c r="AD719" t="s">
        <v>13804</v>
      </c>
      <c r="AE719" t="s">
        <v>13805</v>
      </c>
      <c r="AF719" t="s">
        <v>74</v>
      </c>
      <c r="AG719">
        <v>95</v>
      </c>
      <c r="AH719">
        <v>49</v>
      </c>
      <c r="AI719">
        <v>51</v>
      </c>
      <c r="AJ719">
        <v>30</v>
      </c>
      <c r="AK719">
        <v>190</v>
      </c>
      <c r="AL719" t="s">
        <v>176</v>
      </c>
      <c r="AM719" t="s">
        <v>1610</v>
      </c>
      <c r="AN719" t="s">
        <v>1611</v>
      </c>
      <c r="AO719" t="s">
        <v>1538</v>
      </c>
      <c r="AP719" t="s">
        <v>1539</v>
      </c>
      <c r="AQ719" t="s">
        <v>74</v>
      </c>
      <c r="AR719" t="s">
        <v>1540</v>
      </c>
      <c r="AS719" t="s">
        <v>1541</v>
      </c>
      <c r="AT719" t="s">
        <v>4582</v>
      </c>
      <c r="AU719">
        <v>2022</v>
      </c>
      <c r="AV719">
        <v>332</v>
      </c>
      <c r="AW719" t="s">
        <v>74</v>
      </c>
      <c r="AX719" t="s">
        <v>74</v>
      </c>
      <c r="AY719" t="s">
        <v>74</v>
      </c>
      <c r="AZ719" t="s">
        <v>74</v>
      </c>
      <c r="BA719" t="s">
        <v>74</v>
      </c>
      <c r="BB719" t="s">
        <v>74</v>
      </c>
      <c r="BC719" t="s">
        <v>74</v>
      </c>
      <c r="BD719">
        <v>130075</v>
      </c>
      <c r="BE719" t="s">
        <v>13806</v>
      </c>
      <c r="BF719" t="str">
        <f>HYPERLINK("http://dx.doi.org/10.1016/j.jclepro.2021.130075","http://dx.doi.org/10.1016/j.jclepro.2021.130075")</f>
        <v>http://dx.doi.org/10.1016/j.jclepro.2021.130075</v>
      </c>
      <c r="BG719" t="s">
        <v>74</v>
      </c>
      <c r="BH719" t="s">
        <v>74</v>
      </c>
      <c r="BI719">
        <v>14</v>
      </c>
      <c r="BJ719" t="s">
        <v>1543</v>
      </c>
      <c r="BK719" t="s">
        <v>102</v>
      </c>
      <c r="BL719" t="s">
        <v>1544</v>
      </c>
      <c r="BM719" t="s">
        <v>13807</v>
      </c>
      <c r="BN719" t="s">
        <v>74</v>
      </c>
      <c r="BO719" t="s">
        <v>74</v>
      </c>
      <c r="BP719" t="s">
        <v>74</v>
      </c>
      <c r="BQ719" t="s">
        <v>74</v>
      </c>
      <c r="BR719" t="s">
        <v>106</v>
      </c>
      <c r="BS719" t="s">
        <v>13808</v>
      </c>
      <c r="BT719" t="str">
        <f>HYPERLINK("https%3A%2F%2Fwww.webofscience.com%2Fwos%2Fwoscc%2Ffull-record%2FWOS:000777773200005","View Full Record in Web of Science")</f>
        <v>View Full Record in Web of Science</v>
      </c>
    </row>
    <row r="720" spans="1:72" x14ac:dyDescent="0.2">
      <c r="A720" t="s">
        <v>72</v>
      </c>
      <c r="B720" t="s">
        <v>13809</v>
      </c>
      <c r="C720" t="s">
        <v>74</v>
      </c>
      <c r="D720" t="s">
        <v>74</v>
      </c>
      <c r="E720" t="s">
        <v>74</v>
      </c>
      <c r="F720" t="s">
        <v>13810</v>
      </c>
      <c r="G720" t="s">
        <v>74</v>
      </c>
      <c r="H720" t="s">
        <v>74</v>
      </c>
      <c r="I720" t="s">
        <v>13811</v>
      </c>
      <c r="J720" t="s">
        <v>9582</v>
      </c>
      <c r="K720" t="s">
        <v>74</v>
      </c>
      <c r="L720" t="s">
        <v>74</v>
      </c>
      <c r="M720" t="s">
        <v>78</v>
      </c>
      <c r="N720" t="s">
        <v>79</v>
      </c>
      <c r="O720" t="s">
        <v>74</v>
      </c>
      <c r="P720" t="s">
        <v>74</v>
      </c>
      <c r="Q720" t="s">
        <v>74</v>
      </c>
      <c r="R720" t="s">
        <v>74</v>
      </c>
      <c r="S720" t="s">
        <v>74</v>
      </c>
      <c r="T720" t="s">
        <v>13812</v>
      </c>
      <c r="U720" t="s">
        <v>13813</v>
      </c>
      <c r="V720" t="s">
        <v>13814</v>
      </c>
      <c r="W720" t="s">
        <v>13815</v>
      </c>
      <c r="X720" t="s">
        <v>13816</v>
      </c>
      <c r="Y720" t="s">
        <v>13817</v>
      </c>
      <c r="Z720" t="s">
        <v>13818</v>
      </c>
      <c r="AA720" t="s">
        <v>13819</v>
      </c>
      <c r="AB720" t="s">
        <v>13820</v>
      </c>
      <c r="AC720" t="s">
        <v>13821</v>
      </c>
      <c r="AD720" t="s">
        <v>13822</v>
      </c>
      <c r="AE720" t="s">
        <v>13823</v>
      </c>
      <c r="AF720" t="s">
        <v>74</v>
      </c>
      <c r="AG720">
        <v>65</v>
      </c>
      <c r="AH720">
        <v>113</v>
      </c>
      <c r="AI720">
        <v>142</v>
      </c>
      <c r="AJ720">
        <v>43</v>
      </c>
      <c r="AK720">
        <v>706</v>
      </c>
      <c r="AL720" t="s">
        <v>176</v>
      </c>
      <c r="AM720" t="s">
        <v>1610</v>
      </c>
      <c r="AN720" t="s">
        <v>1611</v>
      </c>
      <c r="AO720" t="s">
        <v>9595</v>
      </c>
      <c r="AP720" t="s">
        <v>9596</v>
      </c>
      <c r="AQ720" t="s">
        <v>74</v>
      </c>
      <c r="AR720" t="s">
        <v>9597</v>
      </c>
      <c r="AS720" t="s">
        <v>9598</v>
      </c>
      <c r="AT720" t="s">
        <v>3405</v>
      </c>
      <c r="AU720">
        <v>2021</v>
      </c>
      <c r="AV720">
        <v>288</v>
      </c>
      <c r="AW720" t="s">
        <v>74</v>
      </c>
      <c r="AX720" t="s">
        <v>74</v>
      </c>
      <c r="AY720" t="s">
        <v>74</v>
      </c>
      <c r="AZ720" t="s">
        <v>74</v>
      </c>
      <c r="BA720" t="s">
        <v>74</v>
      </c>
      <c r="BB720" t="s">
        <v>74</v>
      </c>
      <c r="BC720" t="s">
        <v>74</v>
      </c>
      <c r="BD720">
        <v>117733</v>
      </c>
      <c r="BE720" t="s">
        <v>13824</v>
      </c>
      <c r="BF720" t="str">
        <f>HYPERLINK("http://dx.doi.org/10.1016/j.envpol.2021.117733","http://dx.doi.org/10.1016/j.envpol.2021.117733")</f>
        <v>http://dx.doi.org/10.1016/j.envpol.2021.117733</v>
      </c>
      <c r="BG720" t="s">
        <v>74</v>
      </c>
      <c r="BH720" t="s">
        <v>1225</v>
      </c>
      <c r="BI720">
        <v>9</v>
      </c>
      <c r="BJ720" t="s">
        <v>567</v>
      </c>
      <c r="BK720" t="s">
        <v>102</v>
      </c>
      <c r="BL720" t="s">
        <v>568</v>
      </c>
      <c r="BM720" t="s">
        <v>13825</v>
      </c>
      <c r="BN720">
        <v>34256289</v>
      </c>
      <c r="BO720" t="s">
        <v>74</v>
      </c>
      <c r="BP720" t="s">
        <v>74</v>
      </c>
      <c r="BQ720" t="s">
        <v>74</v>
      </c>
      <c r="BR720" t="s">
        <v>106</v>
      </c>
      <c r="BS720" t="s">
        <v>13826</v>
      </c>
      <c r="BT720" t="str">
        <f>HYPERLINK("https%3A%2F%2Fwww.webofscience.com%2Fwos%2Fwoscc%2Ffull-record%2FWOS:000697053100001","View Full Record in Web of Science")</f>
        <v>View Full Record in Web of Science</v>
      </c>
    </row>
    <row r="721" spans="1:72" x14ac:dyDescent="0.2">
      <c r="A721" t="s">
        <v>72</v>
      </c>
      <c r="B721" t="s">
        <v>13827</v>
      </c>
      <c r="C721" t="s">
        <v>74</v>
      </c>
      <c r="D721" t="s">
        <v>74</v>
      </c>
      <c r="E721" t="s">
        <v>74</v>
      </c>
      <c r="F721" t="s">
        <v>13828</v>
      </c>
      <c r="G721" t="s">
        <v>74</v>
      </c>
      <c r="H721" t="s">
        <v>74</v>
      </c>
      <c r="I721" t="s">
        <v>13829</v>
      </c>
      <c r="J721" t="s">
        <v>421</v>
      </c>
      <c r="K721" t="s">
        <v>74</v>
      </c>
      <c r="L721" t="s">
        <v>74</v>
      </c>
      <c r="M721" t="s">
        <v>78</v>
      </c>
      <c r="N721" t="s">
        <v>79</v>
      </c>
      <c r="O721" t="s">
        <v>74</v>
      </c>
      <c r="P721" t="s">
        <v>74</v>
      </c>
      <c r="Q721" t="s">
        <v>74</v>
      </c>
      <c r="R721" t="s">
        <v>74</v>
      </c>
      <c r="S721" t="s">
        <v>74</v>
      </c>
      <c r="T721" t="s">
        <v>13830</v>
      </c>
      <c r="U721" t="s">
        <v>13831</v>
      </c>
      <c r="V721" t="s">
        <v>13832</v>
      </c>
      <c r="W721" t="s">
        <v>13833</v>
      </c>
      <c r="X721" t="s">
        <v>13834</v>
      </c>
      <c r="Y721" t="s">
        <v>13835</v>
      </c>
      <c r="Z721" t="s">
        <v>13836</v>
      </c>
      <c r="AA721" t="s">
        <v>13837</v>
      </c>
      <c r="AB721" t="s">
        <v>13838</v>
      </c>
      <c r="AC721" t="s">
        <v>13839</v>
      </c>
      <c r="AD721" t="s">
        <v>13840</v>
      </c>
      <c r="AE721" t="s">
        <v>13841</v>
      </c>
      <c r="AF721" t="s">
        <v>74</v>
      </c>
      <c r="AG721">
        <v>86</v>
      </c>
      <c r="AH721">
        <v>28</v>
      </c>
      <c r="AI721">
        <v>31</v>
      </c>
      <c r="AJ721">
        <v>15</v>
      </c>
      <c r="AK721">
        <v>186</v>
      </c>
      <c r="AL721" t="s">
        <v>123</v>
      </c>
      <c r="AM721" t="s">
        <v>124</v>
      </c>
      <c r="AN721" t="s">
        <v>125</v>
      </c>
      <c r="AO721" t="s">
        <v>434</v>
      </c>
      <c r="AP721" t="s">
        <v>435</v>
      </c>
      <c r="AQ721" t="s">
        <v>74</v>
      </c>
      <c r="AR721" t="s">
        <v>421</v>
      </c>
      <c r="AS721" t="s">
        <v>436</v>
      </c>
      <c r="AT721" t="s">
        <v>1752</v>
      </c>
      <c r="AU721">
        <v>2021</v>
      </c>
      <c r="AV721">
        <v>203</v>
      </c>
      <c r="AW721" t="s">
        <v>74</v>
      </c>
      <c r="AX721" t="s">
        <v>74</v>
      </c>
      <c r="AY721" t="s">
        <v>74</v>
      </c>
      <c r="AZ721" t="s">
        <v>74</v>
      </c>
      <c r="BA721" t="s">
        <v>74</v>
      </c>
      <c r="BB721" t="s">
        <v>74</v>
      </c>
      <c r="BC721" t="s">
        <v>74</v>
      </c>
      <c r="BD721">
        <v>105326</v>
      </c>
      <c r="BE721" t="s">
        <v>13842</v>
      </c>
      <c r="BF721" t="str">
        <f>HYPERLINK("http://dx.doi.org/10.1016/j.catena.2021.105326","http://dx.doi.org/10.1016/j.catena.2021.105326")</f>
        <v>http://dx.doi.org/10.1016/j.catena.2021.105326</v>
      </c>
      <c r="BG721" t="s">
        <v>74</v>
      </c>
      <c r="BH721" t="s">
        <v>13843</v>
      </c>
      <c r="BI721">
        <v>13</v>
      </c>
      <c r="BJ721" t="s">
        <v>439</v>
      </c>
      <c r="BK721" t="s">
        <v>102</v>
      </c>
      <c r="BL721" t="s">
        <v>440</v>
      </c>
      <c r="BM721" t="s">
        <v>13844</v>
      </c>
      <c r="BN721" t="s">
        <v>74</v>
      </c>
      <c r="BO721" t="s">
        <v>74</v>
      </c>
      <c r="BP721" t="s">
        <v>74</v>
      </c>
      <c r="BQ721" t="s">
        <v>74</v>
      </c>
      <c r="BR721" t="s">
        <v>106</v>
      </c>
      <c r="BS721" t="s">
        <v>13845</v>
      </c>
      <c r="BT721" t="str">
        <f>HYPERLINK("https%3A%2F%2Fwww.webofscience.com%2Fwos%2Fwoscc%2Ffull-record%2FWOS:000654354000025","View Full Record in Web of Science")</f>
        <v>View Full Record in Web of Science</v>
      </c>
    </row>
    <row r="722" spans="1:72" x14ac:dyDescent="0.2">
      <c r="A722" t="s">
        <v>72</v>
      </c>
      <c r="B722" t="s">
        <v>13846</v>
      </c>
      <c r="C722" t="s">
        <v>74</v>
      </c>
      <c r="D722" t="s">
        <v>74</v>
      </c>
      <c r="E722" t="s">
        <v>74</v>
      </c>
      <c r="F722" t="s">
        <v>13847</v>
      </c>
      <c r="G722" t="s">
        <v>74</v>
      </c>
      <c r="H722" t="s">
        <v>74</v>
      </c>
      <c r="I722" t="s">
        <v>13848</v>
      </c>
      <c r="J722" t="s">
        <v>921</v>
      </c>
      <c r="K722" t="s">
        <v>74</v>
      </c>
      <c r="L722" t="s">
        <v>74</v>
      </c>
      <c r="M722" t="s">
        <v>78</v>
      </c>
      <c r="N722" t="s">
        <v>79</v>
      </c>
      <c r="O722" t="s">
        <v>74</v>
      </c>
      <c r="P722" t="s">
        <v>74</v>
      </c>
      <c r="Q722" t="s">
        <v>74</v>
      </c>
      <c r="R722" t="s">
        <v>74</v>
      </c>
      <c r="S722" t="s">
        <v>74</v>
      </c>
      <c r="T722" t="s">
        <v>13849</v>
      </c>
      <c r="U722" t="s">
        <v>13850</v>
      </c>
      <c r="V722" t="s">
        <v>13851</v>
      </c>
      <c r="W722" t="s">
        <v>13852</v>
      </c>
      <c r="X722" t="s">
        <v>13853</v>
      </c>
      <c r="Y722" t="s">
        <v>13854</v>
      </c>
      <c r="Z722" t="s">
        <v>13855</v>
      </c>
      <c r="AA722" t="s">
        <v>13856</v>
      </c>
      <c r="AB722" t="s">
        <v>74</v>
      </c>
      <c r="AC722" t="s">
        <v>13857</v>
      </c>
      <c r="AD722" t="s">
        <v>13858</v>
      </c>
      <c r="AE722" t="s">
        <v>13859</v>
      </c>
      <c r="AF722" t="s">
        <v>74</v>
      </c>
      <c r="AG722">
        <v>104</v>
      </c>
      <c r="AH722">
        <v>18</v>
      </c>
      <c r="AI722">
        <v>18</v>
      </c>
      <c r="AJ722">
        <v>16</v>
      </c>
      <c r="AK722">
        <v>95</v>
      </c>
      <c r="AL722" t="s">
        <v>934</v>
      </c>
      <c r="AM722" t="s">
        <v>177</v>
      </c>
      <c r="AN722" t="s">
        <v>935</v>
      </c>
      <c r="AO722" t="s">
        <v>936</v>
      </c>
      <c r="AP722" t="s">
        <v>937</v>
      </c>
      <c r="AQ722" t="s">
        <v>74</v>
      </c>
      <c r="AR722" t="s">
        <v>938</v>
      </c>
      <c r="AS722" t="s">
        <v>939</v>
      </c>
      <c r="AT722" t="s">
        <v>99</v>
      </c>
      <c r="AU722">
        <v>2024</v>
      </c>
      <c r="AV722">
        <v>190</v>
      </c>
      <c r="AW722" t="s">
        <v>74</v>
      </c>
      <c r="AX722" t="s">
        <v>74</v>
      </c>
      <c r="AY722" t="s">
        <v>74</v>
      </c>
      <c r="AZ722" t="s">
        <v>74</v>
      </c>
      <c r="BA722" t="s">
        <v>74</v>
      </c>
      <c r="BB722" t="s">
        <v>74</v>
      </c>
      <c r="BC722" t="s">
        <v>74</v>
      </c>
      <c r="BD722">
        <v>109274</v>
      </c>
      <c r="BE722" t="s">
        <v>13860</v>
      </c>
      <c r="BF722" t="str">
        <f>HYPERLINK("http://dx.doi.org/10.1016/j.soilbio.2023.109274","http://dx.doi.org/10.1016/j.soilbio.2023.109274")</f>
        <v>http://dx.doi.org/10.1016/j.soilbio.2023.109274</v>
      </c>
      <c r="BG722" t="s">
        <v>74</v>
      </c>
      <c r="BH722" t="s">
        <v>1712</v>
      </c>
      <c r="BI722">
        <v>13</v>
      </c>
      <c r="BJ722" t="s">
        <v>256</v>
      </c>
      <c r="BK722" t="s">
        <v>102</v>
      </c>
      <c r="BL722" t="s">
        <v>103</v>
      </c>
      <c r="BM722" t="s">
        <v>13861</v>
      </c>
      <c r="BN722" t="s">
        <v>74</v>
      </c>
      <c r="BO722" t="s">
        <v>74</v>
      </c>
      <c r="BP722" t="s">
        <v>74</v>
      </c>
      <c r="BQ722" t="s">
        <v>74</v>
      </c>
      <c r="BR722" t="s">
        <v>106</v>
      </c>
      <c r="BS722" t="s">
        <v>13862</v>
      </c>
      <c r="BT722" t="str">
        <f>HYPERLINK("https%3A%2F%2Fwww.webofscience.com%2Fwos%2Fwoscc%2Ffull-record%2FWOS:001156001500001","View Full Record in Web of Science")</f>
        <v>View Full Record in Web of Science</v>
      </c>
    </row>
    <row r="723" spans="1:72" x14ac:dyDescent="0.2">
      <c r="A723" t="s">
        <v>72</v>
      </c>
      <c r="B723" t="s">
        <v>13863</v>
      </c>
      <c r="C723" t="s">
        <v>74</v>
      </c>
      <c r="D723" t="s">
        <v>74</v>
      </c>
      <c r="E723" t="s">
        <v>74</v>
      </c>
      <c r="F723" t="s">
        <v>13864</v>
      </c>
      <c r="G723" t="s">
        <v>74</v>
      </c>
      <c r="H723" t="s">
        <v>74</v>
      </c>
      <c r="I723" t="s">
        <v>13865</v>
      </c>
      <c r="J723" t="s">
        <v>1891</v>
      </c>
      <c r="K723" t="s">
        <v>74</v>
      </c>
      <c r="L723" t="s">
        <v>74</v>
      </c>
      <c r="M723" t="s">
        <v>78</v>
      </c>
      <c r="N723" t="s">
        <v>2506</v>
      </c>
      <c r="O723" t="s">
        <v>74</v>
      </c>
      <c r="P723" t="s">
        <v>74</v>
      </c>
      <c r="Q723" t="s">
        <v>74</v>
      </c>
      <c r="R723" t="s">
        <v>74</v>
      </c>
      <c r="S723" t="s">
        <v>74</v>
      </c>
      <c r="T723" t="s">
        <v>13866</v>
      </c>
      <c r="U723" t="s">
        <v>13867</v>
      </c>
      <c r="V723" t="s">
        <v>13868</v>
      </c>
      <c r="W723" t="s">
        <v>13869</v>
      </c>
      <c r="X723" t="s">
        <v>13870</v>
      </c>
      <c r="Y723" t="s">
        <v>13871</v>
      </c>
      <c r="Z723" t="s">
        <v>13872</v>
      </c>
      <c r="AA723" t="s">
        <v>13873</v>
      </c>
      <c r="AB723" t="s">
        <v>13874</v>
      </c>
      <c r="AC723" t="s">
        <v>13875</v>
      </c>
      <c r="AD723" t="s">
        <v>13876</v>
      </c>
      <c r="AE723" t="s">
        <v>13877</v>
      </c>
      <c r="AF723" t="s">
        <v>74</v>
      </c>
      <c r="AG723">
        <v>75</v>
      </c>
      <c r="AH723">
        <v>2</v>
      </c>
      <c r="AI723">
        <v>3</v>
      </c>
      <c r="AJ723">
        <v>3</v>
      </c>
      <c r="AK723">
        <v>10</v>
      </c>
      <c r="AL723" t="s">
        <v>222</v>
      </c>
      <c r="AM723" t="s">
        <v>223</v>
      </c>
      <c r="AN723" t="s">
        <v>224</v>
      </c>
      <c r="AO723" t="s">
        <v>74</v>
      </c>
      <c r="AP723" t="s">
        <v>1904</v>
      </c>
      <c r="AQ723" t="s">
        <v>74</v>
      </c>
      <c r="AR723" t="s">
        <v>1891</v>
      </c>
      <c r="AS723" t="s">
        <v>1905</v>
      </c>
      <c r="AT723" t="s">
        <v>99</v>
      </c>
      <c r="AU723">
        <v>2024</v>
      </c>
      <c r="AV723">
        <v>15</v>
      </c>
      <c r="AW723">
        <v>3</v>
      </c>
      <c r="AX723" t="s">
        <v>74</v>
      </c>
      <c r="AY723" t="s">
        <v>74</v>
      </c>
      <c r="AZ723" t="s">
        <v>74</v>
      </c>
      <c r="BA723" t="s">
        <v>74</v>
      </c>
      <c r="BB723" t="s">
        <v>74</v>
      </c>
      <c r="BC723" t="s">
        <v>74</v>
      </c>
      <c r="BD723">
        <v>397</v>
      </c>
      <c r="BE723" t="s">
        <v>13878</v>
      </c>
      <c r="BF723" t="str">
        <f>HYPERLINK("http://dx.doi.org/10.3390/f15030397","http://dx.doi.org/10.3390/f15030397")</f>
        <v>http://dx.doi.org/10.3390/f15030397</v>
      </c>
      <c r="BG723" t="s">
        <v>74</v>
      </c>
      <c r="BH723" t="s">
        <v>74</v>
      </c>
      <c r="BI723">
        <v>16</v>
      </c>
      <c r="BJ723" t="s">
        <v>132</v>
      </c>
      <c r="BK723" t="s">
        <v>102</v>
      </c>
      <c r="BL723" t="s">
        <v>132</v>
      </c>
      <c r="BM723" t="s">
        <v>13879</v>
      </c>
      <c r="BN723" t="s">
        <v>74</v>
      </c>
      <c r="BO723" t="s">
        <v>231</v>
      </c>
      <c r="BP723" t="s">
        <v>74</v>
      </c>
      <c r="BQ723" t="s">
        <v>74</v>
      </c>
      <c r="BR723" t="s">
        <v>106</v>
      </c>
      <c r="BS723" t="s">
        <v>13880</v>
      </c>
      <c r="BT723" t="str">
        <f>HYPERLINK("https%3A%2F%2Fwww.webofscience.com%2Fwos%2Fwoscc%2Ffull-record%2FWOS:001191491200001","View Full Record in Web of Science")</f>
        <v>View Full Record in Web of Science</v>
      </c>
    </row>
    <row r="724" spans="1:72" x14ac:dyDescent="0.2">
      <c r="A724" t="s">
        <v>72</v>
      </c>
      <c r="B724" t="s">
        <v>13881</v>
      </c>
      <c r="C724" t="s">
        <v>74</v>
      </c>
      <c r="D724" t="s">
        <v>74</v>
      </c>
      <c r="E724" t="s">
        <v>74</v>
      </c>
      <c r="F724" t="s">
        <v>13882</v>
      </c>
      <c r="G724" t="s">
        <v>74</v>
      </c>
      <c r="H724" t="s">
        <v>74</v>
      </c>
      <c r="I724" t="s">
        <v>13883</v>
      </c>
      <c r="J724" t="s">
        <v>828</v>
      </c>
      <c r="K724" t="s">
        <v>74</v>
      </c>
      <c r="L724" t="s">
        <v>74</v>
      </c>
      <c r="M724" t="s">
        <v>78</v>
      </c>
      <c r="N724" t="s">
        <v>79</v>
      </c>
      <c r="O724" t="s">
        <v>74</v>
      </c>
      <c r="P724" t="s">
        <v>74</v>
      </c>
      <c r="Q724" t="s">
        <v>74</v>
      </c>
      <c r="R724" t="s">
        <v>74</v>
      </c>
      <c r="S724" t="s">
        <v>74</v>
      </c>
      <c r="T724" t="s">
        <v>13884</v>
      </c>
      <c r="U724" t="s">
        <v>74</v>
      </c>
      <c r="V724" t="s">
        <v>13885</v>
      </c>
      <c r="W724" t="s">
        <v>13886</v>
      </c>
      <c r="X724" t="s">
        <v>13887</v>
      </c>
      <c r="Y724" t="s">
        <v>13888</v>
      </c>
      <c r="Z724" t="s">
        <v>13889</v>
      </c>
      <c r="AA724" t="s">
        <v>74</v>
      </c>
      <c r="AB724" t="s">
        <v>13890</v>
      </c>
      <c r="AC724" t="s">
        <v>74</v>
      </c>
      <c r="AD724" t="s">
        <v>74</v>
      </c>
      <c r="AE724" t="s">
        <v>74</v>
      </c>
      <c r="AF724" t="s">
        <v>74</v>
      </c>
      <c r="AG724">
        <v>7</v>
      </c>
      <c r="AH724">
        <v>3</v>
      </c>
      <c r="AI724">
        <v>3</v>
      </c>
      <c r="AJ724">
        <v>2</v>
      </c>
      <c r="AK724">
        <v>17</v>
      </c>
      <c r="AL724" t="s">
        <v>835</v>
      </c>
      <c r="AM724" t="s">
        <v>836</v>
      </c>
      <c r="AN724" t="s">
        <v>3254</v>
      </c>
      <c r="AO724" t="s">
        <v>838</v>
      </c>
      <c r="AP724" t="s">
        <v>74</v>
      </c>
      <c r="AQ724" t="s">
        <v>74</v>
      </c>
      <c r="AR724" t="s">
        <v>839</v>
      </c>
      <c r="AS724" t="s">
        <v>840</v>
      </c>
      <c r="AT724" t="s">
        <v>7787</v>
      </c>
      <c r="AU724">
        <v>2019</v>
      </c>
      <c r="AV724">
        <v>50</v>
      </c>
      <c r="AW724">
        <v>3</v>
      </c>
      <c r="AX724" t="s">
        <v>74</v>
      </c>
      <c r="AY724" t="s">
        <v>74</v>
      </c>
      <c r="AZ724" t="s">
        <v>74</v>
      </c>
      <c r="BA724" t="s">
        <v>74</v>
      </c>
      <c r="BB724">
        <v>79</v>
      </c>
      <c r="BC724">
        <v>88</v>
      </c>
      <c r="BD724" t="s">
        <v>74</v>
      </c>
      <c r="BE724" t="s">
        <v>74</v>
      </c>
      <c r="BF724" t="s">
        <v>74</v>
      </c>
      <c r="BG724" t="s">
        <v>74</v>
      </c>
      <c r="BH724" t="s">
        <v>74</v>
      </c>
      <c r="BI724">
        <v>10</v>
      </c>
      <c r="BJ724" t="s">
        <v>842</v>
      </c>
      <c r="BK724" t="s">
        <v>102</v>
      </c>
      <c r="BL724" t="s">
        <v>103</v>
      </c>
      <c r="BM724" t="s">
        <v>13891</v>
      </c>
      <c r="BN724" t="s">
        <v>74</v>
      </c>
      <c r="BO724" t="s">
        <v>74</v>
      </c>
      <c r="BP724" t="s">
        <v>74</v>
      </c>
      <c r="BQ724" t="s">
        <v>74</v>
      </c>
      <c r="BR724" t="s">
        <v>106</v>
      </c>
      <c r="BS724" t="s">
        <v>13892</v>
      </c>
      <c r="BT724" t="str">
        <f>HYPERLINK("https%3A%2F%2Fwww.webofscience.com%2Fwos%2Fwoscc%2Ffull-record%2FWOS:000491216300012","View Full Record in Web of Science")</f>
        <v>View Full Record in Web of Science</v>
      </c>
    </row>
    <row r="725" spans="1:72" x14ac:dyDescent="0.2">
      <c r="A725" t="s">
        <v>72</v>
      </c>
      <c r="B725" t="s">
        <v>13893</v>
      </c>
      <c r="C725" t="s">
        <v>74</v>
      </c>
      <c r="D725" t="s">
        <v>74</v>
      </c>
      <c r="E725" t="s">
        <v>74</v>
      </c>
      <c r="F725" t="s">
        <v>13894</v>
      </c>
      <c r="G725" t="s">
        <v>74</v>
      </c>
      <c r="H725" t="s">
        <v>74</v>
      </c>
      <c r="I725" t="s">
        <v>13895</v>
      </c>
      <c r="J725" t="s">
        <v>13896</v>
      </c>
      <c r="K725" t="s">
        <v>74</v>
      </c>
      <c r="L725" t="s">
        <v>74</v>
      </c>
      <c r="M725" t="s">
        <v>78</v>
      </c>
      <c r="N725" t="s">
        <v>79</v>
      </c>
      <c r="O725" t="s">
        <v>74</v>
      </c>
      <c r="P725" t="s">
        <v>74</v>
      </c>
      <c r="Q725" t="s">
        <v>74</v>
      </c>
      <c r="R725" t="s">
        <v>74</v>
      </c>
      <c r="S725" t="s">
        <v>74</v>
      </c>
      <c r="T725" t="s">
        <v>13897</v>
      </c>
      <c r="U725" t="s">
        <v>13898</v>
      </c>
      <c r="V725" t="s">
        <v>13899</v>
      </c>
      <c r="W725" t="s">
        <v>13900</v>
      </c>
      <c r="X725" t="s">
        <v>13901</v>
      </c>
      <c r="Y725" t="s">
        <v>13902</v>
      </c>
      <c r="Z725" t="s">
        <v>13903</v>
      </c>
      <c r="AA725" t="s">
        <v>74</v>
      </c>
      <c r="AB725" t="s">
        <v>74</v>
      </c>
      <c r="AC725" t="s">
        <v>74</v>
      </c>
      <c r="AD725" t="s">
        <v>74</v>
      </c>
      <c r="AE725" t="s">
        <v>74</v>
      </c>
      <c r="AF725" t="s">
        <v>74</v>
      </c>
      <c r="AG725">
        <v>52</v>
      </c>
      <c r="AH725">
        <v>0</v>
      </c>
      <c r="AI725">
        <v>0</v>
      </c>
      <c r="AJ725">
        <v>0</v>
      </c>
      <c r="AK725">
        <v>0</v>
      </c>
      <c r="AL725" t="s">
        <v>13904</v>
      </c>
      <c r="AM725" t="s">
        <v>8007</v>
      </c>
      <c r="AN725" t="s">
        <v>13905</v>
      </c>
      <c r="AO725" t="s">
        <v>13906</v>
      </c>
      <c r="AP725" t="s">
        <v>74</v>
      </c>
      <c r="AQ725" t="s">
        <v>74</v>
      </c>
      <c r="AR725" t="s">
        <v>13907</v>
      </c>
      <c r="AS725" t="s">
        <v>13908</v>
      </c>
      <c r="AT725" t="s">
        <v>74</v>
      </c>
      <c r="AU725">
        <v>2023</v>
      </c>
      <c r="AV725">
        <v>19</v>
      </c>
      <c r="AW725">
        <v>4</v>
      </c>
      <c r="AX725" t="s">
        <v>74</v>
      </c>
      <c r="AY725" t="s">
        <v>74</v>
      </c>
      <c r="AZ725" t="s">
        <v>74</v>
      </c>
      <c r="BA725" t="s">
        <v>74</v>
      </c>
      <c r="BB725" t="s">
        <v>74</v>
      </c>
      <c r="BC725" t="s">
        <v>74</v>
      </c>
      <c r="BD725">
        <v>13428</v>
      </c>
      <c r="BE725" t="s">
        <v>13909</v>
      </c>
      <c r="BF725" t="str">
        <f>HYPERLINK("http://dx.doi.org/10.48550/arXiv.2208.13428","http://dx.doi.org/10.48550/arXiv.2208.13428")</f>
        <v>http://dx.doi.org/10.48550/arXiv.2208.13428</v>
      </c>
      <c r="BG725" t="s">
        <v>74</v>
      </c>
      <c r="BH725" t="s">
        <v>74</v>
      </c>
      <c r="BI725">
        <v>27</v>
      </c>
      <c r="BJ725" t="s">
        <v>13910</v>
      </c>
      <c r="BK725" t="s">
        <v>102</v>
      </c>
      <c r="BL725" t="s">
        <v>13911</v>
      </c>
      <c r="BM725" t="s">
        <v>13912</v>
      </c>
      <c r="BN725" t="s">
        <v>74</v>
      </c>
      <c r="BO725" t="s">
        <v>74</v>
      </c>
      <c r="BP725" t="s">
        <v>74</v>
      </c>
      <c r="BQ725" t="s">
        <v>74</v>
      </c>
      <c r="BR725" t="s">
        <v>106</v>
      </c>
      <c r="BS725" t="s">
        <v>13913</v>
      </c>
      <c r="BT725" t="str">
        <f>HYPERLINK("https%3A%2F%2Fwww.webofscience.com%2Fwos%2Fwoscc%2Ffull-record%2FWOS:001124684200001","View Full Record in Web of Science")</f>
        <v>View Full Record in Web of Science</v>
      </c>
    </row>
    <row r="726" spans="1:72" x14ac:dyDescent="0.2">
      <c r="A726" t="s">
        <v>72</v>
      </c>
      <c r="B726" t="s">
        <v>13914</v>
      </c>
      <c r="C726" t="s">
        <v>74</v>
      </c>
      <c r="D726" t="s">
        <v>74</v>
      </c>
      <c r="E726" t="s">
        <v>74</v>
      </c>
      <c r="F726" t="s">
        <v>13915</v>
      </c>
      <c r="G726" t="s">
        <v>74</v>
      </c>
      <c r="H726" t="s">
        <v>74</v>
      </c>
      <c r="I726" t="s">
        <v>13916</v>
      </c>
      <c r="J726" t="s">
        <v>446</v>
      </c>
      <c r="K726" t="s">
        <v>74</v>
      </c>
      <c r="L726" t="s">
        <v>74</v>
      </c>
      <c r="M726" t="s">
        <v>78</v>
      </c>
      <c r="N726" t="s">
        <v>79</v>
      </c>
      <c r="O726" t="s">
        <v>74</v>
      </c>
      <c r="P726" t="s">
        <v>74</v>
      </c>
      <c r="Q726" t="s">
        <v>74</v>
      </c>
      <c r="R726" t="s">
        <v>74</v>
      </c>
      <c r="S726" t="s">
        <v>74</v>
      </c>
      <c r="T726" t="s">
        <v>13917</v>
      </c>
      <c r="U726" t="s">
        <v>13918</v>
      </c>
      <c r="V726" t="s">
        <v>13919</v>
      </c>
      <c r="W726" t="s">
        <v>13920</v>
      </c>
      <c r="X726" t="s">
        <v>13921</v>
      </c>
      <c r="Y726" t="s">
        <v>13922</v>
      </c>
      <c r="Z726" t="s">
        <v>13923</v>
      </c>
      <c r="AA726" t="s">
        <v>13924</v>
      </c>
      <c r="AB726" t="s">
        <v>13925</v>
      </c>
      <c r="AC726" t="s">
        <v>13926</v>
      </c>
      <c r="AD726" t="s">
        <v>13927</v>
      </c>
      <c r="AE726" t="s">
        <v>13928</v>
      </c>
      <c r="AF726" t="s">
        <v>74</v>
      </c>
      <c r="AG726">
        <v>60</v>
      </c>
      <c r="AH726">
        <v>4</v>
      </c>
      <c r="AI726">
        <v>4</v>
      </c>
      <c r="AJ726">
        <v>11</v>
      </c>
      <c r="AK726">
        <v>21</v>
      </c>
      <c r="AL726" t="s">
        <v>222</v>
      </c>
      <c r="AM726" t="s">
        <v>223</v>
      </c>
      <c r="AN726" t="s">
        <v>478</v>
      </c>
      <c r="AO726" t="s">
        <v>74</v>
      </c>
      <c r="AP726" t="s">
        <v>457</v>
      </c>
      <c r="AQ726" t="s">
        <v>74</v>
      </c>
      <c r="AR726" t="s">
        <v>446</v>
      </c>
      <c r="AS726" t="s">
        <v>458</v>
      </c>
      <c r="AT726" t="s">
        <v>459</v>
      </c>
      <c r="AU726">
        <v>2025</v>
      </c>
      <c r="AV726">
        <v>15</v>
      </c>
      <c r="AW726">
        <v>2</v>
      </c>
      <c r="AX726" t="s">
        <v>74</v>
      </c>
      <c r="AY726" t="s">
        <v>74</v>
      </c>
      <c r="AZ726" t="s">
        <v>74</v>
      </c>
      <c r="BA726" t="s">
        <v>74</v>
      </c>
      <c r="BB726" t="s">
        <v>74</v>
      </c>
      <c r="BC726" t="s">
        <v>74</v>
      </c>
      <c r="BD726">
        <v>480</v>
      </c>
      <c r="BE726" t="s">
        <v>13929</v>
      </c>
      <c r="BF726" t="str">
        <f>HYPERLINK("http://dx.doi.org/10.3390/agronomy15020480","http://dx.doi.org/10.3390/agronomy15020480")</f>
        <v>http://dx.doi.org/10.3390/agronomy15020480</v>
      </c>
      <c r="BG726" t="s">
        <v>74</v>
      </c>
      <c r="BH726" t="s">
        <v>74</v>
      </c>
      <c r="BI726">
        <v>12</v>
      </c>
      <c r="BJ726" t="s">
        <v>461</v>
      </c>
      <c r="BK726" t="s">
        <v>102</v>
      </c>
      <c r="BL726" t="s">
        <v>462</v>
      </c>
      <c r="BM726" t="s">
        <v>13930</v>
      </c>
      <c r="BN726" t="s">
        <v>74</v>
      </c>
      <c r="BO726" t="s">
        <v>231</v>
      </c>
      <c r="BP726" t="s">
        <v>74</v>
      </c>
      <c r="BQ726" t="s">
        <v>74</v>
      </c>
      <c r="BR726" t="s">
        <v>106</v>
      </c>
      <c r="BS726" t="s">
        <v>13931</v>
      </c>
      <c r="BT726" t="str">
        <f>HYPERLINK("https%3A%2F%2Fwww.webofscience.com%2Fwos%2Fwoscc%2Ffull-record%2FWOS:001429928700001","View Full Record in Web of Science")</f>
        <v>View Full Record in Web of Science</v>
      </c>
    </row>
    <row r="727" spans="1:72" x14ac:dyDescent="0.2">
      <c r="A727" t="s">
        <v>72</v>
      </c>
      <c r="B727" t="s">
        <v>13932</v>
      </c>
      <c r="C727" t="s">
        <v>74</v>
      </c>
      <c r="D727" t="s">
        <v>74</v>
      </c>
      <c r="E727" t="s">
        <v>74</v>
      </c>
      <c r="F727" t="s">
        <v>13933</v>
      </c>
      <c r="G727" t="s">
        <v>74</v>
      </c>
      <c r="H727" t="s">
        <v>74</v>
      </c>
      <c r="I727" t="s">
        <v>13934</v>
      </c>
      <c r="J727" t="s">
        <v>740</v>
      </c>
      <c r="K727" t="s">
        <v>74</v>
      </c>
      <c r="L727" t="s">
        <v>74</v>
      </c>
      <c r="M727" t="s">
        <v>78</v>
      </c>
      <c r="N727" t="s">
        <v>79</v>
      </c>
      <c r="O727" t="s">
        <v>74</v>
      </c>
      <c r="P727" t="s">
        <v>74</v>
      </c>
      <c r="Q727" t="s">
        <v>74</v>
      </c>
      <c r="R727" t="s">
        <v>74</v>
      </c>
      <c r="S727" t="s">
        <v>74</v>
      </c>
      <c r="T727" t="s">
        <v>13935</v>
      </c>
      <c r="U727" t="s">
        <v>13936</v>
      </c>
      <c r="V727" t="s">
        <v>13937</v>
      </c>
      <c r="W727" t="s">
        <v>13938</v>
      </c>
      <c r="X727" t="s">
        <v>13939</v>
      </c>
      <c r="Y727" t="s">
        <v>13940</v>
      </c>
      <c r="Z727" t="s">
        <v>13941</v>
      </c>
      <c r="AA727" t="s">
        <v>13942</v>
      </c>
      <c r="AB727" t="s">
        <v>13943</v>
      </c>
      <c r="AC727" t="s">
        <v>13944</v>
      </c>
      <c r="AD727" t="s">
        <v>13944</v>
      </c>
      <c r="AE727" t="s">
        <v>13945</v>
      </c>
      <c r="AF727" t="s">
        <v>74</v>
      </c>
      <c r="AG727">
        <v>77</v>
      </c>
      <c r="AH727">
        <v>85</v>
      </c>
      <c r="AI727">
        <v>88</v>
      </c>
      <c r="AJ727">
        <v>19</v>
      </c>
      <c r="AK727">
        <v>106</v>
      </c>
      <c r="AL727" t="s">
        <v>247</v>
      </c>
      <c r="AM727" t="s">
        <v>248</v>
      </c>
      <c r="AN727" t="s">
        <v>249</v>
      </c>
      <c r="AO727" t="s">
        <v>750</v>
      </c>
      <c r="AP727" t="s">
        <v>751</v>
      </c>
      <c r="AQ727" t="s">
        <v>74</v>
      </c>
      <c r="AR727" t="s">
        <v>752</v>
      </c>
      <c r="AS727" t="s">
        <v>753</v>
      </c>
      <c r="AT727" t="s">
        <v>227</v>
      </c>
      <c r="AU727">
        <v>2024</v>
      </c>
      <c r="AV727">
        <v>30</v>
      </c>
      <c r="AW727">
        <v>1</v>
      </c>
      <c r="AX727" t="s">
        <v>74</v>
      </c>
      <c r="AY727" t="s">
        <v>74</v>
      </c>
      <c r="AZ727" t="s">
        <v>74</v>
      </c>
      <c r="BA727" t="s">
        <v>74</v>
      </c>
      <c r="BB727" t="s">
        <v>74</v>
      </c>
      <c r="BC727" t="s">
        <v>74</v>
      </c>
      <c r="BD727" t="s">
        <v>74</v>
      </c>
      <c r="BE727" t="s">
        <v>13946</v>
      </c>
      <c r="BF727" t="str">
        <f>HYPERLINK("http://dx.doi.org/10.1111/gcb.16992","http://dx.doi.org/10.1111/gcb.16992")</f>
        <v>http://dx.doi.org/10.1111/gcb.16992</v>
      </c>
      <c r="BG727" t="s">
        <v>74</v>
      </c>
      <c r="BH727" t="s">
        <v>1688</v>
      </c>
      <c r="BI727">
        <v>15</v>
      </c>
      <c r="BJ727" t="s">
        <v>755</v>
      </c>
      <c r="BK727" t="s">
        <v>102</v>
      </c>
      <c r="BL727" t="s">
        <v>756</v>
      </c>
      <c r="BM727" t="s">
        <v>13947</v>
      </c>
      <c r="BN727">
        <v>37902125</v>
      </c>
      <c r="BO727" t="s">
        <v>2296</v>
      </c>
      <c r="BP727" t="s">
        <v>4815</v>
      </c>
      <c r="BQ727" t="s">
        <v>4816</v>
      </c>
      <c r="BR727" t="s">
        <v>106</v>
      </c>
      <c r="BS727" t="s">
        <v>13948</v>
      </c>
      <c r="BT727" t="str">
        <f>HYPERLINK("https%3A%2F%2Fwww.webofscience.com%2Fwos%2Fwoscc%2Ffull-record%2FWOS:001092415000001","View Full Record in Web of Science")</f>
        <v>View Full Record in Web of Science</v>
      </c>
    </row>
    <row r="728" spans="1:72" x14ac:dyDescent="0.2">
      <c r="A728" t="s">
        <v>72</v>
      </c>
      <c r="B728" t="s">
        <v>13949</v>
      </c>
      <c r="C728" t="s">
        <v>74</v>
      </c>
      <c r="D728" t="s">
        <v>74</v>
      </c>
      <c r="E728" t="s">
        <v>74</v>
      </c>
      <c r="F728" t="s">
        <v>13950</v>
      </c>
      <c r="G728" t="s">
        <v>74</v>
      </c>
      <c r="H728" t="s">
        <v>74</v>
      </c>
      <c r="I728" t="s">
        <v>13951</v>
      </c>
      <c r="J728" t="s">
        <v>870</v>
      </c>
      <c r="K728" t="s">
        <v>74</v>
      </c>
      <c r="L728" t="s">
        <v>74</v>
      </c>
      <c r="M728" t="s">
        <v>78</v>
      </c>
      <c r="N728" t="s">
        <v>79</v>
      </c>
      <c r="O728" t="s">
        <v>74</v>
      </c>
      <c r="P728" t="s">
        <v>74</v>
      </c>
      <c r="Q728" t="s">
        <v>74</v>
      </c>
      <c r="R728" t="s">
        <v>74</v>
      </c>
      <c r="S728" t="s">
        <v>74</v>
      </c>
      <c r="T728" t="s">
        <v>13952</v>
      </c>
      <c r="U728" t="s">
        <v>13953</v>
      </c>
      <c r="V728" t="s">
        <v>13954</v>
      </c>
      <c r="W728" t="s">
        <v>13955</v>
      </c>
      <c r="X728" t="s">
        <v>13956</v>
      </c>
      <c r="Y728" t="s">
        <v>13957</v>
      </c>
      <c r="Z728" t="s">
        <v>13958</v>
      </c>
      <c r="AA728" t="s">
        <v>13959</v>
      </c>
      <c r="AB728" t="s">
        <v>13960</v>
      </c>
      <c r="AC728" t="s">
        <v>13961</v>
      </c>
      <c r="AD728" t="s">
        <v>13961</v>
      </c>
      <c r="AE728" t="s">
        <v>13962</v>
      </c>
      <c r="AF728" t="s">
        <v>74</v>
      </c>
      <c r="AG728">
        <v>70</v>
      </c>
      <c r="AH728">
        <v>41</v>
      </c>
      <c r="AI728">
        <v>43</v>
      </c>
      <c r="AJ728">
        <v>3</v>
      </c>
      <c r="AK728">
        <v>130</v>
      </c>
      <c r="AL728" t="s">
        <v>247</v>
      </c>
      <c r="AM728" t="s">
        <v>248</v>
      </c>
      <c r="AN728" t="s">
        <v>249</v>
      </c>
      <c r="AO728" t="s">
        <v>883</v>
      </c>
      <c r="AP728" t="s">
        <v>884</v>
      </c>
      <c r="AQ728" t="s">
        <v>74</v>
      </c>
      <c r="AR728" t="s">
        <v>885</v>
      </c>
      <c r="AS728" t="s">
        <v>886</v>
      </c>
      <c r="AT728" t="s">
        <v>1963</v>
      </c>
      <c r="AU728">
        <v>2016</v>
      </c>
      <c r="AV728">
        <v>8</v>
      </c>
      <c r="AW728">
        <v>5</v>
      </c>
      <c r="AX728" t="s">
        <v>74</v>
      </c>
      <c r="AY728" t="s">
        <v>74</v>
      </c>
      <c r="AZ728" t="s">
        <v>74</v>
      </c>
      <c r="BA728" t="s">
        <v>74</v>
      </c>
      <c r="BB728">
        <v>969</v>
      </c>
      <c r="BC728">
        <v>980</v>
      </c>
      <c r="BD728" t="s">
        <v>74</v>
      </c>
      <c r="BE728" t="s">
        <v>13963</v>
      </c>
      <c r="BF728" t="str">
        <f>HYPERLINK("http://dx.doi.org/10.1111/gcbb.12334","http://dx.doi.org/10.1111/gcbb.12334")</f>
        <v>http://dx.doi.org/10.1111/gcbb.12334</v>
      </c>
      <c r="BG728" t="s">
        <v>74</v>
      </c>
      <c r="BH728" t="s">
        <v>74</v>
      </c>
      <c r="BI728">
        <v>12</v>
      </c>
      <c r="BJ728" t="s">
        <v>889</v>
      </c>
      <c r="BK728" t="s">
        <v>102</v>
      </c>
      <c r="BL728" t="s">
        <v>890</v>
      </c>
      <c r="BM728" t="s">
        <v>13964</v>
      </c>
      <c r="BN728" t="s">
        <v>74</v>
      </c>
      <c r="BO728" t="s">
        <v>13965</v>
      </c>
      <c r="BP728" t="s">
        <v>74</v>
      </c>
      <c r="BQ728" t="s">
        <v>74</v>
      </c>
      <c r="BR728" t="s">
        <v>106</v>
      </c>
      <c r="BS728" t="s">
        <v>13966</v>
      </c>
      <c r="BT728" t="str">
        <f>HYPERLINK("https%3A%2F%2Fwww.webofscience.com%2Fwos%2Fwoscc%2Ffull-record%2FWOS:000380913500010","View Full Record in Web of Science")</f>
        <v>View Full Record in Web of Science</v>
      </c>
    </row>
    <row r="729" spans="1:72" x14ac:dyDescent="0.2">
      <c r="A729" t="s">
        <v>72</v>
      </c>
      <c r="B729" t="s">
        <v>13967</v>
      </c>
      <c r="C729" t="s">
        <v>74</v>
      </c>
      <c r="D729" t="s">
        <v>74</v>
      </c>
      <c r="E729" t="s">
        <v>74</v>
      </c>
      <c r="F729" t="s">
        <v>13968</v>
      </c>
      <c r="G729" t="s">
        <v>74</v>
      </c>
      <c r="H729" t="s">
        <v>74</v>
      </c>
      <c r="I729" t="s">
        <v>13969</v>
      </c>
      <c r="J729" t="s">
        <v>13970</v>
      </c>
      <c r="K729" t="s">
        <v>74</v>
      </c>
      <c r="L729" t="s">
        <v>74</v>
      </c>
      <c r="M729" t="s">
        <v>78</v>
      </c>
      <c r="N729" t="s">
        <v>79</v>
      </c>
      <c r="O729" t="s">
        <v>74</v>
      </c>
      <c r="P729" t="s">
        <v>74</v>
      </c>
      <c r="Q729" t="s">
        <v>74</v>
      </c>
      <c r="R729" t="s">
        <v>74</v>
      </c>
      <c r="S729" t="s">
        <v>74</v>
      </c>
      <c r="T729" t="s">
        <v>74</v>
      </c>
      <c r="U729" t="s">
        <v>13971</v>
      </c>
      <c r="V729" t="s">
        <v>13972</v>
      </c>
      <c r="W729" t="s">
        <v>13973</v>
      </c>
      <c r="X729" t="s">
        <v>13974</v>
      </c>
      <c r="Y729" t="s">
        <v>13975</v>
      </c>
      <c r="Z729" t="s">
        <v>13976</v>
      </c>
      <c r="AA729" t="s">
        <v>13977</v>
      </c>
      <c r="AB729" t="s">
        <v>13978</v>
      </c>
      <c r="AC729" t="s">
        <v>13979</v>
      </c>
      <c r="AD729" t="s">
        <v>13980</v>
      </c>
      <c r="AE729" t="s">
        <v>13981</v>
      </c>
      <c r="AF729" t="s">
        <v>74</v>
      </c>
      <c r="AG729">
        <v>64</v>
      </c>
      <c r="AH729">
        <v>2</v>
      </c>
      <c r="AI729">
        <v>2</v>
      </c>
      <c r="AJ729">
        <v>7</v>
      </c>
      <c r="AK729">
        <v>31</v>
      </c>
      <c r="AL729" t="s">
        <v>504</v>
      </c>
      <c r="AM729" t="s">
        <v>676</v>
      </c>
      <c r="AN729" t="s">
        <v>677</v>
      </c>
      <c r="AO729" t="s">
        <v>13982</v>
      </c>
      <c r="AP729" t="s">
        <v>13983</v>
      </c>
      <c r="AQ729" t="s">
        <v>74</v>
      </c>
      <c r="AR729" t="s">
        <v>13984</v>
      </c>
      <c r="AS729" t="s">
        <v>13985</v>
      </c>
      <c r="AT729" t="s">
        <v>912</v>
      </c>
      <c r="AU729">
        <v>2025</v>
      </c>
      <c r="AV729">
        <v>43</v>
      </c>
      <c r="AW729">
        <v>3</v>
      </c>
      <c r="AX729" t="s">
        <v>74</v>
      </c>
      <c r="AY729" t="s">
        <v>74</v>
      </c>
      <c r="AZ729" t="s">
        <v>1070</v>
      </c>
      <c r="BA729" t="s">
        <v>74</v>
      </c>
      <c r="BB729">
        <v>505</v>
      </c>
      <c r="BC729">
        <v>517</v>
      </c>
      <c r="BD729" t="s">
        <v>74</v>
      </c>
      <c r="BE729" t="s">
        <v>13986</v>
      </c>
      <c r="BF729" t="str">
        <f>HYPERLINK("http://dx.doi.org/10.1007/s00271-024-00988-6","http://dx.doi.org/10.1007/s00271-024-00988-6")</f>
        <v>http://dx.doi.org/10.1007/s00271-024-00988-6</v>
      </c>
      <c r="BG729" t="s">
        <v>74</v>
      </c>
      <c r="BH729" t="s">
        <v>1594</v>
      </c>
      <c r="BI729">
        <v>13</v>
      </c>
      <c r="BJ729" t="s">
        <v>2665</v>
      </c>
      <c r="BK729" t="s">
        <v>102</v>
      </c>
      <c r="BL729" t="s">
        <v>2666</v>
      </c>
      <c r="BM729" t="s">
        <v>13987</v>
      </c>
      <c r="BN729" t="s">
        <v>74</v>
      </c>
      <c r="BO729" t="s">
        <v>74</v>
      </c>
      <c r="BP729" t="s">
        <v>74</v>
      </c>
      <c r="BQ729" t="s">
        <v>74</v>
      </c>
      <c r="BR729" t="s">
        <v>106</v>
      </c>
      <c r="BS729" t="s">
        <v>13988</v>
      </c>
      <c r="BT729" t="str">
        <f>HYPERLINK("https%3A%2F%2Fwww.webofscience.com%2Fwos%2Fwoscc%2Ffull-record%2FWOS:001353785700001","View Full Record in Web of Science")</f>
        <v>View Full Record in Web of Science</v>
      </c>
    </row>
    <row r="730" spans="1:72" x14ac:dyDescent="0.2">
      <c r="A730" t="s">
        <v>72</v>
      </c>
      <c r="B730" t="s">
        <v>13989</v>
      </c>
      <c r="C730" t="s">
        <v>74</v>
      </c>
      <c r="D730" t="s">
        <v>74</v>
      </c>
      <c r="E730" t="s">
        <v>74</v>
      </c>
      <c r="F730" t="s">
        <v>13990</v>
      </c>
      <c r="G730" t="s">
        <v>74</v>
      </c>
      <c r="H730" t="s">
        <v>74</v>
      </c>
      <c r="I730" t="s">
        <v>13991</v>
      </c>
      <c r="J730" t="s">
        <v>848</v>
      </c>
      <c r="K730" t="s">
        <v>74</v>
      </c>
      <c r="L730" t="s">
        <v>74</v>
      </c>
      <c r="M730" t="s">
        <v>78</v>
      </c>
      <c r="N730" t="s">
        <v>79</v>
      </c>
      <c r="O730" t="s">
        <v>74</v>
      </c>
      <c r="P730" t="s">
        <v>74</v>
      </c>
      <c r="Q730" t="s">
        <v>74</v>
      </c>
      <c r="R730" t="s">
        <v>74</v>
      </c>
      <c r="S730" t="s">
        <v>74</v>
      </c>
      <c r="T730" t="s">
        <v>13992</v>
      </c>
      <c r="U730" t="s">
        <v>13993</v>
      </c>
      <c r="V730" t="s">
        <v>13994</v>
      </c>
      <c r="W730" t="s">
        <v>13995</v>
      </c>
      <c r="X730" t="s">
        <v>13996</v>
      </c>
      <c r="Y730" t="s">
        <v>13997</v>
      </c>
      <c r="Z730" t="s">
        <v>13998</v>
      </c>
      <c r="AA730" t="s">
        <v>74</v>
      </c>
      <c r="AB730" t="s">
        <v>74</v>
      </c>
      <c r="AC730" t="s">
        <v>74</v>
      </c>
      <c r="AD730" t="s">
        <v>74</v>
      </c>
      <c r="AE730" t="s">
        <v>74</v>
      </c>
      <c r="AF730" t="s">
        <v>74</v>
      </c>
      <c r="AG730">
        <v>75</v>
      </c>
      <c r="AH730">
        <v>7</v>
      </c>
      <c r="AI730">
        <v>10</v>
      </c>
      <c r="AJ730">
        <v>3</v>
      </c>
      <c r="AK730">
        <v>8</v>
      </c>
      <c r="AL730" t="s">
        <v>655</v>
      </c>
      <c r="AM730" t="s">
        <v>405</v>
      </c>
      <c r="AN730" t="s">
        <v>656</v>
      </c>
      <c r="AO730" t="s">
        <v>74</v>
      </c>
      <c r="AP730" t="s">
        <v>859</v>
      </c>
      <c r="AQ730" t="s">
        <v>74</v>
      </c>
      <c r="AR730" t="s">
        <v>860</v>
      </c>
      <c r="AS730" t="s">
        <v>861</v>
      </c>
      <c r="AT730" t="s">
        <v>13999</v>
      </c>
      <c r="AU730">
        <v>2024</v>
      </c>
      <c r="AV730">
        <v>8</v>
      </c>
      <c r="AW730" t="s">
        <v>74</v>
      </c>
      <c r="AX730" t="s">
        <v>74</v>
      </c>
      <c r="AY730" t="s">
        <v>74</v>
      </c>
      <c r="AZ730" t="s">
        <v>74</v>
      </c>
      <c r="BA730" t="s">
        <v>74</v>
      </c>
      <c r="BB730" t="s">
        <v>74</v>
      </c>
      <c r="BC730" t="s">
        <v>74</v>
      </c>
      <c r="BD730">
        <v>1363994</v>
      </c>
      <c r="BE730" t="s">
        <v>14000</v>
      </c>
      <c r="BF730" t="str">
        <f>HYPERLINK("http://dx.doi.org/10.3389/fsufs.2024.1363994","http://dx.doi.org/10.3389/fsufs.2024.1363994")</f>
        <v>http://dx.doi.org/10.3389/fsufs.2024.1363994</v>
      </c>
      <c r="BG730" t="s">
        <v>74</v>
      </c>
      <c r="BH730" t="s">
        <v>74</v>
      </c>
      <c r="BI730">
        <v>12</v>
      </c>
      <c r="BJ730" t="s">
        <v>864</v>
      </c>
      <c r="BK730" t="s">
        <v>102</v>
      </c>
      <c r="BL730" t="s">
        <v>864</v>
      </c>
      <c r="BM730" t="s">
        <v>14001</v>
      </c>
      <c r="BN730" t="s">
        <v>74</v>
      </c>
      <c r="BO730" t="s">
        <v>231</v>
      </c>
      <c r="BP730" t="s">
        <v>74</v>
      </c>
      <c r="BQ730" t="s">
        <v>74</v>
      </c>
      <c r="BR730" t="s">
        <v>106</v>
      </c>
      <c r="BS730" t="s">
        <v>14002</v>
      </c>
      <c r="BT730" t="str">
        <f>HYPERLINK("https%3A%2F%2Fwww.webofscience.com%2Fwos%2Fwoscc%2Ffull-record%2FWOS:001241794300001","View Full Record in Web of Science")</f>
        <v>View Full Record in Web of Science</v>
      </c>
    </row>
    <row r="731" spans="1:72" x14ac:dyDescent="0.2">
      <c r="A731" t="s">
        <v>72</v>
      </c>
      <c r="B731" t="s">
        <v>14003</v>
      </c>
      <c r="C731" t="s">
        <v>74</v>
      </c>
      <c r="D731" t="s">
        <v>74</v>
      </c>
      <c r="E731" t="s">
        <v>74</v>
      </c>
      <c r="F731" t="s">
        <v>14004</v>
      </c>
      <c r="G731" t="s">
        <v>74</v>
      </c>
      <c r="H731" t="s">
        <v>74</v>
      </c>
      <c r="I731" t="s">
        <v>14005</v>
      </c>
      <c r="J731" t="s">
        <v>1526</v>
      </c>
      <c r="K731" t="s">
        <v>74</v>
      </c>
      <c r="L731" t="s">
        <v>74</v>
      </c>
      <c r="M731" t="s">
        <v>78</v>
      </c>
      <c r="N731" t="s">
        <v>79</v>
      </c>
      <c r="O731" t="s">
        <v>74</v>
      </c>
      <c r="P731" t="s">
        <v>74</v>
      </c>
      <c r="Q731" t="s">
        <v>74</v>
      </c>
      <c r="R731" t="s">
        <v>74</v>
      </c>
      <c r="S731" t="s">
        <v>74</v>
      </c>
      <c r="T731" t="s">
        <v>14006</v>
      </c>
      <c r="U731" t="s">
        <v>14007</v>
      </c>
      <c r="V731" t="s">
        <v>14008</v>
      </c>
      <c r="W731" t="s">
        <v>14009</v>
      </c>
      <c r="X731" t="s">
        <v>14010</v>
      </c>
      <c r="Y731" t="s">
        <v>14011</v>
      </c>
      <c r="Z731" t="s">
        <v>14012</v>
      </c>
      <c r="AA731" t="s">
        <v>14013</v>
      </c>
      <c r="AB731" t="s">
        <v>14014</v>
      </c>
      <c r="AC731" t="s">
        <v>14015</v>
      </c>
      <c r="AD731" t="s">
        <v>14016</v>
      </c>
      <c r="AE731" t="s">
        <v>14017</v>
      </c>
      <c r="AF731" t="s">
        <v>74</v>
      </c>
      <c r="AG731">
        <v>38</v>
      </c>
      <c r="AH731">
        <v>12</v>
      </c>
      <c r="AI731">
        <v>13</v>
      </c>
      <c r="AJ731">
        <v>4</v>
      </c>
      <c r="AK731">
        <v>46</v>
      </c>
      <c r="AL731" t="s">
        <v>176</v>
      </c>
      <c r="AM731" t="s">
        <v>1610</v>
      </c>
      <c r="AN731" t="s">
        <v>1611</v>
      </c>
      <c r="AO731" t="s">
        <v>1538</v>
      </c>
      <c r="AP731" t="s">
        <v>1539</v>
      </c>
      <c r="AQ731" t="s">
        <v>74</v>
      </c>
      <c r="AR731" t="s">
        <v>1540</v>
      </c>
      <c r="AS731" t="s">
        <v>1541</v>
      </c>
      <c r="AT731" t="s">
        <v>14018</v>
      </c>
      <c r="AU731">
        <v>2022</v>
      </c>
      <c r="AV731">
        <v>381</v>
      </c>
      <c r="AW731" t="s">
        <v>74</v>
      </c>
      <c r="AX731">
        <v>1</v>
      </c>
      <c r="AY731" t="s">
        <v>74</v>
      </c>
      <c r="AZ731" t="s">
        <v>74</v>
      </c>
      <c r="BA731" t="s">
        <v>74</v>
      </c>
      <c r="BB731" t="s">
        <v>74</v>
      </c>
      <c r="BC731" t="s">
        <v>74</v>
      </c>
      <c r="BD731">
        <v>135130</v>
      </c>
      <c r="BE731" t="s">
        <v>14019</v>
      </c>
      <c r="BF731" t="str">
        <f>HYPERLINK("http://dx.doi.org/10.1016/j.jclepro.2022.135130","http://dx.doi.org/10.1016/j.jclepro.2022.135130")</f>
        <v>http://dx.doi.org/10.1016/j.jclepro.2022.135130</v>
      </c>
      <c r="BG731" t="s">
        <v>74</v>
      </c>
      <c r="BH731" t="s">
        <v>10385</v>
      </c>
      <c r="BI731">
        <v>10</v>
      </c>
      <c r="BJ731" t="s">
        <v>1543</v>
      </c>
      <c r="BK731" t="s">
        <v>102</v>
      </c>
      <c r="BL731" t="s">
        <v>1544</v>
      </c>
      <c r="BM731" t="s">
        <v>14020</v>
      </c>
      <c r="BN731" t="s">
        <v>74</v>
      </c>
      <c r="BO731" t="s">
        <v>5651</v>
      </c>
      <c r="BP731" t="s">
        <v>74</v>
      </c>
      <c r="BQ731" t="s">
        <v>74</v>
      </c>
      <c r="BR731" t="s">
        <v>106</v>
      </c>
      <c r="BS731" t="s">
        <v>14021</v>
      </c>
      <c r="BT731" t="str">
        <f>HYPERLINK("https%3A%2F%2Fwww.webofscience.com%2Fwos%2Fwoscc%2Ffull-record%2FWOS:000894077700006","View Full Record in Web of Science")</f>
        <v>View Full Record in Web of Science</v>
      </c>
    </row>
    <row r="732" spans="1:72" x14ac:dyDescent="0.2">
      <c r="A732" t="s">
        <v>72</v>
      </c>
      <c r="B732" t="s">
        <v>14022</v>
      </c>
      <c r="C732" t="s">
        <v>74</v>
      </c>
      <c r="D732" t="s">
        <v>74</v>
      </c>
      <c r="E732" t="s">
        <v>74</v>
      </c>
      <c r="F732" t="s">
        <v>14023</v>
      </c>
      <c r="G732" t="s">
        <v>74</v>
      </c>
      <c r="H732" t="s">
        <v>74</v>
      </c>
      <c r="I732" t="s">
        <v>14024</v>
      </c>
      <c r="J732" t="s">
        <v>828</v>
      </c>
      <c r="K732" t="s">
        <v>74</v>
      </c>
      <c r="L732" t="s">
        <v>74</v>
      </c>
      <c r="M732" t="s">
        <v>78</v>
      </c>
      <c r="N732" t="s">
        <v>79</v>
      </c>
      <c r="O732" t="s">
        <v>74</v>
      </c>
      <c r="P732" t="s">
        <v>74</v>
      </c>
      <c r="Q732" t="s">
        <v>74</v>
      </c>
      <c r="R732" t="s">
        <v>74</v>
      </c>
      <c r="S732" t="s">
        <v>74</v>
      </c>
      <c r="T732" t="s">
        <v>74</v>
      </c>
      <c r="U732" t="s">
        <v>74</v>
      </c>
      <c r="V732" t="s">
        <v>14025</v>
      </c>
      <c r="W732" t="s">
        <v>14026</v>
      </c>
      <c r="X732" t="s">
        <v>14027</v>
      </c>
      <c r="Y732" t="s">
        <v>14028</v>
      </c>
      <c r="Z732" t="s">
        <v>14029</v>
      </c>
      <c r="AA732" t="s">
        <v>14030</v>
      </c>
      <c r="AB732" t="s">
        <v>74</v>
      </c>
      <c r="AC732" t="s">
        <v>74</v>
      </c>
      <c r="AD732" t="s">
        <v>74</v>
      </c>
      <c r="AE732" t="s">
        <v>74</v>
      </c>
      <c r="AF732" t="s">
        <v>74</v>
      </c>
      <c r="AG732">
        <v>15</v>
      </c>
      <c r="AH732">
        <v>0</v>
      </c>
      <c r="AI732">
        <v>0</v>
      </c>
      <c r="AJ732">
        <v>0</v>
      </c>
      <c r="AK732">
        <v>6</v>
      </c>
      <c r="AL732" t="s">
        <v>835</v>
      </c>
      <c r="AM732" t="s">
        <v>836</v>
      </c>
      <c r="AN732" t="s">
        <v>3254</v>
      </c>
      <c r="AO732" t="s">
        <v>838</v>
      </c>
      <c r="AP732" t="s">
        <v>74</v>
      </c>
      <c r="AQ732" t="s">
        <v>74</v>
      </c>
      <c r="AR732" t="s">
        <v>839</v>
      </c>
      <c r="AS732" t="s">
        <v>840</v>
      </c>
      <c r="AT732" t="s">
        <v>3255</v>
      </c>
      <c r="AU732">
        <v>2019</v>
      </c>
      <c r="AV732">
        <v>50</v>
      </c>
      <c r="AW732">
        <v>2</v>
      </c>
      <c r="AX732" t="s">
        <v>74</v>
      </c>
      <c r="AY732" t="s">
        <v>74</v>
      </c>
      <c r="AZ732" t="s">
        <v>74</v>
      </c>
      <c r="BA732" t="s">
        <v>74</v>
      </c>
      <c r="BB732">
        <v>88</v>
      </c>
      <c r="BC732">
        <v>93</v>
      </c>
      <c r="BD732" t="s">
        <v>74</v>
      </c>
      <c r="BE732" t="s">
        <v>74</v>
      </c>
      <c r="BF732" t="s">
        <v>74</v>
      </c>
      <c r="BG732" t="s">
        <v>74</v>
      </c>
      <c r="BH732" t="s">
        <v>74</v>
      </c>
      <c r="BI732">
        <v>6</v>
      </c>
      <c r="BJ732" t="s">
        <v>842</v>
      </c>
      <c r="BK732" t="s">
        <v>102</v>
      </c>
      <c r="BL732" t="s">
        <v>103</v>
      </c>
      <c r="BM732" t="s">
        <v>6519</v>
      </c>
      <c r="BN732" t="s">
        <v>74</v>
      </c>
      <c r="BO732" t="s">
        <v>74</v>
      </c>
      <c r="BP732" t="s">
        <v>74</v>
      </c>
      <c r="BQ732" t="s">
        <v>74</v>
      </c>
      <c r="BR732" t="s">
        <v>106</v>
      </c>
      <c r="BS732" t="s">
        <v>14031</v>
      </c>
      <c r="BT732" t="str">
        <f>HYPERLINK("https%3A%2F%2Fwww.webofscience.com%2Fwos%2Fwoscc%2Ffull-record%2FWOS:000481561000013","View Full Record in Web of Science")</f>
        <v>View Full Record in Web of Science</v>
      </c>
    </row>
    <row r="733" spans="1:72" x14ac:dyDescent="0.2">
      <c r="A733" t="s">
        <v>72</v>
      </c>
      <c r="B733" t="s">
        <v>14032</v>
      </c>
      <c r="C733" t="s">
        <v>74</v>
      </c>
      <c r="D733" t="s">
        <v>74</v>
      </c>
      <c r="E733" t="s">
        <v>74</v>
      </c>
      <c r="F733" t="s">
        <v>14033</v>
      </c>
      <c r="G733" t="s">
        <v>74</v>
      </c>
      <c r="H733" t="s">
        <v>74</v>
      </c>
      <c r="I733" t="s">
        <v>14034</v>
      </c>
      <c r="J733" t="s">
        <v>14035</v>
      </c>
      <c r="K733" t="s">
        <v>74</v>
      </c>
      <c r="L733" t="s">
        <v>74</v>
      </c>
      <c r="M733" t="s">
        <v>78</v>
      </c>
      <c r="N733" t="s">
        <v>79</v>
      </c>
      <c r="O733" t="s">
        <v>74</v>
      </c>
      <c r="P733" t="s">
        <v>74</v>
      </c>
      <c r="Q733" t="s">
        <v>74</v>
      </c>
      <c r="R733" t="s">
        <v>74</v>
      </c>
      <c r="S733" t="s">
        <v>74</v>
      </c>
      <c r="T733" t="s">
        <v>14036</v>
      </c>
      <c r="U733" t="s">
        <v>14037</v>
      </c>
      <c r="V733" t="s">
        <v>14038</v>
      </c>
      <c r="W733" t="s">
        <v>14039</v>
      </c>
      <c r="X733" t="s">
        <v>14040</v>
      </c>
      <c r="Y733" t="s">
        <v>14041</v>
      </c>
      <c r="Z733" t="s">
        <v>14042</v>
      </c>
      <c r="AA733" t="s">
        <v>14043</v>
      </c>
      <c r="AB733" t="s">
        <v>74</v>
      </c>
      <c r="AC733" t="s">
        <v>14044</v>
      </c>
      <c r="AD733" t="s">
        <v>14044</v>
      </c>
      <c r="AE733" t="s">
        <v>14045</v>
      </c>
      <c r="AF733" t="s">
        <v>74</v>
      </c>
      <c r="AG733">
        <v>85</v>
      </c>
      <c r="AH733">
        <v>1</v>
      </c>
      <c r="AI733">
        <v>1</v>
      </c>
      <c r="AJ733">
        <v>2</v>
      </c>
      <c r="AK733">
        <v>2</v>
      </c>
      <c r="AL733" t="s">
        <v>14046</v>
      </c>
      <c r="AM733" t="s">
        <v>14047</v>
      </c>
      <c r="AN733" t="s">
        <v>14048</v>
      </c>
      <c r="AO733" t="s">
        <v>14049</v>
      </c>
      <c r="AP733" t="s">
        <v>14050</v>
      </c>
      <c r="AQ733" t="s">
        <v>74</v>
      </c>
      <c r="AR733" t="s">
        <v>14051</v>
      </c>
      <c r="AS733" t="s">
        <v>14052</v>
      </c>
      <c r="AT733" t="s">
        <v>74</v>
      </c>
      <c r="AU733">
        <v>2025</v>
      </c>
      <c r="AV733">
        <v>64</v>
      </c>
      <c r="AW733">
        <v>1</v>
      </c>
      <c r="AX733" t="s">
        <v>74</v>
      </c>
      <c r="AY733" t="s">
        <v>74</v>
      </c>
      <c r="AZ733" t="s">
        <v>74</v>
      </c>
      <c r="BA733" t="s">
        <v>74</v>
      </c>
      <c r="BB733">
        <v>1</v>
      </c>
      <c r="BC733">
        <v>21</v>
      </c>
      <c r="BD733" t="s">
        <v>74</v>
      </c>
      <c r="BE733" t="s">
        <v>14053</v>
      </c>
      <c r="BF733" t="str">
        <f>HYPERLINK("http://dx.doi.org/10.15212/ijafr-2024-0008","http://dx.doi.org/10.15212/ijafr-2024-0008")</f>
        <v>http://dx.doi.org/10.15212/ijafr-2024-0008</v>
      </c>
      <c r="BG733" t="s">
        <v>74</v>
      </c>
      <c r="BH733" t="s">
        <v>74</v>
      </c>
      <c r="BI733">
        <v>21</v>
      </c>
      <c r="BJ733" t="s">
        <v>14054</v>
      </c>
      <c r="BK733" t="s">
        <v>102</v>
      </c>
      <c r="BL733" t="s">
        <v>3152</v>
      </c>
      <c r="BM733" t="s">
        <v>14055</v>
      </c>
      <c r="BN733" t="s">
        <v>74</v>
      </c>
      <c r="BO733" t="s">
        <v>231</v>
      </c>
      <c r="BP733" t="s">
        <v>74</v>
      </c>
      <c r="BQ733" t="s">
        <v>74</v>
      </c>
      <c r="BR733" t="s">
        <v>106</v>
      </c>
      <c r="BS733" t="s">
        <v>14056</v>
      </c>
      <c r="BT733" t="str">
        <f>HYPERLINK("https%3A%2F%2Fwww.webofscience.com%2Fwos%2Fwoscc%2Ffull-record%2FWOS:001586739300001","View Full Record in Web of Science")</f>
        <v>View Full Record in Web of Science</v>
      </c>
    </row>
    <row r="734" spans="1:72" x14ac:dyDescent="0.2">
      <c r="A734" t="s">
        <v>72</v>
      </c>
      <c r="B734" t="s">
        <v>14057</v>
      </c>
      <c r="C734" t="s">
        <v>74</v>
      </c>
      <c r="D734" t="s">
        <v>74</v>
      </c>
      <c r="E734" t="s">
        <v>74</v>
      </c>
      <c r="F734" t="s">
        <v>14058</v>
      </c>
      <c r="G734" t="s">
        <v>74</v>
      </c>
      <c r="H734" t="s">
        <v>74</v>
      </c>
      <c r="I734" t="s">
        <v>14059</v>
      </c>
      <c r="J734" t="s">
        <v>468</v>
      </c>
      <c r="K734" t="s">
        <v>74</v>
      </c>
      <c r="L734" t="s">
        <v>74</v>
      </c>
      <c r="M734" t="s">
        <v>78</v>
      </c>
      <c r="N734" t="s">
        <v>79</v>
      </c>
      <c r="O734" t="s">
        <v>74</v>
      </c>
      <c r="P734" t="s">
        <v>74</v>
      </c>
      <c r="Q734" t="s">
        <v>74</v>
      </c>
      <c r="R734" t="s">
        <v>74</v>
      </c>
      <c r="S734" t="s">
        <v>74</v>
      </c>
      <c r="T734" t="s">
        <v>14060</v>
      </c>
      <c r="U734" t="s">
        <v>14061</v>
      </c>
      <c r="V734" t="s">
        <v>14062</v>
      </c>
      <c r="W734" t="s">
        <v>14063</v>
      </c>
      <c r="X734" t="s">
        <v>14064</v>
      </c>
      <c r="Y734" t="s">
        <v>14065</v>
      </c>
      <c r="Z734" t="s">
        <v>14066</v>
      </c>
      <c r="AA734" t="s">
        <v>14067</v>
      </c>
      <c r="AB734" t="s">
        <v>14068</v>
      </c>
      <c r="AC734" t="s">
        <v>74</v>
      </c>
      <c r="AD734" t="s">
        <v>74</v>
      </c>
      <c r="AE734" t="s">
        <v>74</v>
      </c>
      <c r="AF734" t="s">
        <v>74</v>
      </c>
      <c r="AG734">
        <v>58</v>
      </c>
      <c r="AH734">
        <v>22</v>
      </c>
      <c r="AI734">
        <v>26</v>
      </c>
      <c r="AJ734">
        <v>7</v>
      </c>
      <c r="AK734">
        <v>41</v>
      </c>
      <c r="AL734" t="s">
        <v>222</v>
      </c>
      <c r="AM734" t="s">
        <v>223</v>
      </c>
      <c r="AN734" t="s">
        <v>478</v>
      </c>
      <c r="AO734" t="s">
        <v>74</v>
      </c>
      <c r="AP734" t="s">
        <v>479</v>
      </c>
      <c r="AQ734" t="s">
        <v>74</v>
      </c>
      <c r="AR734" t="s">
        <v>480</v>
      </c>
      <c r="AS734" t="s">
        <v>481</v>
      </c>
      <c r="AT734" t="s">
        <v>183</v>
      </c>
      <c r="AU734">
        <v>2023</v>
      </c>
      <c r="AV734">
        <v>15</v>
      </c>
      <c r="AW734">
        <v>13</v>
      </c>
      <c r="AX734" t="s">
        <v>74</v>
      </c>
      <c r="AY734" t="s">
        <v>74</v>
      </c>
      <c r="AZ734" t="s">
        <v>74</v>
      </c>
      <c r="BA734" t="s">
        <v>74</v>
      </c>
      <c r="BB734" t="s">
        <v>74</v>
      </c>
      <c r="BC734" t="s">
        <v>74</v>
      </c>
      <c r="BD734">
        <v>10452</v>
      </c>
      <c r="BE734" t="s">
        <v>14069</v>
      </c>
      <c r="BF734" t="str">
        <f>HYPERLINK("http://dx.doi.org/10.3390/su151310452","http://dx.doi.org/10.3390/su151310452")</f>
        <v>http://dx.doi.org/10.3390/su151310452</v>
      </c>
      <c r="BG734" t="s">
        <v>74</v>
      </c>
      <c r="BH734" t="s">
        <v>74</v>
      </c>
      <c r="BI734">
        <v>17</v>
      </c>
      <c r="BJ734" t="s">
        <v>484</v>
      </c>
      <c r="BK734" t="s">
        <v>186</v>
      </c>
      <c r="BL734" t="s">
        <v>485</v>
      </c>
      <c r="BM734" t="s">
        <v>14070</v>
      </c>
      <c r="BN734" t="s">
        <v>74</v>
      </c>
      <c r="BO734" t="s">
        <v>161</v>
      </c>
      <c r="BP734" t="s">
        <v>74</v>
      </c>
      <c r="BQ734" t="s">
        <v>74</v>
      </c>
      <c r="BR734" t="s">
        <v>106</v>
      </c>
      <c r="BS734" t="s">
        <v>14071</v>
      </c>
      <c r="BT734" t="str">
        <f>HYPERLINK("https%3A%2F%2Fwww.webofscience.com%2Fwos%2Fwoscc%2Ffull-record%2FWOS:001028301600001","View Full Record in Web of Science")</f>
        <v>View Full Record in Web of Science</v>
      </c>
    </row>
    <row r="735" spans="1:72" x14ac:dyDescent="0.2">
      <c r="A735" t="s">
        <v>72</v>
      </c>
      <c r="B735" t="s">
        <v>14072</v>
      </c>
      <c r="C735" t="s">
        <v>74</v>
      </c>
      <c r="D735" t="s">
        <v>74</v>
      </c>
      <c r="E735" t="s">
        <v>74</v>
      </c>
      <c r="F735" t="s">
        <v>14073</v>
      </c>
      <c r="G735" t="s">
        <v>74</v>
      </c>
      <c r="H735" t="s">
        <v>74</v>
      </c>
      <c r="I735" t="s">
        <v>14074</v>
      </c>
      <c r="J735" t="s">
        <v>574</v>
      </c>
      <c r="K735" t="s">
        <v>74</v>
      </c>
      <c r="L735" t="s">
        <v>74</v>
      </c>
      <c r="M735" t="s">
        <v>78</v>
      </c>
      <c r="N735" t="s">
        <v>79</v>
      </c>
      <c r="O735" t="s">
        <v>74</v>
      </c>
      <c r="P735" t="s">
        <v>74</v>
      </c>
      <c r="Q735" t="s">
        <v>74</v>
      </c>
      <c r="R735" t="s">
        <v>74</v>
      </c>
      <c r="S735" t="s">
        <v>74</v>
      </c>
      <c r="T735" t="s">
        <v>14075</v>
      </c>
      <c r="U735" t="s">
        <v>14076</v>
      </c>
      <c r="V735" t="s">
        <v>14077</v>
      </c>
      <c r="W735" t="s">
        <v>14078</v>
      </c>
      <c r="X735" t="s">
        <v>14079</v>
      </c>
      <c r="Y735" t="s">
        <v>14080</v>
      </c>
      <c r="Z735" t="s">
        <v>14081</v>
      </c>
      <c r="AA735" t="s">
        <v>14082</v>
      </c>
      <c r="AB735" t="s">
        <v>14083</v>
      </c>
      <c r="AC735" t="s">
        <v>14084</v>
      </c>
      <c r="AD735" t="s">
        <v>14085</v>
      </c>
      <c r="AE735" t="s">
        <v>14086</v>
      </c>
      <c r="AF735" t="s">
        <v>74</v>
      </c>
      <c r="AG735">
        <v>73</v>
      </c>
      <c r="AH735">
        <v>0</v>
      </c>
      <c r="AI735">
        <v>0</v>
      </c>
      <c r="AJ735">
        <v>7</v>
      </c>
      <c r="AK735">
        <v>11</v>
      </c>
      <c r="AL735" t="s">
        <v>585</v>
      </c>
      <c r="AM735" t="s">
        <v>306</v>
      </c>
      <c r="AN735" t="s">
        <v>586</v>
      </c>
      <c r="AO735" t="s">
        <v>587</v>
      </c>
      <c r="AP735" t="s">
        <v>588</v>
      </c>
      <c r="AQ735" t="s">
        <v>74</v>
      </c>
      <c r="AR735" t="s">
        <v>589</v>
      </c>
      <c r="AS735" t="s">
        <v>590</v>
      </c>
      <c r="AT735" t="s">
        <v>591</v>
      </c>
      <c r="AU735">
        <v>2025</v>
      </c>
      <c r="AV735">
        <v>16</v>
      </c>
      <c r="AW735">
        <v>1</v>
      </c>
      <c r="AX735" t="s">
        <v>74</v>
      </c>
      <c r="AY735" t="s">
        <v>74</v>
      </c>
      <c r="AZ735" t="s">
        <v>74</v>
      </c>
      <c r="BA735" t="s">
        <v>74</v>
      </c>
      <c r="BB735" t="s">
        <v>74</v>
      </c>
      <c r="BC735" t="s">
        <v>74</v>
      </c>
      <c r="BD735">
        <v>2497870</v>
      </c>
      <c r="BE735" t="s">
        <v>14087</v>
      </c>
      <c r="BF735" t="str">
        <f>HYPERLINK("http://dx.doi.org/10.1080/17583004.2025.2497870","http://dx.doi.org/10.1080/17583004.2025.2497870")</f>
        <v>http://dx.doi.org/10.1080/17583004.2025.2497870</v>
      </c>
      <c r="BG735" t="s">
        <v>74</v>
      </c>
      <c r="BH735" t="s">
        <v>74</v>
      </c>
      <c r="BI735">
        <v>19</v>
      </c>
      <c r="BJ735" t="s">
        <v>593</v>
      </c>
      <c r="BK735" t="s">
        <v>186</v>
      </c>
      <c r="BL735" t="s">
        <v>568</v>
      </c>
      <c r="BM735" t="s">
        <v>14088</v>
      </c>
      <c r="BN735" t="s">
        <v>74</v>
      </c>
      <c r="BO735" t="s">
        <v>161</v>
      </c>
      <c r="BP735" t="s">
        <v>74</v>
      </c>
      <c r="BQ735" t="s">
        <v>74</v>
      </c>
      <c r="BR735" t="s">
        <v>106</v>
      </c>
      <c r="BS735" t="s">
        <v>14089</v>
      </c>
      <c r="BT735" t="str">
        <f>HYPERLINK("https%3A%2F%2Fwww.webofscience.com%2Fwos%2Fwoscc%2Ffull-record%2FWOS:001481667000001","View Full Record in Web of Science")</f>
        <v>View Full Record in Web of Science</v>
      </c>
    </row>
    <row r="736" spans="1:72" x14ac:dyDescent="0.2">
      <c r="A736" t="s">
        <v>72</v>
      </c>
      <c r="B736" t="s">
        <v>14090</v>
      </c>
      <c r="C736" t="s">
        <v>74</v>
      </c>
      <c r="D736" t="s">
        <v>74</v>
      </c>
      <c r="E736" t="s">
        <v>74</v>
      </c>
      <c r="F736" t="s">
        <v>14091</v>
      </c>
      <c r="G736" t="s">
        <v>74</v>
      </c>
      <c r="H736" t="s">
        <v>74</v>
      </c>
      <c r="I736" t="s">
        <v>14092</v>
      </c>
      <c r="J736" t="s">
        <v>995</v>
      </c>
      <c r="K736" t="s">
        <v>74</v>
      </c>
      <c r="L736" t="s">
        <v>74</v>
      </c>
      <c r="M736" t="s">
        <v>78</v>
      </c>
      <c r="N736" t="s">
        <v>79</v>
      </c>
      <c r="O736" t="s">
        <v>74</v>
      </c>
      <c r="P736" t="s">
        <v>74</v>
      </c>
      <c r="Q736" t="s">
        <v>74</v>
      </c>
      <c r="R736" t="s">
        <v>74</v>
      </c>
      <c r="S736" t="s">
        <v>74</v>
      </c>
      <c r="T736" t="s">
        <v>14093</v>
      </c>
      <c r="U736" t="s">
        <v>14094</v>
      </c>
      <c r="V736" t="s">
        <v>14095</v>
      </c>
      <c r="W736" t="s">
        <v>14096</v>
      </c>
      <c r="X736" t="s">
        <v>14097</v>
      </c>
      <c r="Y736" t="s">
        <v>14098</v>
      </c>
      <c r="Z736" t="s">
        <v>14099</v>
      </c>
      <c r="AA736" t="s">
        <v>14100</v>
      </c>
      <c r="AB736" t="s">
        <v>14101</v>
      </c>
      <c r="AC736" t="s">
        <v>14102</v>
      </c>
      <c r="AD736" t="s">
        <v>14103</v>
      </c>
      <c r="AE736" t="s">
        <v>14104</v>
      </c>
      <c r="AF736" t="s">
        <v>74</v>
      </c>
      <c r="AG736">
        <v>43</v>
      </c>
      <c r="AH736">
        <v>15</v>
      </c>
      <c r="AI736">
        <v>16</v>
      </c>
      <c r="AJ736">
        <v>3</v>
      </c>
      <c r="AK736">
        <v>80</v>
      </c>
      <c r="AL736" t="s">
        <v>123</v>
      </c>
      <c r="AM736" t="s">
        <v>124</v>
      </c>
      <c r="AN736" t="s">
        <v>125</v>
      </c>
      <c r="AO736" t="s">
        <v>1008</v>
      </c>
      <c r="AP736" t="s">
        <v>1009</v>
      </c>
      <c r="AQ736" t="s">
        <v>74</v>
      </c>
      <c r="AR736" t="s">
        <v>1010</v>
      </c>
      <c r="AS736" t="s">
        <v>1011</v>
      </c>
      <c r="AT736" t="s">
        <v>3242</v>
      </c>
      <c r="AU736">
        <v>2022</v>
      </c>
      <c r="AV736">
        <v>848</v>
      </c>
      <c r="AW736" t="s">
        <v>74</v>
      </c>
      <c r="AX736" t="s">
        <v>74</v>
      </c>
      <c r="AY736" t="s">
        <v>74</v>
      </c>
      <c r="AZ736" t="s">
        <v>74</v>
      </c>
      <c r="BA736" t="s">
        <v>74</v>
      </c>
      <c r="BB736" t="s">
        <v>74</v>
      </c>
      <c r="BC736" t="s">
        <v>74</v>
      </c>
      <c r="BD736">
        <v>157756</v>
      </c>
      <c r="BE736" t="s">
        <v>14105</v>
      </c>
      <c r="BF736" t="str">
        <f>HYPERLINK("http://dx.doi.org/10.1016/j.scitotenv.2022.157756","http://dx.doi.org/10.1016/j.scitotenv.2022.157756")</f>
        <v>http://dx.doi.org/10.1016/j.scitotenv.2022.157756</v>
      </c>
      <c r="BG736" t="s">
        <v>74</v>
      </c>
      <c r="BH736" t="s">
        <v>1072</v>
      </c>
      <c r="BI736">
        <v>12</v>
      </c>
      <c r="BJ736" t="s">
        <v>567</v>
      </c>
      <c r="BK736" t="s">
        <v>102</v>
      </c>
      <c r="BL736" t="s">
        <v>568</v>
      </c>
      <c r="BM736" t="s">
        <v>14106</v>
      </c>
      <c r="BN736">
        <v>35926594</v>
      </c>
      <c r="BO736" t="s">
        <v>74</v>
      </c>
      <c r="BP736" t="s">
        <v>74</v>
      </c>
      <c r="BQ736" t="s">
        <v>74</v>
      </c>
      <c r="BR736" t="s">
        <v>106</v>
      </c>
      <c r="BS736" t="s">
        <v>14107</v>
      </c>
      <c r="BT736" t="str">
        <f>HYPERLINK("https%3A%2F%2Fwww.webofscience.com%2Fwos%2Fwoscc%2Ffull-record%2FWOS:000866470300013","View Full Record in Web of Science")</f>
        <v>View Full Record in Web of Science</v>
      </c>
    </row>
    <row r="737" spans="1:72" x14ac:dyDescent="0.2">
      <c r="A737" t="s">
        <v>72</v>
      </c>
      <c r="B737" t="s">
        <v>14108</v>
      </c>
      <c r="C737" t="s">
        <v>74</v>
      </c>
      <c r="D737" t="s">
        <v>74</v>
      </c>
      <c r="E737" t="s">
        <v>74</v>
      </c>
      <c r="F737" t="s">
        <v>14109</v>
      </c>
      <c r="G737" t="s">
        <v>74</v>
      </c>
      <c r="H737" t="s">
        <v>74</v>
      </c>
      <c r="I737" t="s">
        <v>14110</v>
      </c>
      <c r="J737" t="s">
        <v>14111</v>
      </c>
      <c r="K737" t="s">
        <v>74</v>
      </c>
      <c r="L737" t="s">
        <v>74</v>
      </c>
      <c r="M737" t="s">
        <v>78</v>
      </c>
      <c r="N737" t="s">
        <v>79</v>
      </c>
      <c r="O737" t="s">
        <v>74</v>
      </c>
      <c r="P737" t="s">
        <v>74</v>
      </c>
      <c r="Q737" t="s">
        <v>74</v>
      </c>
      <c r="R737" t="s">
        <v>74</v>
      </c>
      <c r="S737" t="s">
        <v>74</v>
      </c>
      <c r="T737" t="s">
        <v>14112</v>
      </c>
      <c r="U737" t="s">
        <v>14113</v>
      </c>
      <c r="V737" t="s">
        <v>14114</v>
      </c>
      <c r="W737" t="s">
        <v>14115</v>
      </c>
      <c r="X737" t="s">
        <v>14116</v>
      </c>
      <c r="Y737" t="s">
        <v>14117</v>
      </c>
      <c r="Z737" t="s">
        <v>14118</v>
      </c>
      <c r="AA737" t="s">
        <v>14119</v>
      </c>
      <c r="AB737" t="s">
        <v>14120</v>
      </c>
      <c r="AC737" t="s">
        <v>14121</v>
      </c>
      <c r="AD737" t="s">
        <v>14122</v>
      </c>
      <c r="AE737" t="s">
        <v>14123</v>
      </c>
      <c r="AF737" t="s">
        <v>74</v>
      </c>
      <c r="AG737">
        <v>52</v>
      </c>
      <c r="AH737">
        <v>12</v>
      </c>
      <c r="AI737">
        <v>13</v>
      </c>
      <c r="AJ737">
        <v>13</v>
      </c>
      <c r="AK737">
        <v>68</v>
      </c>
      <c r="AL737" t="s">
        <v>123</v>
      </c>
      <c r="AM737" t="s">
        <v>124</v>
      </c>
      <c r="AN737" t="s">
        <v>125</v>
      </c>
      <c r="AO737" t="s">
        <v>14124</v>
      </c>
      <c r="AP737" t="s">
        <v>14125</v>
      </c>
      <c r="AQ737" t="s">
        <v>74</v>
      </c>
      <c r="AR737" t="s">
        <v>14126</v>
      </c>
      <c r="AS737" t="s">
        <v>14127</v>
      </c>
      <c r="AT737" t="s">
        <v>1963</v>
      </c>
      <c r="AU737">
        <v>2024</v>
      </c>
      <c r="AV737">
        <v>191</v>
      </c>
      <c r="AW737" t="s">
        <v>74</v>
      </c>
      <c r="AX737" t="s">
        <v>74</v>
      </c>
      <c r="AY737" t="s">
        <v>74</v>
      </c>
      <c r="AZ737" t="s">
        <v>74</v>
      </c>
      <c r="BA737" t="s">
        <v>74</v>
      </c>
      <c r="BB737" t="s">
        <v>74</v>
      </c>
      <c r="BC737" t="s">
        <v>74</v>
      </c>
      <c r="BD737">
        <v>114645</v>
      </c>
      <c r="BE737" t="s">
        <v>14128</v>
      </c>
      <c r="BF737" t="str">
        <f>HYPERLINK("http://dx.doi.org/10.1016/j.foodres.2024.114645","http://dx.doi.org/10.1016/j.foodres.2024.114645")</f>
        <v>http://dx.doi.org/10.1016/j.foodres.2024.114645</v>
      </c>
      <c r="BG737" t="s">
        <v>74</v>
      </c>
      <c r="BH737" t="s">
        <v>4236</v>
      </c>
      <c r="BI737">
        <v>12</v>
      </c>
      <c r="BJ737" t="s">
        <v>864</v>
      </c>
      <c r="BK737" t="s">
        <v>102</v>
      </c>
      <c r="BL737" t="s">
        <v>864</v>
      </c>
      <c r="BM737" t="s">
        <v>14129</v>
      </c>
      <c r="BN737">
        <v>39059901</v>
      </c>
      <c r="BO737" t="s">
        <v>74</v>
      </c>
      <c r="BP737" t="s">
        <v>74</v>
      </c>
      <c r="BQ737" t="s">
        <v>74</v>
      </c>
      <c r="BR737" t="s">
        <v>106</v>
      </c>
      <c r="BS737" t="s">
        <v>14130</v>
      </c>
      <c r="BT737" t="str">
        <f>HYPERLINK("https%3A%2F%2Fwww.webofscience.com%2Fwos%2Fwoscc%2Ffull-record%2FWOS:001261178000001","View Full Record in Web of Science")</f>
        <v>View Full Record in Web of Science</v>
      </c>
    </row>
    <row r="738" spans="1:72" x14ac:dyDescent="0.2">
      <c r="A738" t="s">
        <v>72</v>
      </c>
      <c r="B738" t="s">
        <v>14131</v>
      </c>
      <c r="C738" t="s">
        <v>74</v>
      </c>
      <c r="D738" t="s">
        <v>74</v>
      </c>
      <c r="E738" t="s">
        <v>74</v>
      </c>
      <c r="F738" t="s">
        <v>14132</v>
      </c>
      <c r="G738" t="s">
        <v>74</v>
      </c>
      <c r="H738" t="s">
        <v>74</v>
      </c>
      <c r="I738" t="s">
        <v>14133</v>
      </c>
      <c r="J738" t="s">
        <v>211</v>
      </c>
      <c r="K738" t="s">
        <v>74</v>
      </c>
      <c r="L738" t="s">
        <v>74</v>
      </c>
      <c r="M738" t="s">
        <v>78</v>
      </c>
      <c r="N738" t="s">
        <v>79</v>
      </c>
      <c r="O738" t="s">
        <v>74</v>
      </c>
      <c r="P738" t="s">
        <v>74</v>
      </c>
      <c r="Q738" t="s">
        <v>74</v>
      </c>
      <c r="R738" t="s">
        <v>74</v>
      </c>
      <c r="S738" t="s">
        <v>74</v>
      </c>
      <c r="T738" t="s">
        <v>14134</v>
      </c>
      <c r="U738" t="s">
        <v>14135</v>
      </c>
      <c r="V738" t="s">
        <v>14136</v>
      </c>
      <c r="W738" t="s">
        <v>14137</v>
      </c>
      <c r="X738" t="s">
        <v>2179</v>
      </c>
      <c r="Y738" t="s">
        <v>14138</v>
      </c>
      <c r="Z738" t="s">
        <v>14139</v>
      </c>
      <c r="AA738" t="s">
        <v>74</v>
      </c>
      <c r="AB738" t="s">
        <v>14140</v>
      </c>
      <c r="AC738" t="s">
        <v>14141</v>
      </c>
      <c r="AD738" t="s">
        <v>14142</v>
      </c>
      <c r="AE738" t="s">
        <v>14143</v>
      </c>
      <c r="AF738" t="s">
        <v>74</v>
      </c>
      <c r="AG738">
        <v>39</v>
      </c>
      <c r="AH738">
        <v>53</v>
      </c>
      <c r="AI738">
        <v>62</v>
      </c>
      <c r="AJ738">
        <v>4</v>
      </c>
      <c r="AK738">
        <v>41</v>
      </c>
      <c r="AL738" t="s">
        <v>222</v>
      </c>
      <c r="AM738" t="s">
        <v>223</v>
      </c>
      <c r="AN738" t="s">
        <v>224</v>
      </c>
      <c r="AO738" t="s">
        <v>74</v>
      </c>
      <c r="AP738" t="s">
        <v>225</v>
      </c>
      <c r="AQ738" t="s">
        <v>74</v>
      </c>
      <c r="AR738" t="s">
        <v>211</v>
      </c>
      <c r="AS738" t="s">
        <v>226</v>
      </c>
      <c r="AT738" t="s">
        <v>99</v>
      </c>
      <c r="AU738">
        <v>2017</v>
      </c>
      <c r="AV738">
        <v>10</v>
      </c>
      <c r="AW738">
        <v>3</v>
      </c>
      <c r="AX738" t="s">
        <v>74</v>
      </c>
      <c r="AY738" t="s">
        <v>74</v>
      </c>
      <c r="AZ738" t="s">
        <v>74</v>
      </c>
      <c r="BA738" t="s">
        <v>74</v>
      </c>
      <c r="BB738" t="s">
        <v>74</v>
      </c>
      <c r="BC738" t="s">
        <v>74</v>
      </c>
      <c r="BD738">
        <v>288</v>
      </c>
      <c r="BE738" t="s">
        <v>14144</v>
      </c>
      <c r="BF738" t="str">
        <f>HYPERLINK("http://dx.doi.org/10.3390/en10030288","http://dx.doi.org/10.3390/en10030288")</f>
        <v>http://dx.doi.org/10.3390/en10030288</v>
      </c>
      <c r="BG738" t="s">
        <v>74</v>
      </c>
      <c r="BH738" t="s">
        <v>74</v>
      </c>
      <c r="BI738">
        <v>15</v>
      </c>
      <c r="BJ738" t="s">
        <v>229</v>
      </c>
      <c r="BK738" t="s">
        <v>102</v>
      </c>
      <c r="BL738" t="s">
        <v>229</v>
      </c>
      <c r="BM738" t="s">
        <v>14145</v>
      </c>
      <c r="BN738" t="s">
        <v>74</v>
      </c>
      <c r="BO738" t="s">
        <v>161</v>
      </c>
      <c r="BP738" t="s">
        <v>74</v>
      </c>
      <c r="BQ738" t="s">
        <v>74</v>
      </c>
      <c r="BR738" t="s">
        <v>106</v>
      </c>
      <c r="BS738" t="s">
        <v>14146</v>
      </c>
      <c r="BT738" t="str">
        <f>HYPERLINK("https%3A%2F%2Fwww.webofscience.com%2Fwos%2Fwoscc%2Ffull-record%2FWOS:000398736700028","View Full Record in Web of Science")</f>
        <v>View Full Record in Web of Science</v>
      </c>
    </row>
    <row r="739" spans="1:72" x14ac:dyDescent="0.2">
      <c r="A739" t="s">
        <v>72</v>
      </c>
      <c r="B739" t="s">
        <v>14147</v>
      </c>
      <c r="C739" t="s">
        <v>74</v>
      </c>
      <c r="D739" t="s">
        <v>74</v>
      </c>
      <c r="E739" t="s">
        <v>74</v>
      </c>
      <c r="F739" t="s">
        <v>14148</v>
      </c>
      <c r="G739" t="s">
        <v>74</v>
      </c>
      <c r="H739" t="s">
        <v>74</v>
      </c>
      <c r="I739" t="s">
        <v>14149</v>
      </c>
      <c r="J739" t="s">
        <v>1853</v>
      </c>
      <c r="K739" t="s">
        <v>74</v>
      </c>
      <c r="L739" t="s">
        <v>74</v>
      </c>
      <c r="M739" t="s">
        <v>78</v>
      </c>
      <c r="N739" t="s">
        <v>79</v>
      </c>
      <c r="O739" t="s">
        <v>74</v>
      </c>
      <c r="P739" t="s">
        <v>74</v>
      </c>
      <c r="Q739" t="s">
        <v>74</v>
      </c>
      <c r="R739" t="s">
        <v>74</v>
      </c>
      <c r="S739" t="s">
        <v>74</v>
      </c>
      <c r="T739" t="s">
        <v>14150</v>
      </c>
      <c r="U739" t="s">
        <v>74</v>
      </c>
      <c r="V739" t="s">
        <v>14151</v>
      </c>
      <c r="W739" t="s">
        <v>14152</v>
      </c>
      <c r="X739" t="s">
        <v>14153</v>
      </c>
      <c r="Y739" t="s">
        <v>14154</v>
      </c>
      <c r="Z739" t="s">
        <v>14155</v>
      </c>
      <c r="AA739" t="s">
        <v>74</v>
      </c>
      <c r="AB739" t="s">
        <v>14156</v>
      </c>
      <c r="AC739" t="s">
        <v>14157</v>
      </c>
      <c r="AD739" t="s">
        <v>14158</v>
      </c>
      <c r="AE739" t="s">
        <v>14159</v>
      </c>
      <c r="AF739" t="s">
        <v>74</v>
      </c>
      <c r="AG739">
        <v>22</v>
      </c>
      <c r="AH739">
        <v>1</v>
      </c>
      <c r="AI739">
        <v>1</v>
      </c>
      <c r="AJ739">
        <v>22</v>
      </c>
      <c r="AK739">
        <v>61</v>
      </c>
      <c r="AL739" t="s">
        <v>1861</v>
      </c>
      <c r="AM739" t="s">
        <v>1862</v>
      </c>
      <c r="AN739" t="s">
        <v>1863</v>
      </c>
      <c r="AO739" t="s">
        <v>1864</v>
      </c>
      <c r="AP739" t="s">
        <v>1865</v>
      </c>
      <c r="AQ739" t="s">
        <v>74</v>
      </c>
      <c r="AR739" t="s">
        <v>1866</v>
      </c>
      <c r="AS739" t="s">
        <v>1867</v>
      </c>
      <c r="AT739" t="s">
        <v>74</v>
      </c>
      <c r="AU739">
        <v>2025</v>
      </c>
      <c r="AV739">
        <v>34</v>
      </c>
      <c r="AW739">
        <v>2</v>
      </c>
      <c r="AX739" t="s">
        <v>74</v>
      </c>
      <c r="AY739" t="s">
        <v>74</v>
      </c>
      <c r="AZ739" t="s">
        <v>74</v>
      </c>
      <c r="BA739" t="s">
        <v>74</v>
      </c>
      <c r="BB739">
        <v>1641</v>
      </c>
      <c r="BC739">
        <v>1652</v>
      </c>
      <c r="BD739" t="s">
        <v>74</v>
      </c>
      <c r="BE739" t="s">
        <v>14160</v>
      </c>
      <c r="BF739" t="str">
        <f>HYPERLINK("http://dx.doi.org/10.15244/pjoes/186435","http://dx.doi.org/10.15244/pjoes/186435")</f>
        <v>http://dx.doi.org/10.15244/pjoes/186435</v>
      </c>
      <c r="BG739" t="s">
        <v>74</v>
      </c>
      <c r="BH739" t="s">
        <v>74</v>
      </c>
      <c r="BI739">
        <v>12</v>
      </c>
      <c r="BJ739" t="s">
        <v>567</v>
      </c>
      <c r="BK739" t="s">
        <v>102</v>
      </c>
      <c r="BL739" t="s">
        <v>568</v>
      </c>
      <c r="BM739" t="s">
        <v>14161</v>
      </c>
      <c r="BN739" t="s">
        <v>74</v>
      </c>
      <c r="BO739" t="s">
        <v>231</v>
      </c>
      <c r="BP739" t="s">
        <v>74</v>
      </c>
      <c r="BQ739" t="s">
        <v>74</v>
      </c>
      <c r="BR739" t="s">
        <v>106</v>
      </c>
      <c r="BS739" t="s">
        <v>14162</v>
      </c>
      <c r="BT739" t="str">
        <f>HYPERLINK("https%3A%2F%2Fwww.webofscience.com%2Fwos%2Fwoscc%2Ffull-record%2FWOS:001394188400045","View Full Record in Web of Science")</f>
        <v>View Full Record in Web of Science</v>
      </c>
    </row>
    <row r="740" spans="1:72" x14ac:dyDescent="0.2">
      <c r="A740" t="s">
        <v>72</v>
      </c>
      <c r="B740" t="s">
        <v>14163</v>
      </c>
      <c r="C740" t="s">
        <v>74</v>
      </c>
      <c r="D740" t="s">
        <v>74</v>
      </c>
      <c r="E740" t="s">
        <v>74</v>
      </c>
      <c r="F740" t="s">
        <v>14164</v>
      </c>
      <c r="G740" t="s">
        <v>74</v>
      </c>
      <c r="H740" t="s">
        <v>74</v>
      </c>
      <c r="I740" t="s">
        <v>14165</v>
      </c>
      <c r="J740" t="s">
        <v>13139</v>
      </c>
      <c r="K740" t="s">
        <v>74</v>
      </c>
      <c r="L740" t="s">
        <v>74</v>
      </c>
      <c r="M740" t="s">
        <v>78</v>
      </c>
      <c r="N740" t="s">
        <v>79</v>
      </c>
      <c r="O740" t="s">
        <v>74</v>
      </c>
      <c r="P740" t="s">
        <v>74</v>
      </c>
      <c r="Q740" t="s">
        <v>74</v>
      </c>
      <c r="R740" t="s">
        <v>74</v>
      </c>
      <c r="S740" t="s">
        <v>74</v>
      </c>
      <c r="T740" t="s">
        <v>14166</v>
      </c>
      <c r="U740" t="s">
        <v>14167</v>
      </c>
      <c r="V740" t="s">
        <v>14168</v>
      </c>
      <c r="W740" t="s">
        <v>14169</v>
      </c>
      <c r="X740" t="s">
        <v>14170</v>
      </c>
      <c r="Y740" t="s">
        <v>14171</v>
      </c>
      <c r="Z740" t="s">
        <v>14172</v>
      </c>
      <c r="AA740" t="s">
        <v>14173</v>
      </c>
      <c r="AB740" t="s">
        <v>14174</v>
      </c>
      <c r="AC740" t="s">
        <v>14175</v>
      </c>
      <c r="AD740" t="s">
        <v>14176</v>
      </c>
      <c r="AE740" t="s">
        <v>14177</v>
      </c>
      <c r="AF740" t="s">
        <v>74</v>
      </c>
      <c r="AG740">
        <v>89</v>
      </c>
      <c r="AH740">
        <v>1</v>
      </c>
      <c r="AI740">
        <v>1</v>
      </c>
      <c r="AJ740">
        <v>6</v>
      </c>
      <c r="AK740">
        <v>6</v>
      </c>
      <c r="AL740" t="s">
        <v>3169</v>
      </c>
      <c r="AM740" t="s">
        <v>531</v>
      </c>
      <c r="AN740" t="s">
        <v>3170</v>
      </c>
      <c r="AO740" t="s">
        <v>13152</v>
      </c>
      <c r="AP740" t="s">
        <v>13153</v>
      </c>
      <c r="AQ740" t="s">
        <v>74</v>
      </c>
      <c r="AR740" t="s">
        <v>13154</v>
      </c>
      <c r="AS740" t="s">
        <v>13155</v>
      </c>
      <c r="AT740" t="s">
        <v>636</v>
      </c>
      <c r="AU740">
        <v>2025</v>
      </c>
      <c r="AV740">
        <v>39</v>
      </c>
      <c r="AW740">
        <v>4</v>
      </c>
      <c r="AX740" t="s">
        <v>74</v>
      </c>
      <c r="AY740" t="s">
        <v>74</v>
      </c>
      <c r="AZ740" t="s">
        <v>74</v>
      </c>
      <c r="BA740" t="s">
        <v>74</v>
      </c>
      <c r="BB740" t="s">
        <v>74</v>
      </c>
      <c r="BC740" t="s">
        <v>74</v>
      </c>
      <c r="BD740" t="s">
        <v>14178</v>
      </c>
      <c r="BE740" t="s">
        <v>14179</v>
      </c>
      <c r="BF740" t="str">
        <f>HYPERLINK("http://dx.doi.org/10.1029/2024GB008261","http://dx.doi.org/10.1029/2024GB008261")</f>
        <v>http://dx.doi.org/10.1029/2024GB008261</v>
      </c>
      <c r="BG740" t="s">
        <v>74</v>
      </c>
      <c r="BH740" t="s">
        <v>74</v>
      </c>
      <c r="BI740">
        <v>19</v>
      </c>
      <c r="BJ740" t="s">
        <v>3175</v>
      </c>
      <c r="BK740" t="s">
        <v>102</v>
      </c>
      <c r="BL740" t="s">
        <v>3176</v>
      </c>
      <c r="BM740" t="s">
        <v>14180</v>
      </c>
      <c r="BN740" t="s">
        <v>74</v>
      </c>
      <c r="BO740" t="s">
        <v>2296</v>
      </c>
      <c r="BP740" t="s">
        <v>74</v>
      </c>
      <c r="BQ740" t="s">
        <v>74</v>
      </c>
      <c r="BR740" t="s">
        <v>106</v>
      </c>
      <c r="BS740" t="s">
        <v>14181</v>
      </c>
      <c r="BT740" t="str">
        <f>HYPERLINK("https%3A%2F%2Fwww.webofscience.com%2Fwos%2Fwoscc%2Ffull-record%2FWOS:001467404300001","View Full Record in Web of Science")</f>
        <v>View Full Record in Web of Science</v>
      </c>
    </row>
    <row r="741" spans="1:72" x14ac:dyDescent="0.2">
      <c r="A741" t="s">
        <v>72</v>
      </c>
      <c r="B741" t="s">
        <v>14182</v>
      </c>
      <c r="C741" t="s">
        <v>74</v>
      </c>
      <c r="D741" t="s">
        <v>74</v>
      </c>
      <c r="E741" t="s">
        <v>74</v>
      </c>
      <c r="F741" t="s">
        <v>14183</v>
      </c>
      <c r="G741" t="s">
        <v>74</v>
      </c>
      <c r="H741" t="s">
        <v>74</v>
      </c>
      <c r="I741" t="s">
        <v>14184</v>
      </c>
      <c r="J741" t="s">
        <v>1451</v>
      </c>
      <c r="K741" t="s">
        <v>74</v>
      </c>
      <c r="L741" t="s">
        <v>74</v>
      </c>
      <c r="M741" t="s">
        <v>78</v>
      </c>
      <c r="N741" t="s">
        <v>79</v>
      </c>
      <c r="O741" t="s">
        <v>74</v>
      </c>
      <c r="P741" t="s">
        <v>74</v>
      </c>
      <c r="Q741" t="s">
        <v>74</v>
      </c>
      <c r="R741" t="s">
        <v>74</v>
      </c>
      <c r="S741" t="s">
        <v>74</v>
      </c>
      <c r="T741" t="s">
        <v>14185</v>
      </c>
      <c r="U741" t="s">
        <v>14186</v>
      </c>
      <c r="V741" t="s">
        <v>14187</v>
      </c>
      <c r="W741" t="s">
        <v>14188</v>
      </c>
      <c r="X741" t="s">
        <v>14189</v>
      </c>
      <c r="Y741" t="s">
        <v>14190</v>
      </c>
      <c r="Z741" t="s">
        <v>14191</v>
      </c>
      <c r="AA741" t="s">
        <v>14192</v>
      </c>
      <c r="AB741" t="s">
        <v>14193</v>
      </c>
      <c r="AC741" t="s">
        <v>14194</v>
      </c>
      <c r="AD741" t="s">
        <v>14194</v>
      </c>
      <c r="AE741" t="s">
        <v>14195</v>
      </c>
      <c r="AF741" t="s">
        <v>74</v>
      </c>
      <c r="AG741">
        <v>59</v>
      </c>
      <c r="AH741">
        <v>57</v>
      </c>
      <c r="AI741">
        <v>60</v>
      </c>
      <c r="AJ741">
        <v>15</v>
      </c>
      <c r="AK741">
        <v>224</v>
      </c>
      <c r="AL741" t="s">
        <v>123</v>
      </c>
      <c r="AM741" t="s">
        <v>124</v>
      </c>
      <c r="AN741" t="s">
        <v>125</v>
      </c>
      <c r="AO741" t="s">
        <v>1464</v>
      </c>
      <c r="AP741" t="s">
        <v>1465</v>
      </c>
      <c r="AQ741" t="s">
        <v>74</v>
      </c>
      <c r="AR741" t="s">
        <v>1466</v>
      </c>
      <c r="AS741" t="s">
        <v>1467</v>
      </c>
      <c r="AT741" t="s">
        <v>14196</v>
      </c>
      <c r="AU741">
        <v>2017</v>
      </c>
      <c r="AV741">
        <v>237</v>
      </c>
      <c r="AW741" t="s">
        <v>74</v>
      </c>
      <c r="AX741" t="s">
        <v>74</v>
      </c>
      <c r="AY741" t="s">
        <v>74</v>
      </c>
      <c r="AZ741" t="s">
        <v>74</v>
      </c>
      <c r="BA741" t="s">
        <v>74</v>
      </c>
      <c r="BB741">
        <v>109</v>
      </c>
      <c r="BC741">
        <v>120</v>
      </c>
      <c r="BD741" t="s">
        <v>74</v>
      </c>
      <c r="BE741" t="s">
        <v>14197</v>
      </c>
      <c r="BF741" t="str">
        <f>HYPERLINK("http://dx.doi.org/10.1016/j.agee.2016.12.025","http://dx.doi.org/10.1016/j.agee.2016.12.025")</f>
        <v>http://dx.doi.org/10.1016/j.agee.2016.12.025</v>
      </c>
      <c r="BG741" t="s">
        <v>74</v>
      </c>
      <c r="BH741" t="s">
        <v>74</v>
      </c>
      <c r="BI741">
        <v>12</v>
      </c>
      <c r="BJ741" t="s">
        <v>1470</v>
      </c>
      <c r="BK741" t="s">
        <v>102</v>
      </c>
      <c r="BL741" t="s">
        <v>1471</v>
      </c>
      <c r="BM741" t="s">
        <v>14198</v>
      </c>
      <c r="BN741" t="s">
        <v>74</v>
      </c>
      <c r="BO741" t="s">
        <v>74</v>
      </c>
      <c r="BP741" t="s">
        <v>74</v>
      </c>
      <c r="BQ741" t="s">
        <v>74</v>
      </c>
      <c r="BR741" t="s">
        <v>106</v>
      </c>
      <c r="BS741" t="s">
        <v>14199</v>
      </c>
      <c r="BT741" t="str">
        <f>HYPERLINK("https%3A%2F%2Fwww.webofscience.com%2Fwos%2Fwoscc%2Ffull-record%2FWOS:000393252200011","View Full Record in Web of Science")</f>
        <v>View Full Record in Web of Science</v>
      </c>
    </row>
    <row r="742" spans="1:72" x14ac:dyDescent="0.2">
      <c r="A742" t="s">
        <v>72</v>
      </c>
      <c r="B742" t="s">
        <v>14200</v>
      </c>
      <c r="C742" t="s">
        <v>74</v>
      </c>
      <c r="D742" t="s">
        <v>74</v>
      </c>
      <c r="E742" t="s">
        <v>74</v>
      </c>
      <c r="F742" t="s">
        <v>14201</v>
      </c>
      <c r="G742" t="s">
        <v>74</v>
      </c>
      <c r="H742" t="s">
        <v>74</v>
      </c>
      <c r="I742" t="s">
        <v>14202</v>
      </c>
      <c r="J742" t="s">
        <v>2149</v>
      </c>
      <c r="K742" t="s">
        <v>74</v>
      </c>
      <c r="L742" t="s">
        <v>74</v>
      </c>
      <c r="M742" t="s">
        <v>78</v>
      </c>
      <c r="N742" t="s">
        <v>79</v>
      </c>
      <c r="O742" t="s">
        <v>74</v>
      </c>
      <c r="P742" t="s">
        <v>74</v>
      </c>
      <c r="Q742" t="s">
        <v>74</v>
      </c>
      <c r="R742" t="s">
        <v>74</v>
      </c>
      <c r="S742" t="s">
        <v>74</v>
      </c>
      <c r="T742" t="s">
        <v>14203</v>
      </c>
      <c r="U742" t="s">
        <v>14204</v>
      </c>
      <c r="V742" t="s">
        <v>14205</v>
      </c>
      <c r="W742" t="s">
        <v>14206</v>
      </c>
      <c r="X742" t="s">
        <v>14207</v>
      </c>
      <c r="Y742" t="s">
        <v>14208</v>
      </c>
      <c r="Z742" t="s">
        <v>14209</v>
      </c>
      <c r="AA742" t="s">
        <v>14210</v>
      </c>
      <c r="AB742" t="s">
        <v>74</v>
      </c>
      <c r="AC742" t="s">
        <v>14211</v>
      </c>
      <c r="AD742" t="s">
        <v>14212</v>
      </c>
      <c r="AE742" t="s">
        <v>14213</v>
      </c>
      <c r="AF742" t="s">
        <v>74</v>
      </c>
      <c r="AG742">
        <v>67</v>
      </c>
      <c r="AH742">
        <v>60</v>
      </c>
      <c r="AI742">
        <v>64</v>
      </c>
      <c r="AJ742">
        <v>146</v>
      </c>
      <c r="AK742">
        <v>497</v>
      </c>
      <c r="AL742" t="s">
        <v>123</v>
      </c>
      <c r="AM742" t="s">
        <v>124</v>
      </c>
      <c r="AN742" t="s">
        <v>125</v>
      </c>
      <c r="AO742" t="s">
        <v>2164</v>
      </c>
      <c r="AP742" t="s">
        <v>2165</v>
      </c>
      <c r="AQ742" t="s">
        <v>74</v>
      </c>
      <c r="AR742" t="s">
        <v>2166</v>
      </c>
      <c r="AS742" t="s">
        <v>2167</v>
      </c>
      <c r="AT742" t="s">
        <v>2017</v>
      </c>
      <c r="AU742">
        <v>2024</v>
      </c>
      <c r="AV742">
        <v>242</v>
      </c>
      <c r="AW742" t="s">
        <v>74</v>
      </c>
      <c r="AX742" t="s">
        <v>74</v>
      </c>
      <c r="AY742" t="s">
        <v>74</v>
      </c>
      <c r="AZ742" t="s">
        <v>74</v>
      </c>
      <c r="BA742" t="s">
        <v>74</v>
      </c>
      <c r="BB742" t="s">
        <v>74</v>
      </c>
      <c r="BC742" t="s">
        <v>74</v>
      </c>
      <c r="BD742">
        <v>106152</v>
      </c>
      <c r="BE742" t="s">
        <v>14214</v>
      </c>
      <c r="BF742" t="str">
        <f>HYPERLINK("http://dx.doi.org/10.1016/j.still.2024.106152","http://dx.doi.org/10.1016/j.still.2024.106152")</f>
        <v>http://dx.doi.org/10.1016/j.still.2024.106152</v>
      </c>
      <c r="BG742" t="s">
        <v>74</v>
      </c>
      <c r="BH742" t="s">
        <v>566</v>
      </c>
      <c r="BI742">
        <v>10</v>
      </c>
      <c r="BJ742" t="s">
        <v>256</v>
      </c>
      <c r="BK742" t="s">
        <v>102</v>
      </c>
      <c r="BL742" t="s">
        <v>103</v>
      </c>
      <c r="BM742" t="s">
        <v>14215</v>
      </c>
      <c r="BN742" t="s">
        <v>74</v>
      </c>
      <c r="BO742" t="s">
        <v>74</v>
      </c>
      <c r="BP742" t="s">
        <v>4815</v>
      </c>
      <c r="BQ742" t="s">
        <v>4815</v>
      </c>
      <c r="BR742" t="s">
        <v>106</v>
      </c>
      <c r="BS742" t="s">
        <v>14216</v>
      </c>
      <c r="BT742" t="str">
        <f>HYPERLINK("https%3A%2F%2Fwww.webofscience.com%2Fwos%2Fwoscc%2Ffull-record%2FWOS:001242251000001","View Full Record in Web of Science")</f>
        <v>View Full Record in Web of Science</v>
      </c>
    </row>
    <row r="743" spans="1:72" x14ac:dyDescent="0.2">
      <c r="A743" t="s">
        <v>72</v>
      </c>
      <c r="B743" t="s">
        <v>14217</v>
      </c>
      <c r="C743" t="s">
        <v>74</v>
      </c>
      <c r="D743" t="s">
        <v>74</v>
      </c>
      <c r="E743" t="s">
        <v>74</v>
      </c>
      <c r="F743" t="s">
        <v>14218</v>
      </c>
      <c r="G743" t="s">
        <v>74</v>
      </c>
      <c r="H743" t="s">
        <v>74</v>
      </c>
      <c r="I743" t="s">
        <v>14219</v>
      </c>
      <c r="J743" t="s">
        <v>14220</v>
      </c>
      <c r="K743" t="s">
        <v>74</v>
      </c>
      <c r="L743" t="s">
        <v>74</v>
      </c>
      <c r="M743" t="s">
        <v>78</v>
      </c>
      <c r="N743" t="s">
        <v>79</v>
      </c>
      <c r="O743" t="s">
        <v>74</v>
      </c>
      <c r="P743" t="s">
        <v>74</v>
      </c>
      <c r="Q743" t="s">
        <v>74</v>
      </c>
      <c r="R743" t="s">
        <v>74</v>
      </c>
      <c r="S743" t="s">
        <v>74</v>
      </c>
      <c r="T743" t="s">
        <v>14221</v>
      </c>
      <c r="U743" t="s">
        <v>14222</v>
      </c>
      <c r="V743" t="s">
        <v>14223</v>
      </c>
      <c r="W743" t="s">
        <v>14224</v>
      </c>
      <c r="X743" t="s">
        <v>14225</v>
      </c>
      <c r="Y743" t="s">
        <v>14226</v>
      </c>
      <c r="Z743" t="s">
        <v>14227</v>
      </c>
      <c r="AA743" t="s">
        <v>14228</v>
      </c>
      <c r="AB743" t="s">
        <v>14229</v>
      </c>
      <c r="AC743" t="s">
        <v>14230</v>
      </c>
      <c r="AD743" t="s">
        <v>14231</v>
      </c>
      <c r="AE743" t="s">
        <v>14232</v>
      </c>
      <c r="AF743" t="s">
        <v>74</v>
      </c>
      <c r="AG743">
        <v>32</v>
      </c>
      <c r="AH743">
        <v>50</v>
      </c>
      <c r="AI743">
        <v>51</v>
      </c>
      <c r="AJ743">
        <v>0</v>
      </c>
      <c r="AK743">
        <v>23</v>
      </c>
      <c r="AL743" t="s">
        <v>2762</v>
      </c>
      <c r="AM743" t="s">
        <v>2763</v>
      </c>
      <c r="AN743" t="s">
        <v>2764</v>
      </c>
      <c r="AO743" t="s">
        <v>14233</v>
      </c>
      <c r="AP743" t="s">
        <v>14234</v>
      </c>
      <c r="AQ743" t="s">
        <v>74</v>
      </c>
      <c r="AR743" t="s">
        <v>14235</v>
      </c>
      <c r="AS743" t="s">
        <v>14236</v>
      </c>
      <c r="AT743" t="s">
        <v>1109</v>
      </c>
      <c r="AU743">
        <v>2016</v>
      </c>
      <c r="AV743">
        <v>73</v>
      </c>
      <c r="AW743">
        <v>4</v>
      </c>
      <c r="AX743" t="s">
        <v>74</v>
      </c>
      <c r="AY743" t="s">
        <v>74</v>
      </c>
      <c r="AZ743" t="s">
        <v>74</v>
      </c>
      <c r="BA743" t="s">
        <v>74</v>
      </c>
      <c r="BB743">
        <v>1125</v>
      </c>
      <c r="BC743">
        <v>1139</v>
      </c>
      <c r="BD743" t="s">
        <v>74</v>
      </c>
      <c r="BE743" t="s">
        <v>14237</v>
      </c>
      <c r="BF743" t="str">
        <f>HYPERLINK("http://dx.doi.org/10.1007/s13595-016-0578-x","http://dx.doi.org/10.1007/s13595-016-0578-x")</f>
        <v>http://dx.doi.org/10.1007/s13595-016-0578-x</v>
      </c>
      <c r="BG743" t="s">
        <v>74</v>
      </c>
      <c r="BH743" t="s">
        <v>74</v>
      </c>
      <c r="BI743">
        <v>15</v>
      </c>
      <c r="BJ743" t="s">
        <v>132</v>
      </c>
      <c r="BK743" t="s">
        <v>102</v>
      </c>
      <c r="BL743" t="s">
        <v>132</v>
      </c>
      <c r="BM743" t="s">
        <v>14238</v>
      </c>
      <c r="BN743" t="s">
        <v>74</v>
      </c>
      <c r="BO743" t="s">
        <v>105</v>
      </c>
      <c r="BP743" t="s">
        <v>74</v>
      </c>
      <c r="BQ743" t="s">
        <v>74</v>
      </c>
      <c r="BR743" t="s">
        <v>106</v>
      </c>
      <c r="BS743" t="s">
        <v>14239</v>
      </c>
      <c r="BT743" t="str">
        <f>HYPERLINK("https%3A%2F%2Fwww.webofscience.com%2Fwos%2Fwoscc%2Ffull-record%2FWOS:000390004000028","View Full Record in Web of Science")</f>
        <v>View Full Record in Web of Science</v>
      </c>
    </row>
    <row r="744" spans="1:72" x14ac:dyDescent="0.2">
      <c r="A744" t="s">
        <v>72</v>
      </c>
      <c r="B744" t="s">
        <v>14240</v>
      </c>
      <c r="C744" t="s">
        <v>74</v>
      </c>
      <c r="D744" t="s">
        <v>74</v>
      </c>
      <c r="E744" t="s">
        <v>74</v>
      </c>
      <c r="F744" t="s">
        <v>14241</v>
      </c>
      <c r="G744" t="s">
        <v>74</v>
      </c>
      <c r="H744" t="s">
        <v>74</v>
      </c>
      <c r="I744" t="s">
        <v>14242</v>
      </c>
      <c r="J744" t="s">
        <v>14243</v>
      </c>
      <c r="K744" t="s">
        <v>74</v>
      </c>
      <c r="L744" t="s">
        <v>74</v>
      </c>
      <c r="M744" t="s">
        <v>78</v>
      </c>
      <c r="N744" t="s">
        <v>79</v>
      </c>
      <c r="O744" t="s">
        <v>74</v>
      </c>
      <c r="P744" t="s">
        <v>74</v>
      </c>
      <c r="Q744" t="s">
        <v>74</v>
      </c>
      <c r="R744" t="s">
        <v>74</v>
      </c>
      <c r="S744" t="s">
        <v>74</v>
      </c>
      <c r="T744" t="s">
        <v>14244</v>
      </c>
      <c r="U744" t="s">
        <v>14245</v>
      </c>
      <c r="V744" t="s">
        <v>14246</v>
      </c>
      <c r="W744" t="s">
        <v>14247</v>
      </c>
      <c r="X744" t="s">
        <v>14248</v>
      </c>
      <c r="Y744" t="s">
        <v>14249</v>
      </c>
      <c r="Z744" t="s">
        <v>14250</v>
      </c>
      <c r="AA744" t="s">
        <v>74</v>
      </c>
      <c r="AB744" t="s">
        <v>74</v>
      </c>
      <c r="AC744" t="s">
        <v>14251</v>
      </c>
      <c r="AD744" t="s">
        <v>14251</v>
      </c>
      <c r="AE744" t="s">
        <v>14252</v>
      </c>
      <c r="AF744" t="s">
        <v>74</v>
      </c>
      <c r="AG744">
        <v>76</v>
      </c>
      <c r="AH744">
        <v>7</v>
      </c>
      <c r="AI744">
        <v>7</v>
      </c>
      <c r="AJ744">
        <v>8</v>
      </c>
      <c r="AK744">
        <v>42</v>
      </c>
      <c r="AL744" t="s">
        <v>14253</v>
      </c>
      <c r="AM744" t="s">
        <v>151</v>
      </c>
      <c r="AN744" t="s">
        <v>14254</v>
      </c>
      <c r="AO744" t="s">
        <v>14255</v>
      </c>
      <c r="AP744" t="s">
        <v>74</v>
      </c>
      <c r="AQ744" t="s">
        <v>74</v>
      </c>
      <c r="AR744" t="s">
        <v>14256</v>
      </c>
      <c r="AS744" t="s">
        <v>14257</v>
      </c>
      <c r="AT744" t="s">
        <v>281</v>
      </c>
      <c r="AU744">
        <v>2024</v>
      </c>
      <c r="AV744">
        <v>14</v>
      </c>
      <c r="AW744">
        <v>3</v>
      </c>
      <c r="AX744" t="s">
        <v>74</v>
      </c>
      <c r="AY744" t="s">
        <v>74</v>
      </c>
      <c r="AZ744" t="s">
        <v>74</v>
      </c>
      <c r="BA744" t="s">
        <v>74</v>
      </c>
      <c r="BB744">
        <v>470</v>
      </c>
      <c r="BC744">
        <v>491</v>
      </c>
      <c r="BD744" t="s">
        <v>74</v>
      </c>
      <c r="BE744" t="s">
        <v>14258</v>
      </c>
      <c r="BF744" t="str">
        <f>HYPERLINK("http://dx.doi.org/10.1002/ghg.2273","http://dx.doi.org/10.1002/ghg.2273")</f>
        <v>http://dx.doi.org/10.1002/ghg.2273</v>
      </c>
      <c r="BG744" t="s">
        <v>74</v>
      </c>
      <c r="BH744" t="s">
        <v>2038</v>
      </c>
      <c r="BI744">
        <v>22</v>
      </c>
      <c r="BJ744" t="s">
        <v>14259</v>
      </c>
      <c r="BK744" t="s">
        <v>102</v>
      </c>
      <c r="BL744" t="s">
        <v>8938</v>
      </c>
      <c r="BM744" t="s">
        <v>14260</v>
      </c>
      <c r="BN744" t="s">
        <v>74</v>
      </c>
      <c r="BO744" t="s">
        <v>74</v>
      </c>
      <c r="BP744" t="s">
        <v>74</v>
      </c>
      <c r="BQ744" t="s">
        <v>74</v>
      </c>
      <c r="BR744" t="s">
        <v>106</v>
      </c>
      <c r="BS744" t="s">
        <v>14261</v>
      </c>
      <c r="BT744" t="str">
        <f>HYPERLINK("https%3A%2F%2Fwww.webofscience.com%2Fwos%2Fwoscc%2Ffull-record%2FWOS:001204128300001","View Full Record in Web of Science")</f>
        <v>View Full Record in Web of Science</v>
      </c>
    </row>
    <row r="745" spans="1:72" x14ac:dyDescent="0.2">
      <c r="A745" t="s">
        <v>72</v>
      </c>
      <c r="B745" t="s">
        <v>14262</v>
      </c>
      <c r="C745" t="s">
        <v>74</v>
      </c>
      <c r="D745" t="s">
        <v>74</v>
      </c>
      <c r="E745" t="s">
        <v>74</v>
      </c>
      <c r="F745" t="s">
        <v>14263</v>
      </c>
      <c r="G745" t="s">
        <v>74</v>
      </c>
      <c r="H745" t="s">
        <v>74</v>
      </c>
      <c r="I745" t="s">
        <v>14264</v>
      </c>
      <c r="J745" t="s">
        <v>446</v>
      </c>
      <c r="K745" t="s">
        <v>74</v>
      </c>
      <c r="L745" t="s">
        <v>74</v>
      </c>
      <c r="M745" t="s">
        <v>78</v>
      </c>
      <c r="N745" t="s">
        <v>79</v>
      </c>
      <c r="O745" t="s">
        <v>74</v>
      </c>
      <c r="P745" t="s">
        <v>74</v>
      </c>
      <c r="Q745" t="s">
        <v>74</v>
      </c>
      <c r="R745" t="s">
        <v>74</v>
      </c>
      <c r="S745" t="s">
        <v>74</v>
      </c>
      <c r="T745" t="s">
        <v>14265</v>
      </c>
      <c r="U745" t="s">
        <v>14266</v>
      </c>
      <c r="V745" t="s">
        <v>14267</v>
      </c>
      <c r="W745" t="s">
        <v>14268</v>
      </c>
      <c r="X745" t="s">
        <v>14269</v>
      </c>
      <c r="Y745" t="s">
        <v>14270</v>
      </c>
      <c r="Z745" t="s">
        <v>14271</v>
      </c>
      <c r="AA745" t="s">
        <v>14272</v>
      </c>
      <c r="AB745" t="s">
        <v>14273</v>
      </c>
      <c r="AC745" t="s">
        <v>14274</v>
      </c>
      <c r="AD745" t="s">
        <v>14275</v>
      </c>
      <c r="AE745" t="s">
        <v>74</v>
      </c>
      <c r="AF745" t="s">
        <v>74</v>
      </c>
      <c r="AG745">
        <v>89</v>
      </c>
      <c r="AH745">
        <v>16</v>
      </c>
      <c r="AI745">
        <v>17</v>
      </c>
      <c r="AJ745">
        <v>3</v>
      </c>
      <c r="AK745">
        <v>31</v>
      </c>
      <c r="AL745" t="s">
        <v>222</v>
      </c>
      <c r="AM745" t="s">
        <v>223</v>
      </c>
      <c r="AN745" t="s">
        <v>224</v>
      </c>
      <c r="AO745" t="s">
        <v>74</v>
      </c>
      <c r="AP745" t="s">
        <v>457</v>
      </c>
      <c r="AQ745" t="s">
        <v>74</v>
      </c>
      <c r="AR745" t="s">
        <v>446</v>
      </c>
      <c r="AS745" t="s">
        <v>458</v>
      </c>
      <c r="AT745" t="s">
        <v>459</v>
      </c>
      <c r="AU745">
        <v>2023</v>
      </c>
      <c r="AV745">
        <v>13</v>
      </c>
      <c r="AW745">
        <v>2</v>
      </c>
      <c r="AX745" t="s">
        <v>74</v>
      </c>
      <c r="AY745" t="s">
        <v>74</v>
      </c>
      <c r="AZ745" t="s">
        <v>74</v>
      </c>
      <c r="BA745" t="s">
        <v>74</v>
      </c>
      <c r="BB745" t="s">
        <v>74</v>
      </c>
      <c r="BC745" t="s">
        <v>74</v>
      </c>
      <c r="BD745">
        <v>447</v>
      </c>
      <c r="BE745" t="s">
        <v>14276</v>
      </c>
      <c r="BF745" t="str">
        <f>HYPERLINK("http://dx.doi.org/10.3390/agronomy13020447","http://dx.doi.org/10.3390/agronomy13020447")</f>
        <v>http://dx.doi.org/10.3390/agronomy13020447</v>
      </c>
      <c r="BG745" t="s">
        <v>74</v>
      </c>
      <c r="BH745" t="s">
        <v>74</v>
      </c>
      <c r="BI745">
        <v>20</v>
      </c>
      <c r="BJ745" t="s">
        <v>461</v>
      </c>
      <c r="BK745" t="s">
        <v>102</v>
      </c>
      <c r="BL745" t="s">
        <v>462</v>
      </c>
      <c r="BM745" t="s">
        <v>14277</v>
      </c>
      <c r="BN745" t="s">
        <v>74</v>
      </c>
      <c r="BO745" t="s">
        <v>161</v>
      </c>
      <c r="BP745" t="s">
        <v>74</v>
      </c>
      <c r="BQ745" t="s">
        <v>74</v>
      </c>
      <c r="BR745" t="s">
        <v>106</v>
      </c>
      <c r="BS745" t="s">
        <v>14278</v>
      </c>
      <c r="BT745" t="str">
        <f>HYPERLINK("https%3A%2F%2Fwww.webofscience.com%2Fwos%2Fwoscc%2Ffull-record%2FWOS:000938025400001","View Full Record in Web of Science")</f>
        <v>View Full Record in Web of Science</v>
      </c>
    </row>
    <row r="746" spans="1:72" x14ac:dyDescent="0.2">
      <c r="A746" t="s">
        <v>72</v>
      </c>
      <c r="B746" t="s">
        <v>14279</v>
      </c>
      <c r="C746" t="s">
        <v>74</v>
      </c>
      <c r="D746" t="s">
        <v>74</v>
      </c>
      <c r="E746" t="s">
        <v>74</v>
      </c>
      <c r="F746" t="s">
        <v>14280</v>
      </c>
      <c r="G746" t="s">
        <v>74</v>
      </c>
      <c r="H746" t="s">
        <v>74</v>
      </c>
      <c r="I746" t="s">
        <v>14281</v>
      </c>
      <c r="J746" t="s">
        <v>1526</v>
      </c>
      <c r="K746" t="s">
        <v>74</v>
      </c>
      <c r="L746" t="s">
        <v>74</v>
      </c>
      <c r="M746" t="s">
        <v>78</v>
      </c>
      <c r="N746" t="s">
        <v>79</v>
      </c>
      <c r="O746" t="s">
        <v>74</v>
      </c>
      <c r="P746" t="s">
        <v>74</v>
      </c>
      <c r="Q746" t="s">
        <v>74</v>
      </c>
      <c r="R746" t="s">
        <v>74</v>
      </c>
      <c r="S746" t="s">
        <v>74</v>
      </c>
      <c r="T746" t="s">
        <v>14282</v>
      </c>
      <c r="U746" t="s">
        <v>14283</v>
      </c>
      <c r="V746" t="s">
        <v>14284</v>
      </c>
      <c r="W746" t="s">
        <v>14285</v>
      </c>
      <c r="X746" t="s">
        <v>14286</v>
      </c>
      <c r="Y746" t="s">
        <v>14287</v>
      </c>
      <c r="Z746" t="s">
        <v>14288</v>
      </c>
      <c r="AA746" t="s">
        <v>14289</v>
      </c>
      <c r="AB746" t="s">
        <v>14290</v>
      </c>
      <c r="AC746" t="s">
        <v>14291</v>
      </c>
      <c r="AD746" t="s">
        <v>14292</v>
      </c>
      <c r="AE746" t="s">
        <v>14293</v>
      </c>
      <c r="AF746" t="s">
        <v>74</v>
      </c>
      <c r="AG746">
        <v>46</v>
      </c>
      <c r="AH746">
        <v>268</v>
      </c>
      <c r="AI746">
        <v>333</v>
      </c>
      <c r="AJ746">
        <v>10</v>
      </c>
      <c r="AK746">
        <v>219</v>
      </c>
      <c r="AL746" t="s">
        <v>176</v>
      </c>
      <c r="AM746" t="s">
        <v>1610</v>
      </c>
      <c r="AN746" t="s">
        <v>1611</v>
      </c>
      <c r="AO746" t="s">
        <v>1538</v>
      </c>
      <c r="AP746" t="s">
        <v>1539</v>
      </c>
      <c r="AQ746" t="s">
        <v>74</v>
      </c>
      <c r="AR746" t="s">
        <v>1540</v>
      </c>
      <c r="AS746" t="s">
        <v>1541</v>
      </c>
      <c r="AT746" t="s">
        <v>2578</v>
      </c>
      <c r="AU746">
        <v>2020</v>
      </c>
      <c r="AV746">
        <v>259</v>
      </c>
      <c r="AW746" t="s">
        <v>74</v>
      </c>
      <c r="AX746" t="s">
        <v>74</v>
      </c>
      <c r="AY746" t="s">
        <v>74</v>
      </c>
      <c r="AZ746" t="s">
        <v>74</v>
      </c>
      <c r="BA746" t="s">
        <v>74</v>
      </c>
      <c r="BB746" t="s">
        <v>74</v>
      </c>
      <c r="BC746" t="s">
        <v>74</v>
      </c>
      <c r="BD746">
        <v>120836</v>
      </c>
      <c r="BE746" t="s">
        <v>14294</v>
      </c>
      <c r="BF746" t="str">
        <f>HYPERLINK("http://dx.doi.org/10.1016/j.jclepro.2020.120836","http://dx.doi.org/10.1016/j.jclepro.2020.120836")</f>
        <v>http://dx.doi.org/10.1016/j.jclepro.2020.120836</v>
      </c>
      <c r="BG746" t="s">
        <v>74</v>
      </c>
      <c r="BH746" t="s">
        <v>74</v>
      </c>
      <c r="BI746">
        <v>10</v>
      </c>
      <c r="BJ746" t="s">
        <v>1543</v>
      </c>
      <c r="BK746" t="s">
        <v>102</v>
      </c>
      <c r="BL746" t="s">
        <v>1544</v>
      </c>
      <c r="BM746" t="s">
        <v>3333</v>
      </c>
      <c r="BN746" t="s">
        <v>74</v>
      </c>
      <c r="BO746" t="s">
        <v>916</v>
      </c>
      <c r="BP746" t="s">
        <v>4815</v>
      </c>
      <c r="BQ746" t="s">
        <v>4816</v>
      </c>
      <c r="BR746" t="s">
        <v>106</v>
      </c>
      <c r="BS746" t="s">
        <v>14295</v>
      </c>
      <c r="BT746" t="str">
        <f>HYPERLINK("https%3A%2F%2Fwww.webofscience.com%2Fwos%2Fwoscc%2Ffull-record%2FWOS:000530395400009","View Full Record in Web of Science")</f>
        <v>View Full Record in Web of Science</v>
      </c>
    </row>
    <row r="747" spans="1:72" x14ac:dyDescent="0.2">
      <c r="A747" t="s">
        <v>72</v>
      </c>
      <c r="B747" t="s">
        <v>14296</v>
      </c>
      <c r="C747" t="s">
        <v>74</v>
      </c>
      <c r="D747" t="s">
        <v>74</v>
      </c>
      <c r="E747" t="s">
        <v>74</v>
      </c>
      <c r="F747" t="s">
        <v>14297</v>
      </c>
      <c r="G747" t="s">
        <v>74</v>
      </c>
      <c r="H747" t="s">
        <v>74</v>
      </c>
      <c r="I747" t="s">
        <v>14298</v>
      </c>
      <c r="J747" t="s">
        <v>3413</v>
      </c>
      <c r="K747" t="s">
        <v>74</v>
      </c>
      <c r="L747" t="s">
        <v>74</v>
      </c>
      <c r="M747" t="s">
        <v>78</v>
      </c>
      <c r="N747" t="s">
        <v>79</v>
      </c>
      <c r="O747" t="s">
        <v>74</v>
      </c>
      <c r="P747" t="s">
        <v>74</v>
      </c>
      <c r="Q747" t="s">
        <v>74</v>
      </c>
      <c r="R747" t="s">
        <v>74</v>
      </c>
      <c r="S747" t="s">
        <v>74</v>
      </c>
      <c r="T747" t="s">
        <v>14299</v>
      </c>
      <c r="U747" t="s">
        <v>14300</v>
      </c>
      <c r="V747" t="s">
        <v>14301</v>
      </c>
      <c r="W747" t="s">
        <v>14302</v>
      </c>
      <c r="X747" t="s">
        <v>14303</v>
      </c>
      <c r="Y747" t="s">
        <v>14304</v>
      </c>
      <c r="Z747" t="s">
        <v>14305</v>
      </c>
      <c r="AA747" t="s">
        <v>14306</v>
      </c>
      <c r="AB747" t="s">
        <v>74</v>
      </c>
      <c r="AC747" t="s">
        <v>74</v>
      </c>
      <c r="AD747" t="s">
        <v>74</v>
      </c>
      <c r="AE747" t="s">
        <v>74</v>
      </c>
      <c r="AF747" t="s">
        <v>74</v>
      </c>
      <c r="AG747">
        <v>98</v>
      </c>
      <c r="AH747">
        <v>3</v>
      </c>
      <c r="AI747">
        <v>4</v>
      </c>
      <c r="AJ747">
        <v>6</v>
      </c>
      <c r="AK747">
        <v>24</v>
      </c>
      <c r="AL747" t="s">
        <v>123</v>
      </c>
      <c r="AM747" t="s">
        <v>124</v>
      </c>
      <c r="AN747" t="s">
        <v>125</v>
      </c>
      <c r="AO747" t="s">
        <v>3425</v>
      </c>
      <c r="AP747" t="s">
        <v>3426</v>
      </c>
      <c r="AQ747" t="s">
        <v>74</v>
      </c>
      <c r="AR747" t="s">
        <v>3427</v>
      </c>
      <c r="AS747" t="s">
        <v>3428</v>
      </c>
      <c r="AT747" t="s">
        <v>99</v>
      </c>
      <c r="AU747">
        <v>2024</v>
      </c>
      <c r="AV747">
        <v>160</v>
      </c>
      <c r="AW747" t="s">
        <v>74</v>
      </c>
      <c r="AX747" t="s">
        <v>74</v>
      </c>
      <c r="AY747" t="s">
        <v>74</v>
      </c>
      <c r="AZ747" t="s">
        <v>74</v>
      </c>
      <c r="BA747" t="s">
        <v>74</v>
      </c>
      <c r="BB747" t="s">
        <v>74</v>
      </c>
      <c r="BC747" t="s">
        <v>74</v>
      </c>
      <c r="BD747">
        <v>111786</v>
      </c>
      <c r="BE747" t="s">
        <v>14307</v>
      </c>
      <c r="BF747" t="str">
        <f>HYPERLINK("http://dx.doi.org/10.1016/j.ecolind.2024.111786","http://dx.doi.org/10.1016/j.ecolind.2024.111786")</f>
        <v>http://dx.doi.org/10.1016/j.ecolind.2024.111786</v>
      </c>
      <c r="BG747" t="s">
        <v>74</v>
      </c>
      <c r="BH747" t="s">
        <v>2430</v>
      </c>
      <c r="BI747">
        <v>11</v>
      </c>
      <c r="BJ747" t="s">
        <v>3430</v>
      </c>
      <c r="BK747" t="s">
        <v>102</v>
      </c>
      <c r="BL747" t="s">
        <v>756</v>
      </c>
      <c r="BM747" t="s">
        <v>14308</v>
      </c>
      <c r="BN747" t="s">
        <v>74</v>
      </c>
      <c r="BO747" t="s">
        <v>231</v>
      </c>
      <c r="BP747" t="s">
        <v>74</v>
      </c>
      <c r="BQ747" t="s">
        <v>74</v>
      </c>
      <c r="BR747" t="s">
        <v>106</v>
      </c>
      <c r="BS747" t="s">
        <v>14309</v>
      </c>
      <c r="BT747" t="str">
        <f>HYPERLINK("https%3A%2F%2Fwww.webofscience.com%2Fwos%2Fwoscc%2Ffull-record%2FWOS:001208940100001","View Full Record in Web of Science")</f>
        <v>View Full Record in Web of Science</v>
      </c>
    </row>
    <row r="748" spans="1:72" x14ac:dyDescent="0.2">
      <c r="A748" t="s">
        <v>72</v>
      </c>
      <c r="B748" t="s">
        <v>14310</v>
      </c>
      <c r="C748" t="s">
        <v>74</v>
      </c>
      <c r="D748" t="s">
        <v>74</v>
      </c>
      <c r="E748" t="s">
        <v>74</v>
      </c>
      <c r="F748" t="s">
        <v>14311</v>
      </c>
      <c r="G748" t="s">
        <v>74</v>
      </c>
      <c r="H748" t="s">
        <v>74</v>
      </c>
      <c r="I748" t="s">
        <v>14312</v>
      </c>
      <c r="J748" t="s">
        <v>4012</v>
      </c>
      <c r="K748" t="s">
        <v>74</v>
      </c>
      <c r="L748" t="s">
        <v>74</v>
      </c>
      <c r="M748" t="s">
        <v>78</v>
      </c>
      <c r="N748" t="s">
        <v>79</v>
      </c>
      <c r="O748" t="s">
        <v>74</v>
      </c>
      <c r="P748" t="s">
        <v>74</v>
      </c>
      <c r="Q748" t="s">
        <v>74</v>
      </c>
      <c r="R748" t="s">
        <v>74</v>
      </c>
      <c r="S748" t="s">
        <v>74</v>
      </c>
      <c r="T748" t="s">
        <v>14313</v>
      </c>
      <c r="U748" t="s">
        <v>14314</v>
      </c>
      <c r="V748" t="s">
        <v>14315</v>
      </c>
      <c r="W748" t="s">
        <v>14316</v>
      </c>
      <c r="X748" t="s">
        <v>9290</v>
      </c>
      <c r="Y748" t="s">
        <v>14317</v>
      </c>
      <c r="Z748" t="s">
        <v>14318</v>
      </c>
      <c r="AA748" t="s">
        <v>14319</v>
      </c>
      <c r="AB748" t="s">
        <v>74</v>
      </c>
      <c r="AC748" t="s">
        <v>14320</v>
      </c>
      <c r="AD748" t="s">
        <v>14321</v>
      </c>
      <c r="AE748" t="s">
        <v>14322</v>
      </c>
      <c r="AF748" t="s">
        <v>74</v>
      </c>
      <c r="AG748">
        <v>38</v>
      </c>
      <c r="AH748">
        <v>3</v>
      </c>
      <c r="AI748">
        <v>3</v>
      </c>
      <c r="AJ748">
        <v>13</v>
      </c>
      <c r="AK748">
        <v>85</v>
      </c>
      <c r="AL748" t="s">
        <v>585</v>
      </c>
      <c r="AM748" t="s">
        <v>306</v>
      </c>
      <c r="AN748" t="s">
        <v>586</v>
      </c>
      <c r="AO748" t="s">
        <v>4025</v>
      </c>
      <c r="AP748" t="s">
        <v>4026</v>
      </c>
      <c r="AQ748" t="s">
        <v>74</v>
      </c>
      <c r="AR748" t="s">
        <v>4027</v>
      </c>
      <c r="AS748" t="s">
        <v>4028</v>
      </c>
      <c r="AT748" t="s">
        <v>14323</v>
      </c>
      <c r="AU748">
        <v>2023</v>
      </c>
      <c r="AV748">
        <v>69</v>
      </c>
      <c r="AW748">
        <v>14</v>
      </c>
      <c r="AX748" t="s">
        <v>74</v>
      </c>
      <c r="AY748" t="s">
        <v>74</v>
      </c>
      <c r="AZ748" t="s">
        <v>74</v>
      </c>
      <c r="BA748" t="s">
        <v>74</v>
      </c>
      <c r="BB748">
        <v>2833</v>
      </c>
      <c r="BC748">
        <v>2846</v>
      </c>
      <c r="BD748" t="s">
        <v>74</v>
      </c>
      <c r="BE748" t="s">
        <v>14324</v>
      </c>
      <c r="BF748" t="str">
        <f>HYPERLINK("http://dx.doi.org/10.1080/03650340.2023.2175819","http://dx.doi.org/10.1080/03650340.2023.2175819")</f>
        <v>http://dx.doi.org/10.1080/03650340.2023.2175819</v>
      </c>
      <c r="BG748" t="s">
        <v>74</v>
      </c>
      <c r="BH748" t="s">
        <v>1250</v>
      </c>
      <c r="BI748">
        <v>14</v>
      </c>
      <c r="BJ748" t="s">
        <v>4030</v>
      </c>
      <c r="BK748" t="s">
        <v>102</v>
      </c>
      <c r="BL748" t="s">
        <v>103</v>
      </c>
      <c r="BM748" t="s">
        <v>14325</v>
      </c>
      <c r="BN748" t="s">
        <v>74</v>
      </c>
      <c r="BO748" t="s">
        <v>74</v>
      </c>
      <c r="BP748" t="s">
        <v>74</v>
      </c>
      <c r="BQ748" t="s">
        <v>74</v>
      </c>
      <c r="BR748" t="s">
        <v>106</v>
      </c>
      <c r="BS748" t="s">
        <v>14326</v>
      </c>
      <c r="BT748" t="str">
        <f>HYPERLINK("https%3A%2F%2Fwww.webofscience.com%2Fwos%2Fwoscc%2Ffull-record%2FWOS:000932117400001","View Full Record in Web of Science")</f>
        <v>View Full Record in Web of Science</v>
      </c>
    </row>
    <row r="749" spans="1:72" x14ac:dyDescent="0.2">
      <c r="A749" t="s">
        <v>72</v>
      </c>
      <c r="B749" t="s">
        <v>14327</v>
      </c>
      <c r="C749" t="s">
        <v>74</v>
      </c>
      <c r="D749" t="s">
        <v>74</v>
      </c>
      <c r="E749" t="s">
        <v>74</v>
      </c>
      <c r="F749" t="s">
        <v>14328</v>
      </c>
      <c r="G749" t="s">
        <v>74</v>
      </c>
      <c r="H749" t="s">
        <v>74</v>
      </c>
      <c r="I749" t="s">
        <v>14329</v>
      </c>
      <c r="J749" t="s">
        <v>13501</v>
      </c>
      <c r="K749" t="s">
        <v>74</v>
      </c>
      <c r="L749" t="s">
        <v>74</v>
      </c>
      <c r="M749" t="s">
        <v>78</v>
      </c>
      <c r="N749" t="s">
        <v>79</v>
      </c>
      <c r="O749" t="s">
        <v>74</v>
      </c>
      <c r="P749" t="s">
        <v>74</v>
      </c>
      <c r="Q749" t="s">
        <v>74</v>
      </c>
      <c r="R749" t="s">
        <v>74</v>
      </c>
      <c r="S749" t="s">
        <v>74</v>
      </c>
      <c r="T749" t="s">
        <v>14330</v>
      </c>
      <c r="U749" t="s">
        <v>14331</v>
      </c>
      <c r="V749" t="s">
        <v>14332</v>
      </c>
      <c r="W749" t="s">
        <v>14333</v>
      </c>
      <c r="X749" t="s">
        <v>2652</v>
      </c>
      <c r="Y749" t="s">
        <v>14334</v>
      </c>
      <c r="Z749" t="s">
        <v>14335</v>
      </c>
      <c r="AA749" t="s">
        <v>74</v>
      </c>
      <c r="AB749" t="s">
        <v>74</v>
      </c>
      <c r="AC749" t="s">
        <v>14336</v>
      </c>
      <c r="AD749" t="s">
        <v>14337</v>
      </c>
      <c r="AE749" t="s">
        <v>14338</v>
      </c>
      <c r="AF749" t="s">
        <v>74</v>
      </c>
      <c r="AG749">
        <v>45</v>
      </c>
      <c r="AH749">
        <v>15</v>
      </c>
      <c r="AI749">
        <v>16</v>
      </c>
      <c r="AJ749">
        <v>6</v>
      </c>
      <c r="AK749">
        <v>188</v>
      </c>
      <c r="AL749" t="s">
        <v>1242</v>
      </c>
      <c r="AM749" t="s">
        <v>1243</v>
      </c>
      <c r="AN749" t="s">
        <v>1244</v>
      </c>
      <c r="AO749" t="s">
        <v>13514</v>
      </c>
      <c r="AP749" t="s">
        <v>13515</v>
      </c>
      <c r="AQ749" t="s">
        <v>74</v>
      </c>
      <c r="AR749" t="s">
        <v>13516</v>
      </c>
      <c r="AS749" t="s">
        <v>13517</v>
      </c>
      <c r="AT749" t="s">
        <v>912</v>
      </c>
      <c r="AU749">
        <v>2018</v>
      </c>
      <c r="AV749">
        <v>18</v>
      </c>
      <c r="AW749">
        <v>5</v>
      </c>
      <c r="AX749" t="s">
        <v>74</v>
      </c>
      <c r="AY749" t="s">
        <v>74</v>
      </c>
      <c r="AZ749" t="s">
        <v>74</v>
      </c>
      <c r="BA749" t="s">
        <v>74</v>
      </c>
      <c r="BB749">
        <v>1832</v>
      </c>
      <c r="BC749">
        <v>1843</v>
      </c>
      <c r="BD749" t="s">
        <v>74</v>
      </c>
      <c r="BE749" t="s">
        <v>14339</v>
      </c>
      <c r="BF749" t="str">
        <f>HYPERLINK("http://dx.doi.org/10.1007/s11368-018-1946-y","http://dx.doi.org/10.1007/s11368-018-1946-y")</f>
        <v>http://dx.doi.org/10.1007/s11368-018-1946-y</v>
      </c>
      <c r="BG749" t="s">
        <v>74</v>
      </c>
      <c r="BH749" t="s">
        <v>74</v>
      </c>
      <c r="BI749">
        <v>12</v>
      </c>
      <c r="BJ749" t="s">
        <v>4942</v>
      </c>
      <c r="BK749" t="s">
        <v>102</v>
      </c>
      <c r="BL749" t="s">
        <v>4943</v>
      </c>
      <c r="BM749" t="s">
        <v>14340</v>
      </c>
      <c r="BN749" t="s">
        <v>74</v>
      </c>
      <c r="BO749" t="s">
        <v>74</v>
      </c>
      <c r="BP749" t="s">
        <v>74</v>
      </c>
      <c r="BQ749" t="s">
        <v>74</v>
      </c>
      <c r="BR749" t="s">
        <v>106</v>
      </c>
      <c r="BS749" t="s">
        <v>14341</v>
      </c>
      <c r="BT749" t="str">
        <f>HYPERLINK("https%3A%2F%2Fwww.webofscience.com%2Fwos%2Fwoscc%2Ffull-record%2FWOS:000430473300004","View Full Record in Web of Science")</f>
        <v>View Full Record in Web of Science</v>
      </c>
    </row>
    <row r="750" spans="1:72" x14ac:dyDescent="0.2">
      <c r="A750" t="s">
        <v>72</v>
      </c>
      <c r="B750" t="s">
        <v>14342</v>
      </c>
      <c r="C750" t="s">
        <v>74</v>
      </c>
      <c r="D750" t="s">
        <v>74</v>
      </c>
      <c r="E750" t="s">
        <v>74</v>
      </c>
      <c r="F750" t="s">
        <v>14343</v>
      </c>
      <c r="G750" t="s">
        <v>74</v>
      </c>
      <c r="H750" t="s">
        <v>74</v>
      </c>
      <c r="I750" t="s">
        <v>14344</v>
      </c>
      <c r="J750" t="s">
        <v>6869</v>
      </c>
      <c r="K750" t="s">
        <v>74</v>
      </c>
      <c r="L750" t="s">
        <v>74</v>
      </c>
      <c r="M750" t="s">
        <v>78</v>
      </c>
      <c r="N750" t="s">
        <v>79</v>
      </c>
      <c r="O750" t="s">
        <v>74</v>
      </c>
      <c r="P750" t="s">
        <v>74</v>
      </c>
      <c r="Q750" t="s">
        <v>74</v>
      </c>
      <c r="R750" t="s">
        <v>74</v>
      </c>
      <c r="S750" t="s">
        <v>74</v>
      </c>
      <c r="T750" t="s">
        <v>14345</v>
      </c>
      <c r="U750" t="s">
        <v>14346</v>
      </c>
      <c r="V750" t="s">
        <v>14347</v>
      </c>
      <c r="W750" t="s">
        <v>14348</v>
      </c>
      <c r="X750" t="s">
        <v>14349</v>
      </c>
      <c r="Y750" t="s">
        <v>14350</v>
      </c>
      <c r="Z750" t="s">
        <v>14351</v>
      </c>
      <c r="AA750" t="s">
        <v>74</v>
      </c>
      <c r="AB750" t="s">
        <v>14352</v>
      </c>
      <c r="AC750" t="s">
        <v>14353</v>
      </c>
      <c r="AD750" t="s">
        <v>14353</v>
      </c>
      <c r="AE750" t="s">
        <v>14354</v>
      </c>
      <c r="AF750" t="s">
        <v>74</v>
      </c>
      <c r="AG750">
        <v>84</v>
      </c>
      <c r="AH750">
        <v>1</v>
      </c>
      <c r="AI750">
        <v>1</v>
      </c>
      <c r="AJ750">
        <v>11</v>
      </c>
      <c r="AK750">
        <v>18</v>
      </c>
      <c r="AL750" t="s">
        <v>247</v>
      </c>
      <c r="AM750" t="s">
        <v>248</v>
      </c>
      <c r="AN750" t="s">
        <v>249</v>
      </c>
      <c r="AO750" t="s">
        <v>6879</v>
      </c>
      <c r="AP750" t="s">
        <v>6880</v>
      </c>
      <c r="AQ750" t="s">
        <v>74</v>
      </c>
      <c r="AR750" t="s">
        <v>6881</v>
      </c>
      <c r="AS750" t="s">
        <v>6882</v>
      </c>
      <c r="AT750" t="s">
        <v>9778</v>
      </c>
      <c r="AU750">
        <v>2025</v>
      </c>
      <c r="AV750">
        <v>36</v>
      </c>
      <c r="AW750">
        <v>11</v>
      </c>
      <c r="AX750" t="s">
        <v>74</v>
      </c>
      <c r="AY750" t="s">
        <v>74</v>
      </c>
      <c r="AZ750" t="s">
        <v>74</v>
      </c>
      <c r="BA750" t="s">
        <v>74</v>
      </c>
      <c r="BB750">
        <v>3756</v>
      </c>
      <c r="BC750">
        <v>3768</v>
      </c>
      <c r="BD750" t="s">
        <v>74</v>
      </c>
      <c r="BE750" t="s">
        <v>14355</v>
      </c>
      <c r="BF750" t="str">
        <f>HYPERLINK("http://dx.doi.org/10.1002/ldr.5597","http://dx.doi.org/10.1002/ldr.5597")</f>
        <v>http://dx.doi.org/10.1002/ldr.5597</v>
      </c>
      <c r="BG750" t="s">
        <v>74</v>
      </c>
      <c r="BH750" t="s">
        <v>1870</v>
      </c>
      <c r="BI750">
        <v>13</v>
      </c>
      <c r="BJ750" t="s">
        <v>4942</v>
      </c>
      <c r="BK750" t="s">
        <v>102</v>
      </c>
      <c r="BL750" t="s">
        <v>4943</v>
      </c>
      <c r="BM750" t="s">
        <v>14356</v>
      </c>
      <c r="BN750" t="s">
        <v>74</v>
      </c>
      <c r="BO750" t="s">
        <v>74</v>
      </c>
      <c r="BP750" t="s">
        <v>74</v>
      </c>
      <c r="BQ750" t="s">
        <v>74</v>
      </c>
      <c r="BR750" t="s">
        <v>106</v>
      </c>
      <c r="BS750" t="s">
        <v>14357</v>
      </c>
      <c r="BT750" t="str">
        <f>HYPERLINK("https%3A%2F%2Fwww.webofscience.com%2Fwos%2Fwoscc%2Ffull-record%2FWOS:001459264000001","View Full Record in Web of Science")</f>
        <v>View Full Record in Web of Science</v>
      </c>
    </row>
    <row r="751" spans="1:72" x14ac:dyDescent="0.2">
      <c r="A751" t="s">
        <v>72</v>
      </c>
      <c r="B751" t="s">
        <v>14358</v>
      </c>
      <c r="C751" t="s">
        <v>74</v>
      </c>
      <c r="D751" t="s">
        <v>74</v>
      </c>
      <c r="E751" t="s">
        <v>74</v>
      </c>
      <c r="F751" t="s">
        <v>14359</v>
      </c>
      <c r="G751" t="s">
        <v>74</v>
      </c>
      <c r="H751" t="s">
        <v>74</v>
      </c>
      <c r="I751" t="s">
        <v>14360</v>
      </c>
      <c r="J751" t="s">
        <v>1231</v>
      </c>
      <c r="K751" t="s">
        <v>74</v>
      </c>
      <c r="L751" t="s">
        <v>74</v>
      </c>
      <c r="M751" t="s">
        <v>78</v>
      </c>
      <c r="N751" t="s">
        <v>79</v>
      </c>
      <c r="O751" t="s">
        <v>74</v>
      </c>
      <c r="P751" t="s">
        <v>74</v>
      </c>
      <c r="Q751" t="s">
        <v>74</v>
      </c>
      <c r="R751" t="s">
        <v>74</v>
      </c>
      <c r="S751" t="s">
        <v>74</v>
      </c>
      <c r="T751" t="s">
        <v>14361</v>
      </c>
      <c r="U751" t="s">
        <v>14362</v>
      </c>
      <c r="V751" t="s">
        <v>14363</v>
      </c>
      <c r="W751" t="s">
        <v>14364</v>
      </c>
      <c r="X751" t="s">
        <v>14365</v>
      </c>
      <c r="Y751" t="s">
        <v>14366</v>
      </c>
      <c r="Z751" t="s">
        <v>14367</v>
      </c>
      <c r="AA751" t="s">
        <v>14368</v>
      </c>
      <c r="AB751" t="s">
        <v>74</v>
      </c>
      <c r="AC751" t="s">
        <v>14369</v>
      </c>
      <c r="AD751" t="s">
        <v>14370</v>
      </c>
      <c r="AE751" t="s">
        <v>14371</v>
      </c>
      <c r="AF751" t="s">
        <v>74</v>
      </c>
      <c r="AG751">
        <v>52</v>
      </c>
      <c r="AH751">
        <v>11</v>
      </c>
      <c r="AI751">
        <v>11</v>
      </c>
      <c r="AJ751">
        <v>6</v>
      </c>
      <c r="AK751">
        <v>127</v>
      </c>
      <c r="AL751" t="s">
        <v>1242</v>
      </c>
      <c r="AM751" t="s">
        <v>1243</v>
      </c>
      <c r="AN751" t="s">
        <v>1244</v>
      </c>
      <c r="AO751" t="s">
        <v>1245</v>
      </c>
      <c r="AP751" t="s">
        <v>1246</v>
      </c>
      <c r="AQ751" t="s">
        <v>74</v>
      </c>
      <c r="AR751" t="s">
        <v>1247</v>
      </c>
      <c r="AS751" t="s">
        <v>1248</v>
      </c>
      <c r="AT751" t="s">
        <v>2017</v>
      </c>
      <c r="AU751">
        <v>2021</v>
      </c>
      <c r="AV751">
        <v>28</v>
      </c>
      <c r="AW751">
        <v>39</v>
      </c>
      <c r="AX751" t="s">
        <v>74</v>
      </c>
      <c r="AY751" t="s">
        <v>74</v>
      </c>
      <c r="AZ751" t="s">
        <v>74</v>
      </c>
      <c r="BA751" t="s">
        <v>74</v>
      </c>
      <c r="BB751">
        <v>54792</v>
      </c>
      <c r="BC751">
        <v>54801</v>
      </c>
      <c r="BD751" t="s">
        <v>74</v>
      </c>
      <c r="BE751" t="s">
        <v>14372</v>
      </c>
      <c r="BF751" t="str">
        <f>HYPERLINK("http://dx.doi.org/10.1007/s11356-021-14316-4","http://dx.doi.org/10.1007/s11356-021-14316-4")</f>
        <v>http://dx.doi.org/10.1007/s11356-021-14316-4</v>
      </c>
      <c r="BG751" t="s">
        <v>74</v>
      </c>
      <c r="BH751" t="s">
        <v>8503</v>
      </c>
      <c r="BI751">
        <v>10</v>
      </c>
      <c r="BJ751" t="s">
        <v>567</v>
      </c>
      <c r="BK751" t="s">
        <v>102</v>
      </c>
      <c r="BL751" t="s">
        <v>568</v>
      </c>
      <c r="BM751" t="s">
        <v>14373</v>
      </c>
      <c r="BN751">
        <v>34014477</v>
      </c>
      <c r="BO751" t="s">
        <v>2296</v>
      </c>
      <c r="BP751" t="s">
        <v>74</v>
      </c>
      <c r="BQ751" t="s">
        <v>74</v>
      </c>
      <c r="BR751" t="s">
        <v>106</v>
      </c>
      <c r="BS751" t="s">
        <v>14374</v>
      </c>
      <c r="BT751" t="str">
        <f>HYPERLINK("https%3A%2F%2Fwww.webofscience.com%2Fwos%2Fwoscc%2Ffull-record%2FWOS:000652446400010","View Full Record in Web of Science")</f>
        <v>View Full Record in Web of Science</v>
      </c>
    </row>
    <row r="752" spans="1:72" x14ac:dyDescent="0.2">
      <c r="A752" t="s">
        <v>72</v>
      </c>
      <c r="B752" t="s">
        <v>14375</v>
      </c>
      <c r="C752" t="s">
        <v>74</v>
      </c>
      <c r="D752" t="s">
        <v>74</v>
      </c>
      <c r="E752" t="s">
        <v>74</v>
      </c>
      <c r="F752" t="s">
        <v>14376</v>
      </c>
      <c r="G752" t="s">
        <v>74</v>
      </c>
      <c r="H752" t="s">
        <v>74</v>
      </c>
      <c r="I752" t="s">
        <v>14377</v>
      </c>
      <c r="J752" t="s">
        <v>14378</v>
      </c>
      <c r="K752" t="s">
        <v>74</v>
      </c>
      <c r="L752" t="s">
        <v>74</v>
      </c>
      <c r="M752" t="s">
        <v>78</v>
      </c>
      <c r="N752" t="s">
        <v>79</v>
      </c>
      <c r="O752" t="s">
        <v>74</v>
      </c>
      <c r="P752" t="s">
        <v>74</v>
      </c>
      <c r="Q752" t="s">
        <v>74</v>
      </c>
      <c r="R752" t="s">
        <v>74</v>
      </c>
      <c r="S752" t="s">
        <v>74</v>
      </c>
      <c r="T752" t="s">
        <v>74</v>
      </c>
      <c r="U752" t="s">
        <v>14379</v>
      </c>
      <c r="V752" t="s">
        <v>14380</v>
      </c>
      <c r="W752" t="s">
        <v>14381</v>
      </c>
      <c r="X752" t="s">
        <v>14382</v>
      </c>
      <c r="Y752" t="s">
        <v>14383</v>
      </c>
      <c r="Z752" t="s">
        <v>14384</v>
      </c>
      <c r="AA752" t="s">
        <v>74</v>
      </c>
      <c r="AB752" t="s">
        <v>14385</v>
      </c>
      <c r="AC752" t="s">
        <v>14386</v>
      </c>
      <c r="AD752" t="s">
        <v>14386</v>
      </c>
      <c r="AE752" t="s">
        <v>14387</v>
      </c>
      <c r="AF752" t="s">
        <v>74</v>
      </c>
      <c r="AG752">
        <v>60</v>
      </c>
      <c r="AH752">
        <v>0</v>
      </c>
      <c r="AI752">
        <v>0</v>
      </c>
      <c r="AJ752">
        <v>2</v>
      </c>
      <c r="AK752">
        <v>6</v>
      </c>
      <c r="AL752" t="s">
        <v>14388</v>
      </c>
      <c r="AM752" t="s">
        <v>14389</v>
      </c>
      <c r="AN752" t="s">
        <v>14390</v>
      </c>
      <c r="AO752" t="s">
        <v>14391</v>
      </c>
      <c r="AP752" t="s">
        <v>74</v>
      </c>
      <c r="AQ752" t="s">
        <v>74</v>
      </c>
      <c r="AR752" t="s">
        <v>14392</v>
      </c>
      <c r="AS752" t="s">
        <v>14393</v>
      </c>
      <c r="AT752" t="s">
        <v>805</v>
      </c>
      <c r="AU752">
        <v>2024</v>
      </c>
      <c r="AV752">
        <v>16</v>
      </c>
      <c r="AW752">
        <v>6</v>
      </c>
      <c r="AX752" t="s">
        <v>74</v>
      </c>
      <c r="AY752" t="s">
        <v>74</v>
      </c>
      <c r="AZ752" t="s">
        <v>74</v>
      </c>
      <c r="BA752" t="s">
        <v>74</v>
      </c>
      <c r="BB752" t="s">
        <v>74</v>
      </c>
      <c r="BC752" t="s">
        <v>74</v>
      </c>
      <c r="BD752">
        <v>65903</v>
      </c>
      <c r="BE752" t="s">
        <v>14394</v>
      </c>
      <c r="BF752" t="str">
        <f>HYPERLINK("http://dx.doi.org/10.1063/5.0227022","http://dx.doi.org/10.1063/5.0227022")</f>
        <v>http://dx.doi.org/10.1063/5.0227022</v>
      </c>
      <c r="BG752" t="s">
        <v>74</v>
      </c>
      <c r="BH752" t="s">
        <v>74</v>
      </c>
      <c r="BI752">
        <v>18</v>
      </c>
      <c r="BJ752" t="s">
        <v>1496</v>
      </c>
      <c r="BK752" t="s">
        <v>102</v>
      </c>
      <c r="BL752" t="s">
        <v>1497</v>
      </c>
      <c r="BM752" t="s">
        <v>14395</v>
      </c>
      <c r="BN752" t="s">
        <v>74</v>
      </c>
      <c r="BO752" t="s">
        <v>74</v>
      </c>
      <c r="BP752" t="s">
        <v>74</v>
      </c>
      <c r="BQ752" t="s">
        <v>74</v>
      </c>
      <c r="BR752" t="s">
        <v>106</v>
      </c>
      <c r="BS752" t="s">
        <v>14396</v>
      </c>
      <c r="BT752" t="str">
        <f>HYPERLINK("https%3A%2F%2Fwww.webofscience.com%2Fwos%2Fwoscc%2Ffull-record%2FWOS:001370231300005","View Full Record in Web of Science")</f>
        <v>View Full Record in Web of Science</v>
      </c>
    </row>
    <row r="753" spans="1:72" x14ac:dyDescent="0.2">
      <c r="A753" t="s">
        <v>72</v>
      </c>
      <c r="B753" t="s">
        <v>14397</v>
      </c>
      <c r="C753" t="s">
        <v>74</v>
      </c>
      <c r="D753" t="s">
        <v>74</v>
      </c>
      <c r="E753" t="s">
        <v>74</v>
      </c>
      <c r="F753" t="s">
        <v>14398</v>
      </c>
      <c r="G753" t="s">
        <v>74</v>
      </c>
      <c r="H753" t="s">
        <v>74</v>
      </c>
      <c r="I753" t="s">
        <v>14399</v>
      </c>
      <c r="J753" t="s">
        <v>12561</v>
      </c>
      <c r="K753" t="s">
        <v>74</v>
      </c>
      <c r="L753" t="s">
        <v>74</v>
      </c>
      <c r="M753" t="s">
        <v>78</v>
      </c>
      <c r="N753" t="s">
        <v>79</v>
      </c>
      <c r="O753" t="s">
        <v>74</v>
      </c>
      <c r="P753" t="s">
        <v>74</v>
      </c>
      <c r="Q753" t="s">
        <v>74</v>
      </c>
      <c r="R753" t="s">
        <v>74</v>
      </c>
      <c r="S753" t="s">
        <v>74</v>
      </c>
      <c r="T753" t="s">
        <v>14400</v>
      </c>
      <c r="U753" t="s">
        <v>14401</v>
      </c>
      <c r="V753" t="s">
        <v>14402</v>
      </c>
      <c r="W753" t="s">
        <v>14403</v>
      </c>
      <c r="X753" t="s">
        <v>14404</v>
      </c>
      <c r="Y753" t="s">
        <v>14405</v>
      </c>
      <c r="Z753" t="s">
        <v>14406</v>
      </c>
      <c r="AA753" t="s">
        <v>14407</v>
      </c>
      <c r="AB753" t="s">
        <v>14408</v>
      </c>
      <c r="AC753" t="s">
        <v>14409</v>
      </c>
      <c r="AD753" t="s">
        <v>220</v>
      </c>
      <c r="AE753" t="s">
        <v>14410</v>
      </c>
      <c r="AF753" t="s">
        <v>74</v>
      </c>
      <c r="AG753">
        <v>66</v>
      </c>
      <c r="AH753">
        <v>8</v>
      </c>
      <c r="AI753">
        <v>8</v>
      </c>
      <c r="AJ753">
        <v>3</v>
      </c>
      <c r="AK753">
        <v>35</v>
      </c>
      <c r="AL753" t="s">
        <v>123</v>
      </c>
      <c r="AM753" t="s">
        <v>124</v>
      </c>
      <c r="AN753" t="s">
        <v>125</v>
      </c>
      <c r="AO753" t="s">
        <v>12572</v>
      </c>
      <c r="AP753" t="s">
        <v>12573</v>
      </c>
      <c r="AQ753" t="s">
        <v>74</v>
      </c>
      <c r="AR753" t="s">
        <v>12574</v>
      </c>
      <c r="AS753" t="s">
        <v>12575</v>
      </c>
      <c r="AT753" t="s">
        <v>99</v>
      </c>
      <c r="AU753">
        <v>2023</v>
      </c>
      <c r="AV753">
        <v>45</v>
      </c>
      <c r="AW753" t="s">
        <v>74</v>
      </c>
      <c r="AX753" t="s">
        <v>74</v>
      </c>
      <c r="AY753" t="s">
        <v>74</v>
      </c>
      <c r="AZ753" t="s">
        <v>74</v>
      </c>
      <c r="BA753" t="s">
        <v>74</v>
      </c>
      <c r="BB753" t="s">
        <v>74</v>
      </c>
      <c r="BC753" t="s">
        <v>74</v>
      </c>
      <c r="BD753">
        <v>100774</v>
      </c>
      <c r="BE753" t="s">
        <v>14411</v>
      </c>
      <c r="BF753" t="str">
        <f>HYPERLINK("http://dx.doi.org/10.1016/j.envdev.2022.100774","http://dx.doi.org/10.1016/j.envdev.2022.100774")</f>
        <v>http://dx.doi.org/10.1016/j.envdev.2022.100774</v>
      </c>
      <c r="BG753" t="s">
        <v>74</v>
      </c>
      <c r="BH753" t="s">
        <v>10385</v>
      </c>
      <c r="BI753">
        <v>14</v>
      </c>
      <c r="BJ753" t="s">
        <v>567</v>
      </c>
      <c r="BK753" t="s">
        <v>102</v>
      </c>
      <c r="BL753" t="s">
        <v>568</v>
      </c>
      <c r="BM753" t="s">
        <v>14412</v>
      </c>
      <c r="BN753" t="s">
        <v>74</v>
      </c>
      <c r="BO753" t="s">
        <v>74</v>
      </c>
      <c r="BP753" t="s">
        <v>74</v>
      </c>
      <c r="BQ753" t="s">
        <v>74</v>
      </c>
      <c r="BR753" t="s">
        <v>106</v>
      </c>
      <c r="BS753" t="s">
        <v>14413</v>
      </c>
      <c r="BT753" t="str">
        <f>HYPERLINK("https%3A%2F%2Fwww.webofscience.com%2Fwos%2Fwoscc%2Ffull-record%2FWOS:000892449300003","View Full Record in Web of Science")</f>
        <v>View Full Record in Web of Science</v>
      </c>
    </row>
    <row r="754" spans="1:72" x14ac:dyDescent="0.2">
      <c r="A754" t="s">
        <v>72</v>
      </c>
      <c r="B754" t="s">
        <v>14414</v>
      </c>
      <c r="C754" t="s">
        <v>74</v>
      </c>
      <c r="D754" t="s">
        <v>74</v>
      </c>
      <c r="E754" t="s">
        <v>74</v>
      </c>
      <c r="F754" t="s">
        <v>14415</v>
      </c>
      <c r="G754" t="s">
        <v>74</v>
      </c>
      <c r="H754" t="s">
        <v>74</v>
      </c>
      <c r="I754" t="s">
        <v>14416</v>
      </c>
      <c r="J754" t="s">
        <v>2044</v>
      </c>
      <c r="K754" t="s">
        <v>74</v>
      </c>
      <c r="L754" t="s">
        <v>74</v>
      </c>
      <c r="M754" t="s">
        <v>78</v>
      </c>
      <c r="N754" t="s">
        <v>79</v>
      </c>
      <c r="O754" t="s">
        <v>74</v>
      </c>
      <c r="P754" t="s">
        <v>74</v>
      </c>
      <c r="Q754" t="s">
        <v>74</v>
      </c>
      <c r="R754" t="s">
        <v>74</v>
      </c>
      <c r="S754" t="s">
        <v>74</v>
      </c>
      <c r="T754" t="s">
        <v>14417</v>
      </c>
      <c r="U754" t="s">
        <v>14418</v>
      </c>
      <c r="V754" t="s">
        <v>14419</v>
      </c>
      <c r="W754" t="s">
        <v>14420</v>
      </c>
      <c r="X754" t="s">
        <v>14421</v>
      </c>
      <c r="Y754" t="s">
        <v>14422</v>
      </c>
      <c r="Z754" t="s">
        <v>14423</v>
      </c>
      <c r="AA754" t="s">
        <v>14424</v>
      </c>
      <c r="AB754" t="s">
        <v>14425</v>
      </c>
      <c r="AC754" t="s">
        <v>14426</v>
      </c>
      <c r="AD754" t="s">
        <v>14426</v>
      </c>
      <c r="AE754" t="s">
        <v>14427</v>
      </c>
      <c r="AF754" t="s">
        <v>74</v>
      </c>
      <c r="AG754">
        <v>34</v>
      </c>
      <c r="AH754">
        <v>12</v>
      </c>
      <c r="AI754">
        <v>14</v>
      </c>
      <c r="AJ754">
        <v>7</v>
      </c>
      <c r="AK754">
        <v>65</v>
      </c>
      <c r="AL754" t="s">
        <v>1995</v>
      </c>
      <c r="AM754" t="s">
        <v>1996</v>
      </c>
      <c r="AN754" t="s">
        <v>1997</v>
      </c>
      <c r="AO754" t="s">
        <v>74</v>
      </c>
      <c r="AP754" t="s">
        <v>2057</v>
      </c>
      <c r="AQ754" t="s">
        <v>74</v>
      </c>
      <c r="AR754" t="s">
        <v>2044</v>
      </c>
      <c r="AS754" t="s">
        <v>2058</v>
      </c>
      <c r="AT754" t="s">
        <v>912</v>
      </c>
      <c r="AU754">
        <v>2021</v>
      </c>
      <c r="AV754">
        <v>7</v>
      </c>
      <c r="AW754">
        <v>5</v>
      </c>
      <c r="AX754" t="s">
        <v>74</v>
      </c>
      <c r="AY754" t="s">
        <v>74</v>
      </c>
      <c r="AZ754" t="s">
        <v>74</v>
      </c>
      <c r="BA754" t="s">
        <v>74</v>
      </c>
      <c r="BB754" t="s">
        <v>74</v>
      </c>
      <c r="BC754" t="s">
        <v>74</v>
      </c>
      <c r="BD754" t="s">
        <v>14428</v>
      </c>
      <c r="BE754" t="s">
        <v>14429</v>
      </c>
      <c r="BF754" t="str">
        <f>HYPERLINK("http://dx.doi.org/10.1016/j.heliyon.2021.e06977","http://dx.doi.org/10.1016/j.heliyon.2021.e06977")</f>
        <v>http://dx.doi.org/10.1016/j.heliyon.2021.e06977</v>
      </c>
      <c r="BG754" t="s">
        <v>74</v>
      </c>
      <c r="BH754" t="s">
        <v>8503</v>
      </c>
      <c r="BI754">
        <v>9</v>
      </c>
      <c r="BJ754" t="s">
        <v>158</v>
      </c>
      <c r="BK754" t="s">
        <v>102</v>
      </c>
      <c r="BL754" t="s">
        <v>159</v>
      </c>
      <c r="BM754" t="s">
        <v>14430</v>
      </c>
      <c r="BN754">
        <v>34027179</v>
      </c>
      <c r="BO754" t="s">
        <v>161</v>
      </c>
      <c r="BP754" t="s">
        <v>74</v>
      </c>
      <c r="BQ754" t="s">
        <v>74</v>
      </c>
      <c r="BR754" t="s">
        <v>106</v>
      </c>
      <c r="BS754" t="s">
        <v>14431</v>
      </c>
      <c r="BT754" t="str">
        <f>HYPERLINK("https%3A%2F%2Fwww.webofscience.com%2Fwos%2Fwoscc%2Ffull-record%2FWOS:000705942200022","View Full Record in Web of Science")</f>
        <v>View Full Record in Web of Science</v>
      </c>
    </row>
    <row r="755" spans="1:72" x14ac:dyDescent="0.2">
      <c r="A755" t="s">
        <v>72</v>
      </c>
      <c r="B755" t="s">
        <v>14432</v>
      </c>
      <c r="C755" t="s">
        <v>74</v>
      </c>
      <c r="D755" t="s">
        <v>74</v>
      </c>
      <c r="E755" t="s">
        <v>74</v>
      </c>
      <c r="F755" t="s">
        <v>14433</v>
      </c>
      <c r="G755" t="s">
        <v>74</v>
      </c>
      <c r="H755" t="s">
        <v>74</v>
      </c>
      <c r="I755" t="s">
        <v>14434</v>
      </c>
      <c r="J755" t="s">
        <v>2301</v>
      </c>
      <c r="K755" t="s">
        <v>74</v>
      </c>
      <c r="L755" t="s">
        <v>74</v>
      </c>
      <c r="M755" t="s">
        <v>78</v>
      </c>
      <c r="N755" t="s">
        <v>79</v>
      </c>
      <c r="O755" t="s">
        <v>74</v>
      </c>
      <c r="P755" t="s">
        <v>74</v>
      </c>
      <c r="Q755" t="s">
        <v>74</v>
      </c>
      <c r="R755" t="s">
        <v>74</v>
      </c>
      <c r="S755" t="s">
        <v>74</v>
      </c>
      <c r="T755" t="s">
        <v>14435</v>
      </c>
      <c r="U755" t="s">
        <v>14436</v>
      </c>
      <c r="V755" t="s">
        <v>14437</v>
      </c>
      <c r="W755" t="s">
        <v>14438</v>
      </c>
      <c r="X755" t="s">
        <v>14439</v>
      </c>
      <c r="Y755" t="s">
        <v>14440</v>
      </c>
      <c r="Z755" t="s">
        <v>14441</v>
      </c>
      <c r="AA755" t="s">
        <v>74</v>
      </c>
      <c r="AB755" t="s">
        <v>74</v>
      </c>
      <c r="AC755" t="s">
        <v>14442</v>
      </c>
      <c r="AD755" t="s">
        <v>14443</v>
      </c>
      <c r="AE755" t="s">
        <v>14444</v>
      </c>
      <c r="AF755" t="s">
        <v>74</v>
      </c>
      <c r="AG755">
        <v>59</v>
      </c>
      <c r="AH755">
        <v>8</v>
      </c>
      <c r="AI755">
        <v>8</v>
      </c>
      <c r="AJ755">
        <v>10</v>
      </c>
      <c r="AK755">
        <v>66</v>
      </c>
      <c r="AL755" t="s">
        <v>123</v>
      </c>
      <c r="AM755" t="s">
        <v>124</v>
      </c>
      <c r="AN755" t="s">
        <v>125</v>
      </c>
      <c r="AO755" t="s">
        <v>2313</v>
      </c>
      <c r="AP755" t="s">
        <v>2314</v>
      </c>
      <c r="AQ755" t="s">
        <v>74</v>
      </c>
      <c r="AR755" t="s">
        <v>2315</v>
      </c>
      <c r="AS755" t="s">
        <v>2316</v>
      </c>
      <c r="AT755" t="s">
        <v>227</v>
      </c>
      <c r="AU755">
        <v>2023</v>
      </c>
      <c r="AV755">
        <v>616</v>
      </c>
      <c r="AW755" t="s">
        <v>74</v>
      </c>
      <c r="AX755" t="s">
        <v>74</v>
      </c>
      <c r="AY755" t="s">
        <v>74</v>
      </c>
      <c r="AZ755" t="s">
        <v>74</v>
      </c>
      <c r="BA755" t="s">
        <v>74</v>
      </c>
      <c r="BB755" t="s">
        <v>74</v>
      </c>
      <c r="BC755" t="s">
        <v>74</v>
      </c>
      <c r="BD755">
        <v>128787</v>
      </c>
      <c r="BE755" t="s">
        <v>14445</v>
      </c>
      <c r="BF755" t="str">
        <f>HYPERLINK("http://dx.doi.org/10.1016/j.jhydrol.2022.128787","http://dx.doi.org/10.1016/j.jhydrol.2022.128787")</f>
        <v>http://dx.doi.org/10.1016/j.jhydrol.2022.128787</v>
      </c>
      <c r="BG755" t="s">
        <v>74</v>
      </c>
      <c r="BH755" t="s">
        <v>10385</v>
      </c>
      <c r="BI755">
        <v>17</v>
      </c>
      <c r="BJ755" t="s">
        <v>2320</v>
      </c>
      <c r="BK755" t="s">
        <v>102</v>
      </c>
      <c r="BL755" t="s">
        <v>2321</v>
      </c>
      <c r="BM755" t="s">
        <v>14446</v>
      </c>
      <c r="BN755" t="s">
        <v>74</v>
      </c>
      <c r="BO755" t="s">
        <v>74</v>
      </c>
      <c r="BP755" t="s">
        <v>74</v>
      </c>
      <c r="BQ755" t="s">
        <v>74</v>
      </c>
      <c r="BR755" t="s">
        <v>106</v>
      </c>
      <c r="BS755" t="s">
        <v>14447</v>
      </c>
      <c r="BT755" t="str">
        <f>HYPERLINK("https%3A%2F%2Fwww.webofscience.com%2Fwos%2Fwoscc%2Ffull-record%2FWOS:000895778100001","View Full Record in Web of Science")</f>
        <v>View Full Record in Web of Science</v>
      </c>
    </row>
    <row r="756" spans="1:72" x14ac:dyDescent="0.2">
      <c r="A756" t="s">
        <v>72</v>
      </c>
      <c r="B756" t="s">
        <v>14448</v>
      </c>
      <c r="C756" t="s">
        <v>74</v>
      </c>
      <c r="D756" t="s">
        <v>74</v>
      </c>
      <c r="E756" t="s">
        <v>74</v>
      </c>
      <c r="F756" t="s">
        <v>14449</v>
      </c>
      <c r="G756" t="s">
        <v>74</v>
      </c>
      <c r="H756" t="s">
        <v>74</v>
      </c>
      <c r="I756" t="s">
        <v>14450</v>
      </c>
      <c r="J756" t="s">
        <v>5757</v>
      </c>
      <c r="K756" t="s">
        <v>74</v>
      </c>
      <c r="L756" t="s">
        <v>74</v>
      </c>
      <c r="M756" t="s">
        <v>78</v>
      </c>
      <c r="N756" t="s">
        <v>79</v>
      </c>
      <c r="O756" t="s">
        <v>74</v>
      </c>
      <c r="P756" t="s">
        <v>74</v>
      </c>
      <c r="Q756" t="s">
        <v>74</v>
      </c>
      <c r="R756" t="s">
        <v>74</v>
      </c>
      <c r="S756" t="s">
        <v>74</v>
      </c>
      <c r="T756" t="s">
        <v>14451</v>
      </c>
      <c r="U756" t="s">
        <v>14452</v>
      </c>
      <c r="V756" t="s">
        <v>14453</v>
      </c>
      <c r="W756" t="s">
        <v>14454</v>
      </c>
      <c r="X756" t="s">
        <v>14455</v>
      </c>
      <c r="Y756" t="s">
        <v>14456</v>
      </c>
      <c r="Z756" t="s">
        <v>14457</v>
      </c>
      <c r="AA756" t="s">
        <v>14458</v>
      </c>
      <c r="AB756" t="s">
        <v>14459</v>
      </c>
      <c r="AC756" t="s">
        <v>14460</v>
      </c>
      <c r="AD756" t="s">
        <v>14461</v>
      </c>
      <c r="AE756" t="s">
        <v>14462</v>
      </c>
      <c r="AF756" t="s">
        <v>74</v>
      </c>
      <c r="AG756">
        <v>57</v>
      </c>
      <c r="AH756">
        <v>10</v>
      </c>
      <c r="AI756">
        <v>11</v>
      </c>
      <c r="AJ756">
        <v>26</v>
      </c>
      <c r="AK756">
        <v>161</v>
      </c>
      <c r="AL756" t="s">
        <v>629</v>
      </c>
      <c r="AM756" t="s">
        <v>630</v>
      </c>
      <c r="AN756" t="s">
        <v>631</v>
      </c>
      <c r="AO756" t="s">
        <v>5769</v>
      </c>
      <c r="AP756" t="s">
        <v>5770</v>
      </c>
      <c r="AQ756" t="s">
        <v>74</v>
      </c>
      <c r="AR756" t="s">
        <v>5771</v>
      </c>
      <c r="AS756" t="s">
        <v>5772</v>
      </c>
      <c r="AT756" t="s">
        <v>227</v>
      </c>
      <c r="AU756">
        <v>2025</v>
      </c>
      <c r="AV756">
        <v>147</v>
      </c>
      <c r="AW756" t="s">
        <v>74</v>
      </c>
      <c r="AX756" t="s">
        <v>74</v>
      </c>
      <c r="AY756" t="s">
        <v>74</v>
      </c>
      <c r="AZ756" t="s">
        <v>74</v>
      </c>
      <c r="BA756" t="s">
        <v>74</v>
      </c>
      <c r="BB756">
        <v>359</v>
      </c>
      <c r="BC756">
        <v>369</v>
      </c>
      <c r="BD756" t="s">
        <v>74</v>
      </c>
      <c r="BE756" t="s">
        <v>14463</v>
      </c>
      <c r="BF756" t="str">
        <f>HYPERLINK("http://dx.doi.org/10.1016/j.jes.2023.12.001","http://dx.doi.org/10.1016/j.jes.2023.12.001")</f>
        <v>http://dx.doi.org/10.1016/j.jes.2023.12.001</v>
      </c>
      <c r="BG756" t="s">
        <v>74</v>
      </c>
      <c r="BH756" t="s">
        <v>1314</v>
      </c>
      <c r="BI756">
        <v>11</v>
      </c>
      <c r="BJ756" t="s">
        <v>567</v>
      </c>
      <c r="BK756" t="s">
        <v>102</v>
      </c>
      <c r="BL756" t="s">
        <v>568</v>
      </c>
      <c r="BM756" t="s">
        <v>14464</v>
      </c>
      <c r="BN756">
        <v>39003053</v>
      </c>
      <c r="BO756" t="s">
        <v>541</v>
      </c>
      <c r="BP756" t="s">
        <v>74</v>
      </c>
      <c r="BQ756" t="s">
        <v>74</v>
      </c>
      <c r="BR756" t="s">
        <v>106</v>
      </c>
      <c r="BS756" t="s">
        <v>14465</v>
      </c>
      <c r="BT756" t="str">
        <f>HYPERLINK("https%3A%2F%2Fwww.webofscience.com%2Fwos%2Fwoscc%2Ffull-record%2FWOS:001169499200001","View Full Record in Web of Science")</f>
        <v>View Full Record in Web of Science</v>
      </c>
    </row>
    <row r="757" spans="1:72" x14ac:dyDescent="0.2">
      <c r="A757" t="s">
        <v>72</v>
      </c>
      <c r="B757" t="s">
        <v>14466</v>
      </c>
      <c r="C757" t="s">
        <v>74</v>
      </c>
      <c r="D757" t="s">
        <v>74</v>
      </c>
      <c r="E757" t="s">
        <v>74</v>
      </c>
      <c r="F757" t="s">
        <v>14467</v>
      </c>
      <c r="G757" t="s">
        <v>74</v>
      </c>
      <c r="H757" t="s">
        <v>74</v>
      </c>
      <c r="I757" t="s">
        <v>14468</v>
      </c>
      <c r="J757" t="s">
        <v>828</v>
      </c>
      <c r="K757" t="s">
        <v>74</v>
      </c>
      <c r="L757" t="s">
        <v>74</v>
      </c>
      <c r="M757" t="s">
        <v>78</v>
      </c>
      <c r="N757" t="s">
        <v>79</v>
      </c>
      <c r="O757" t="s">
        <v>74</v>
      </c>
      <c r="P757" t="s">
        <v>74</v>
      </c>
      <c r="Q757" t="s">
        <v>74</v>
      </c>
      <c r="R757" t="s">
        <v>74</v>
      </c>
      <c r="S757" t="s">
        <v>74</v>
      </c>
      <c r="T757" t="s">
        <v>14469</v>
      </c>
      <c r="U757" t="s">
        <v>74</v>
      </c>
      <c r="V757" t="s">
        <v>14470</v>
      </c>
      <c r="W757" t="s">
        <v>14471</v>
      </c>
      <c r="X757" t="s">
        <v>14472</v>
      </c>
      <c r="Y757" t="s">
        <v>14473</v>
      </c>
      <c r="Z757" t="s">
        <v>14474</v>
      </c>
      <c r="AA757" t="s">
        <v>14475</v>
      </c>
      <c r="AB757" t="s">
        <v>14476</v>
      </c>
      <c r="AC757" t="s">
        <v>74</v>
      </c>
      <c r="AD757" t="s">
        <v>74</v>
      </c>
      <c r="AE757" t="s">
        <v>74</v>
      </c>
      <c r="AF757" t="s">
        <v>74</v>
      </c>
      <c r="AG757">
        <v>15</v>
      </c>
      <c r="AH757">
        <v>7</v>
      </c>
      <c r="AI757">
        <v>9</v>
      </c>
      <c r="AJ757">
        <v>1</v>
      </c>
      <c r="AK757">
        <v>38</v>
      </c>
      <c r="AL757" t="s">
        <v>835</v>
      </c>
      <c r="AM757" t="s">
        <v>836</v>
      </c>
      <c r="AN757" t="s">
        <v>3254</v>
      </c>
      <c r="AO757" t="s">
        <v>838</v>
      </c>
      <c r="AP757" t="s">
        <v>74</v>
      </c>
      <c r="AQ757" t="s">
        <v>74</v>
      </c>
      <c r="AR757" t="s">
        <v>839</v>
      </c>
      <c r="AS757" t="s">
        <v>840</v>
      </c>
      <c r="AT757" t="s">
        <v>3255</v>
      </c>
      <c r="AU757">
        <v>2016</v>
      </c>
      <c r="AV757">
        <v>47</v>
      </c>
      <c r="AW757">
        <v>2</v>
      </c>
      <c r="AX757" t="s">
        <v>74</v>
      </c>
      <c r="AY757" t="s">
        <v>74</v>
      </c>
      <c r="AZ757" t="s">
        <v>1070</v>
      </c>
      <c r="BA757" t="s">
        <v>74</v>
      </c>
      <c r="BB757">
        <v>58</v>
      </c>
      <c r="BC757">
        <v>66</v>
      </c>
      <c r="BD757" t="s">
        <v>74</v>
      </c>
      <c r="BE757" t="s">
        <v>74</v>
      </c>
      <c r="BF757" t="s">
        <v>74</v>
      </c>
      <c r="BG757" t="s">
        <v>74</v>
      </c>
      <c r="BH757" t="s">
        <v>74</v>
      </c>
      <c r="BI757">
        <v>9</v>
      </c>
      <c r="BJ757" t="s">
        <v>842</v>
      </c>
      <c r="BK757" t="s">
        <v>102</v>
      </c>
      <c r="BL757" t="s">
        <v>103</v>
      </c>
      <c r="BM757" t="s">
        <v>14477</v>
      </c>
      <c r="BN757" t="s">
        <v>74</v>
      </c>
      <c r="BO757" t="s">
        <v>74</v>
      </c>
      <c r="BP757" t="s">
        <v>74</v>
      </c>
      <c r="BQ757" t="s">
        <v>74</v>
      </c>
      <c r="BR757" t="s">
        <v>106</v>
      </c>
      <c r="BS757" t="s">
        <v>14478</v>
      </c>
      <c r="BT757" t="str">
        <f>HYPERLINK("https%3A%2F%2Fwww.webofscience.com%2Fwos%2Fwoscc%2Ffull-record%2FWOS:000376227000009","View Full Record in Web of Science")</f>
        <v>View Full Record in Web of Science</v>
      </c>
    </row>
    <row r="758" spans="1:72" x14ac:dyDescent="0.2">
      <c r="A758" t="s">
        <v>72</v>
      </c>
      <c r="B758" t="s">
        <v>14479</v>
      </c>
      <c r="C758" t="s">
        <v>74</v>
      </c>
      <c r="D758" t="s">
        <v>74</v>
      </c>
      <c r="E758" t="s">
        <v>74</v>
      </c>
      <c r="F758" t="s">
        <v>14480</v>
      </c>
      <c r="G758" t="s">
        <v>74</v>
      </c>
      <c r="H758" t="s">
        <v>74</v>
      </c>
      <c r="I758" t="s">
        <v>14481</v>
      </c>
      <c r="J758" t="s">
        <v>1526</v>
      </c>
      <c r="K758" t="s">
        <v>74</v>
      </c>
      <c r="L758" t="s">
        <v>74</v>
      </c>
      <c r="M758" t="s">
        <v>78</v>
      </c>
      <c r="N758" t="s">
        <v>79</v>
      </c>
      <c r="O758" t="s">
        <v>74</v>
      </c>
      <c r="P758" t="s">
        <v>74</v>
      </c>
      <c r="Q758" t="s">
        <v>74</v>
      </c>
      <c r="R758" t="s">
        <v>74</v>
      </c>
      <c r="S758" t="s">
        <v>74</v>
      </c>
      <c r="T758" t="s">
        <v>14482</v>
      </c>
      <c r="U758" t="s">
        <v>14483</v>
      </c>
      <c r="V758" t="s">
        <v>14484</v>
      </c>
      <c r="W758" t="s">
        <v>14485</v>
      </c>
      <c r="X758" t="s">
        <v>14486</v>
      </c>
      <c r="Y758" t="s">
        <v>14487</v>
      </c>
      <c r="Z758" t="s">
        <v>14488</v>
      </c>
      <c r="AA758" t="s">
        <v>14489</v>
      </c>
      <c r="AB758" t="s">
        <v>14490</v>
      </c>
      <c r="AC758" t="s">
        <v>14491</v>
      </c>
      <c r="AD758" t="s">
        <v>14492</v>
      </c>
      <c r="AE758" t="s">
        <v>14493</v>
      </c>
      <c r="AF758" t="s">
        <v>74</v>
      </c>
      <c r="AG758">
        <v>68</v>
      </c>
      <c r="AH758">
        <v>31</v>
      </c>
      <c r="AI758">
        <v>34</v>
      </c>
      <c r="AJ758">
        <v>22</v>
      </c>
      <c r="AK758">
        <v>332</v>
      </c>
      <c r="AL758" t="s">
        <v>176</v>
      </c>
      <c r="AM758" t="s">
        <v>1610</v>
      </c>
      <c r="AN758" t="s">
        <v>1611</v>
      </c>
      <c r="AO758" t="s">
        <v>1538</v>
      </c>
      <c r="AP758" t="s">
        <v>1539</v>
      </c>
      <c r="AQ758" t="s">
        <v>74</v>
      </c>
      <c r="AR758" t="s">
        <v>1540</v>
      </c>
      <c r="AS758" t="s">
        <v>1541</v>
      </c>
      <c r="AT758" t="s">
        <v>1632</v>
      </c>
      <c r="AU758">
        <v>2023</v>
      </c>
      <c r="AV758">
        <v>382</v>
      </c>
      <c r="AW758" t="s">
        <v>74</v>
      </c>
      <c r="AX758" t="s">
        <v>74</v>
      </c>
      <c r="AY758" t="s">
        <v>74</v>
      </c>
      <c r="AZ758" t="s">
        <v>74</v>
      </c>
      <c r="BA758" t="s">
        <v>74</v>
      </c>
      <c r="BB758" t="s">
        <v>74</v>
      </c>
      <c r="BC758" t="s">
        <v>74</v>
      </c>
      <c r="BD758">
        <v>135268</v>
      </c>
      <c r="BE758" t="s">
        <v>14494</v>
      </c>
      <c r="BF758" t="str">
        <f>HYPERLINK("http://dx.doi.org/10.1016/j.jclepro.2022.135268","http://dx.doi.org/10.1016/j.jclepro.2022.135268")</f>
        <v>http://dx.doi.org/10.1016/j.jclepro.2022.135268</v>
      </c>
      <c r="BG758" t="s">
        <v>74</v>
      </c>
      <c r="BH758" t="s">
        <v>10385</v>
      </c>
      <c r="BI758">
        <v>10</v>
      </c>
      <c r="BJ758" t="s">
        <v>1543</v>
      </c>
      <c r="BK758" t="s">
        <v>102</v>
      </c>
      <c r="BL758" t="s">
        <v>1544</v>
      </c>
      <c r="BM758" t="s">
        <v>14495</v>
      </c>
      <c r="BN758" t="s">
        <v>74</v>
      </c>
      <c r="BO758" t="s">
        <v>541</v>
      </c>
      <c r="BP758" t="s">
        <v>74</v>
      </c>
      <c r="BQ758" t="s">
        <v>74</v>
      </c>
      <c r="BR758" t="s">
        <v>106</v>
      </c>
      <c r="BS758" t="s">
        <v>14496</v>
      </c>
      <c r="BT758" t="str">
        <f>HYPERLINK("https%3A%2F%2Fwww.webofscience.com%2Fwos%2Fwoscc%2Ffull-record%2FWOS:000917257400009","View Full Record in Web of Science")</f>
        <v>View Full Record in Web of Science</v>
      </c>
    </row>
    <row r="759" spans="1:72" x14ac:dyDescent="0.2">
      <c r="A759" t="s">
        <v>72</v>
      </c>
      <c r="B759" t="s">
        <v>14497</v>
      </c>
      <c r="C759" t="s">
        <v>74</v>
      </c>
      <c r="D759" t="s">
        <v>74</v>
      </c>
      <c r="E759" t="s">
        <v>74</v>
      </c>
      <c r="F759" t="s">
        <v>14498</v>
      </c>
      <c r="G759" t="s">
        <v>74</v>
      </c>
      <c r="H759" t="s">
        <v>74</v>
      </c>
      <c r="I759" t="s">
        <v>14499</v>
      </c>
      <c r="J759" t="s">
        <v>546</v>
      </c>
      <c r="K759" t="s">
        <v>74</v>
      </c>
      <c r="L759" t="s">
        <v>74</v>
      </c>
      <c r="M759" t="s">
        <v>78</v>
      </c>
      <c r="N759" t="s">
        <v>79</v>
      </c>
      <c r="O759" t="s">
        <v>74</v>
      </c>
      <c r="P759" t="s">
        <v>74</v>
      </c>
      <c r="Q759" t="s">
        <v>74</v>
      </c>
      <c r="R759" t="s">
        <v>74</v>
      </c>
      <c r="S759" t="s">
        <v>74</v>
      </c>
      <c r="T759" t="s">
        <v>14500</v>
      </c>
      <c r="U759" t="s">
        <v>14501</v>
      </c>
      <c r="V759" t="s">
        <v>14502</v>
      </c>
      <c r="W759" t="s">
        <v>14503</v>
      </c>
      <c r="X759" t="s">
        <v>14504</v>
      </c>
      <c r="Y759" t="s">
        <v>14505</v>
      </c>
      <c r="Z759" t="s">
        <v>14506</v>
      </c>
      <c r="AA759" t="s">
        <v>14507</v>
      </c>
      <c r="AB759" t="s">
        <v>74</v>
      </c>
      <c r="AC759" t="s">
        <v>14508</v>
      </c>
      <c r="AD759" t="s">
        <v>14509</v>
      </c>
      <c r="AE759" t="s">
        <v>14510</v>
      </c>
      <c r="AF759" t="s">
        <v>74</v>
      </c>
      <c r="AG759">
        <v>36</v>
      </c>
      <c r="AH759">
        <v>0</v>
      </c>
      <c r="AI759">
        <v>0</v>
      </c>
      <c r="AJ759">
        <v>18</v>
      </c>
      <c r="AK759">
        <v>18</v>
      </c>
      <c r="AL759" t="s">
        <v>559</v>
      </c>
      <c r="AM759" t="s">
        <v>93</v>
      </c>
      <c r="AN759" t="s">
        <v>560</v>
      </c>
      <c r="AO759" t="s">
        <v>561</v>
      </c>
      <c r="AP759" t="s">
        <v>562</v>
      </c>
      <c r="AQ759" t="s">
        <v>74</v>
      </c>
      <c r="AR759" t="s">
        <v>563</v>
      </c>
      <c r="AS759" t="s">
        <v>564</v>
      </c>
      <c r="AT759" t="s">
        <v>805</v>
      </c>
      <c r="AU759">
        <v>2025</v>
      </c>
      <c r="AV759">
        <v>394</v>
      </c>
      <c r="AW759" t="s">
        <v>74</v>
      </c>
      <c r="AX759" t="s">
        <v>74</v>
      </c>
      <c r="AY759" t="s">
        <v>74</v>
      </c>
      <c r="AZ759" t="s">
        <v>74</v>
      </c>
      <c r="BA759" t="s">
        <v>74</v>
      </c>
      <c r="BB759" t="s">
        <v>74</v>
      </c>
      <c r="BC759" t="s">
        <v>74</v>
      </c>
      <c r="BD759">
        <v>127485</v>
      </c>
      <c r="BE759" t="s">
        <v>14511</v>
      </c>
      <c r="BF759" t="str">
        <f>HYPERLINK("http://dx.doi.org/10.1016/j.jenvman.2025.127485","http://dx.doi.org/10.1016/j.jenvman.2025.127485")</f>
        <v>http://dx.doi.org/10.1016/j.jenvman.2025.127485</v>
      </c>
      <c r="BG759" t="s">
        <v>74</v>
      </c>
      <c r="BH759" t="s">
        <v>1338</v>
      </c>
      <c r="BI759">
        <v>10</v>
      </c>
      <c r="BJ759" t="s">
        <v>567</v>
      </c>
      <c r="BK759" t="s">
        <v>102</v>
      </c>
      <c r="BL759" t="s">
        <v>568</v>
      </c>
      <c r="BM759" t="s">
        <v>14512</v>
      </c>
      <c r="BN759">
        <v>41033210</v>
      </c>
      <c r="BO759" t="s">
        <v>74</v>
      </c>
      <c r="BP759" t="s">
        <v>74</v>
      </c>
      <c r="BQ759" t="s">
        <v>74</v>
      </c>
      <c r="BR759" t="s">
        <v>106</v>
      </c>
      <c r="BS759" t="s">
        <v>14513</v>
      </c>
      <c r="BT759" t="str">
        <f>HYPERLINK("https%3A%2F%2Fwww.webofscience.com%2Fwos%2Fwoscc%2Ffull-record%2FWOS:001587344900001","View Full Record in Web of Science")</f>
        <v>View Full Record in Web of Science</v>
      </c>
    </row>
    <row r="760" spans="1:72" x14ac:dyDescent="0.2">
      <c r="A760" t="s">
        <v>72</v>
      </c>
      <c r="B760" t="s">
        <v>14514</v>
      </c>
      <c r="C760" t="s">
        <v>74</v>
      </c>
      <c r="D760" t="s">
        <v>74</v>
      </c>
      <c r="E760" t="s">
        <v>74</v>
      </c>
      <c r="F760" t="s">
        <v>14515</v>
      </c>
      <c r="G760" t="s">
        <v>74</v>
      </c>
      <c r="H760" t="s">
        <v>74</v>
      </c>
      <c r="I760" t="s">
        <v>14516</v>
      </c>
      <c r="J760" t="s">
        <v>4012</v>
      </c>
      <c r="K760" t="s">
        <v>74</v>
      </c>
      <c r="L760" t="s">
        <v>74</v>
      </c>
      <c r="M760" t="s">
        <v>78</v>
      </c>
      <c r="N760" t="s">
        <v>79</v>
      </c>
      <c r="O760" t="s">
        <v>74</v>
      </c>
      <c r="P760" t="s">
        <v>74</v>
      </c>
      <c r="Q760" t="s">
        <v>74</v>
      </c>
      <c r="R760" t="s">
        <v>74</v>
      </c>
      <c r="S760" t="s">
        <v>74</v>
      </c>
      <c r="T760" t="s">
        <v>14517</v>
      </c>
      <c r="U760" t="s">
        <v>14518</v>
      </c>
      <c r="V760" t="s">
        <v>14519</v>
      </c>
      <c r="W760" t="s">
        <v>14520</v>
      </c>
      <c r="X760" t="s">
        <v>14521</v>
      </c>
      <c r="Y760" t="s">
        <v>14522</v>
      </c>
      <c r="Z760" t="s">
        <v>14523</v>
      </c>
      <c r="AA760" t="s">
        <v>14524</v>
      </c>
      <c r="AB760" t="s">
        <v>14525</v>
      </c>
      <c r="AC760" t="s">
        <v>14526</v>
      </c>
      <c r="AD760" t="s">
        <v>14527</v>
      </c>
      <c r="AE760" t="s">
        <v>14528</v>
      </c>
      <c r="AF760" t="s">
        <v>74</v>
      </c>
      <c r="AG760">
        <v>55</v>
      </c>
      <c r="AH760">
        <v>0</v>
      </c>
      <c r="AI760">
        <v>1</v>
      </c>
      <c r="AJ760">
        <v>3</v>
      </c>
      <c r="AK760">
        <v>25</v>
      </c>
      <c r="AL760" t="s">
        <v>585</v>
      </c>
      <c r="AM760" t="s">
        <v>306</v>
      </c>
      <c r="AN760" t="s">
        <v>586</v>
      </c>
      <c r="AO760" t="s">
        <v>4025</v>
      </c>
      <c r="AP760" t="s">
        <v>4026</v>
      </c>
      <c r="AQ760" t="s">
        <v>74</v>
      </c>
      <c r="AR760" t="s">
        <v>4027</v>
      </c>
      <c r="AS760" t="s">
        <v>4028</v>
      </c>
      <c r="AT760" t="s">
        <v>12596</v>
      </c>
      <c r="AU760">
        <v>2023</v>
      </c>
      <c r="AV760">
        <v>69</v>
      </c>
      <c r="AW760">
        <v>2</v>
      </c>
      <c r="AX760" t="s">
        <v>74</v>
      </c>
      <c r="AY760" t="s">
        <v>74</v>
      </c>
      <c r="AZ760" t="s">
        <v>74</v>
      </c>
      <c r="BA760" t="s">
        <v>74</v>
      </c>
      <c r="BB760">
        <v>243</v>
      </c>
      <c r="BC760">
        <v>258</v>
      </c>
      <c r="BD760" t="s">
        <v>74</v>
      </c>
      <c r="BE760" t="s">
        <v>14529</v>
      </c>
      <c r="BF760" t="str">
        <f>HYPERLINK("http://dx.doi.org/10.1080/03650340.2021.1982135","http://dx.doi.org/10.1080/03650340.2021.1982135")</f>
        <v>http://dx.doi.org/10.1080/03650340.2021.1982135</v>
      </c>
      <c r="BG760" t="s">
        <v>74</v>
      </c>
      <c r="BH760" t="s">
        <v>10157</v>
      </c>
      <c r="BI760">
        <v>16</v>
      </c>
      <c r="BJ760" t="s">
        <v>4030</v>
      </c>
      <c r="BK760" t="s">
        <v>102</v>
      </c>
      <c r="BL760" t="s">
        <v>103</v>
      </c>
      <c r="BM760" t="s">
        <v>14530</v>
      </c>
      <c r="BN760" t="s">
        <v>74</v>
      </c>
      <c r="BO760" t="s">
        <v>541</v>
      </c>
      <c r="BP760" t="s">
        <v>74</v>
      </c>
      <c r="BQ760" t="s">
        <v>74</v>
      </c>
      <c r="BR760" t="s">
        <v>106</v>
      </c>
      <c r="BS760" t="s">
        <v>14531</v>
      </c>
      <c r="BT760" t="str">
        <f>HYPERLINK("https%3A%2F%2Fwww.webofscience.com%2Fwos%2Fwoscc%2Ffull-record%2FWOS:000699866600001","View Full Record in Web of Science")</f>
        <v>View Full Record in Web of Science</v>
      </c>
    </row>
    <row r="761" spans="1:72" x14ac:dyDescent="0.2">
      <c r="A761" t="s">
        <v>72</v>
      </c>
      <c r="B761" t="s">
        <v>14532</v>
      </c>
      <c r="C761" t="s">
        <v>74</v>
      </c>
      <c r="D761" t="s">
        <v>74</v>
      </c>
      <c r="E761" t="s">
        <v>74</v>
      </c>
      <c r="F761" t="s">
        <v>14533</v>
      </c>
      <c r="G761" t="s">
        <v>74</v>
      </c>
      <c r="H761" t="s">
        <v>74</v>
      </c>
      <c r="I761" t="s">
        <v>14534</v>
      </c>
      <c r="J761" t="s">
        <v>546</v>
      </c>
      <c r="K761" t="s">
        <v>74</v>
      </c>
      <c r="L761" t="s">
        <v>74</v>
      </c>
      <c r="M761" t="s">
        <v>78</v>
      </c>
      <c r="N761" t="s">
        <v>79</v>
      </c>
      <c r="O761" t="s">
        <v>74</v>
      </c>
      <c r="P761" t="s">
        <v>74</v>
      </c>
      <c r="Q761" t="s">
        <v>74</v>
      </c>
      <c r="R761" t="s">
        <v>74</v>
      </c>
      <c r="S761" t="s">
        <v>74</v>
      </c>
      <c r="T761" t="s">
        <v>14535</v>
      </c>
      <c r="U761" t="s">
        <v>14536</v>
      </c>
      <c r="V761" t="s">
        <v>14537</v>
      </c>
      <c r="W761" t="s">
        <v>14538</v>
      </c>
      <c r="X761" t="s">
        <v>6205</v>
      </c>
      <c r="Y761" t="s">
        <v>14539</v>
      </c>
      <c r="Z761" t="s">
        <v>14540</v>
      </c>
      <c r="AA761" t="s">
        <v>14541</v>
      </c>
      <c r="AB761" t="s">
        <v>14542</v>
      </c>
      <c r="AC761" t="s">
        <v>14543</v>
      </c>
      <c r="AD761" t="s">
        <v>14544</v>
      </c>
      <c r="AE761" t="s">
        <v>14545</v>
      </c>
      <c r="AF761" t="s">
        <v>74</v>
      </c>
      <c r="AG761">
        <v>60</v>
      </c>
      <c r="AH761">
        <v>27</v>
      </c>
      <c r="AI761">
        <v>32</v>
      </c>
      <c r="AJ761">
        <v>22</v>
      </c>
      <c r="AK761">
        <v>167</v>
      </c>
      <c r="AL761" t="s">
        <v>559</v>
      </c>
      <c r="AM761" t="s">
        <v>93</v>
      </c>
      <c r="AN761" t="s">
        <v>560</v>
      </c>
      <c r="AO761" t="s">
        <v>561</v>
      </c>
      <c r="AP761" t="s">
        <v>562</v>
      </c>
      <c r="AQ761" t="s">
        <v>74</v>
      </c>
      <c r="AR761" t="s">
        <v>563</v>
      </c>
      <c r="AS761" t="s">
        <v>564</v>
      </c>
      <c r="AT761" t="s">
        <v>9778</v>
      </c>
      <c r="AU761">
        <v>2020</v>
      </c>
      <c r="AV761">
        <v>266</v>
      </c>
      <c r="AW761" t="s">
        <v>74</v>
      </c>
      <c r="AX761" t="s">
        <v>74</v>
      </c>
      <c r="AY761" t="s">
        <v>74</v>
      </c>
      <c r="AZ761" t="s">
        <v>74</v>
      </c>
      <c r="BA761" t="s">
        <v>74</v>
      </c>
      <c r="BB761" t="s">
        <v>74</v>
      </c>
      <c r="BC761" t="s">
        <v>74</v>
      </c>
      <c r="BD761">
        <v>110557</v>
      </c>
      <c r="BE761" t="s">
        <v>14546</v>
      </c>
      <c r="BF761" t="str">
        <f>HYPERLINK("http://dx.doi.org/10.1016/j.jenvman.2020.110557","http://dx.doi.org/10.1016/j.jenvman.2020.110557")</f>
        <v>http://dx.doi.org/10.1016/j.jenvman.2020.110557</v>
      </c>
      <c r="BG761" t="s">
        <v>74</v>
      </c>
      <c r="BH761" t="s">
        <v>74</v>
      </c>
      <c r="BI761">
        <v>12</v>
      </c>
      <c r="BJ761" t="s">
        <v>567</v>
      </c>
      <c r="BK761" t="s">
        <v>186</v>
      </c>
      <c r="BL761" t="s">
        <v>568</v>
      </c>
      <c r="BM761" t="s">
        <v>14547</v>
      </c>
      <c r="BN761">
        <v>32392137</v>
      </c>
      <c r="BO761" t="s">
        <v>74</v>
      </c>
      <c r="BP761" t="s">
        <v>74</v>
      </c>
      <c r="BQ761" t="s">
        <v>74</v>
      </c>
      <c r="BR761" t="s">
        <v>106</v>
      </c>
      <c r="BS761" t="s">
        <v>14548</v>
      </c>
      <c r="BT761" t="str">
        <f>HYPERLINK("https%3A%2F%2Fwww.webofscience.com%2Fwos%2Fwoscc%2Ffull-record%2FWOS:000531083400001","View Full Record in Web of Science")</f>
        <v>View Full Record in Web of Science</v>
      </c>
    </row>
    <row r="762" spans="1:72" x14ac:dyDescent="0.2">
      <c r="A762" t="s">
        <v>72</v>
      </c>
      <c r="B762" t="s">
        <v>14549</v>
      </c>
      <c r="C762" t="s">
        <v>74</v>
      </c>
      <c r="D762" t="s">
        <v>74</v>
      </c>
      <c r="E762" t="s">
        <v>74</v>
      </c>
      <c r="F762" t="s">
        <v>14550</v>
      </c>
      <c r="G762" t="s">
        <v>74</v>
      </c>
      <c r="H762" t="s">
        <v>74</v>
      </c>
      <c r="I762" t="s">
        <v>14551</v>
      </c>
      <c r="J762" t="s">
        <v>1526</v>
      </c>
      <c r="K762" t="s">
        <v>74</v>
      </c>
      <c r="L762" t="s">
        <v>74</v>
      </c>
      <c r="M762" t="s">
        <v>78</v>
      </c>
      <c r="N762" t="s">
        <v>79</v>
      </c>
      <c r="O762" t="s">
        <v>74</v>
      </c>
      <c r="P762" t="s">
        <v>74</v>
      </c>
      <c r="Q762" t="s">
        <v>74</v>
      </c>
      <c r="R762" t="s">
        <v>74</v>
      </c>
      <c r="S762" t="s">
        <v>74</v>
      </c>
      <c r="T762" t="s">
        <v>14552</v>
      </c>
      <c r="U762" t="s">
        <v>14553</v>
      </c>
      <c r="V762" t="s">
        <v>14554</v>
      </c>
      <c r="W762" t="s">
        <v>14555</v>
      </c>
      <c r="X762" t="s">
        <v>14556</v>
      </c>
      <c r="Y762" t="s">
        <v>14557</v>
      </c>
      <c r="Z762" t="s">
        <v>14558</v>
      </c>
      <c r="AA762" t="s">
        <v>14559</v>
      </c>
      <c r="AB762" t="s">
        <v>14560</v>
      </c>
      <c r="AC762" t="s">
        <v>14561</v>
      </c>
      <c r="AD762" t="s">
        <v>14562</v>
      </c>
      <c r="AE762" t="s">
        <v>14563</v>
      </c>
      <c r="AF762" t="s">
        <v>74</v>
      </c>
      <c r="AG762">
        <v>32</v>
      </c>
      <c r="AH762">
        <v>15</v>
      </c>
      <c r="AI762">
        <v>17</v>
      </c>
      <c r="AJ762">
        <v>2</v>
      </c>
      <c r="AK762">
        <v>63</v>
      </c>
      <c r="AL762" t="s">
        <v>176</v>
      </c>
      <c r="AM762" t="s">
        <v>1610</v>
      </c>
      <c r="AN762" t="s">
        <v>1611</v>
      </c>
      <c r="AO762" t="s">
        <v>1538</v>
      </c>
      <c r="AP762" t="s">
        <v>1539</v>
      </c>
      <c r="AQ762" t="s">
        <v>74</v>
      </c>
      <c r="AR762" t="s">
        <v>1540</v>
      </c>
      <c r="AS762" t="s">
        <v>1541</v>
      </c>
      <c r="AT762" t="s">
        <v>14564</v>
      </c>
      <c r="AU762">
        <v>2021</v>
      </c>
      <c r="AV762">
        <v>281</v>
      </c>
      <c r="AW762" t="s">
        <v>74</v>
      </c>
      <c r="AX762" t="s">
        <v>74</v>
      </c>
      <c r="AY762" t="s">
        <v>74</v>
      </c>
      <c r="AZ762" t="s">
        <v>74</v>
      </c>
      <c r="BA762" t="s">
        <v>74</v>
      </c>
      <c r="BB762" t="s">
        <v>74</v>
      </c>
      <c r="BC762" t="s">
        <v>74</v>
      </c>
      <c r="BD762">
        <v>125214</v>
      </c>
      <c r="BE762" t="s">
        <v>14565</v>
      </c>
      <c r="BF762" t="str">
        <f>HYPERLINK("http://dx.doi.org/10.1016/j.jclepro.2020.125214","http://dx.doi.org/10.1016/j.jclepro.2020.125214")</f>
        <v>http://dx.doi.org/10.1016/j.jclepro.2020.125214</v>
      </c>
      <c r="BG762" t="s">
        <v>74</v>
      </c>
      <c r="BH762" t="s">
        <v>74</v>
      </c>
      <c r="BI762">
        <v>17</v>
      </c>
      <c r="BJ762" t="s">
        <v>1543</v>
      </c>
      <c r="BK762" t="s">
        <v>102</v>
      </c>
      <c r="BL762" t="s">
        <v>1544</v>
      </c>
      <c r="BM762" t="s">
        <v>14566</v>
      </c>
      <c r="BN762" t="s">
        <v>74</v>
      </c>
      <c r="BO762" t="s">
        <v>74</v>
      </c>
      <c r="BP762" t="s">
        <v>74</v>
      </c>
      <c r="BQ762" t="s">
        <v>74</v>
      </c>
      <c r="BR762" t="s">
        <v>106</v>
      </c>
      <c r="BS762" t="s">
        <v>14567</v>
      </c>
      <c r="BT762" t="str">
        <f>HYPERLINK("https%3A%2F%2Fwww.webofscience.com%2Fwos%2Fwoscc%2Ffull-record%2FWOS:000609019000011","View Full Record in Web of Science")</f>
        <v>View Full Record in Web of Science</v>
      </c>
    </row>
    <row r="763" spans="1:72" x14ac:dyDescent="0.2">
      <c r="A763" t="s">
        <v>72</v>
      </c>
      <c r="B763" t="s">
        <v>14568</v>
      </c>
      <c r="C763" t="s">
        <v>74</v>
      </c>
      <c r="D763" t="s">
        <v>74</v>
      </c>
      <c r="E763" t="s">
        <v>74</v>
      </c>
      <c r="F763" t="s">
        <v>14569</v>
      </c>
      <c r="G763" t="s">
        <v>74</v>
      </c>
      <c r="H763" t="s">
        <v>74</v>
      </c>
      <c r="I763" t="s">
        <v>14570</v>
      </c>
      <c r="J763" t="s">
        <v>848</v>
      </c>
      <c r="K763" t="s">
        <v>74</v>
      </c>
      <c r="L763" t="s">
        <v>74</v>
      </c>
      <c r="M763" t="s">
        <v>78</v>
      </c>
      <c r="N763" t="s">
        <v>79</v>
      </c>
      <c r="O763" t="s">
        <v>74</v>
      </c>
      <c r="P763" t="s">
        <v>74</v>
      </c>
      <c r="Q763" t="s">
        <v>74</v>
      </c>
      <c r="R763" t="s">
        <v>74</v>
      </c>
      <c r="S763" t="s">
        <v>74</v>
      </c>
      <c r="T763" t="s">
        <v>14571</v>
      </c>
      <c r="U763" t="s">
        <v>14572</v>
      </c>
      <c r="V763" t="s">
        <v>14573</v>
      </c>
      <c r="W763" t="s">
        <v>14574</v>
      </c>
      <c r="X763" t="s">
        <v>14575</v>
      </c>
      <c r="Y763" t="s">
        <v>14576</v>
      </c>
      <c r="Z763" t="s">
        <v>14577</v>
      </c>
      <c r="AA763" t="s">
        <v>74</v>
      </c>
      <c r="AB763" t="s">
        <v>74</v>
      </c>
      <c r="AC763" t="s">
        <v>74</v>
      </c>
      <c r="AD763" t="s">
        <v>74</v>
      </c>
      <c r="AE763" t="s">
        <v>8620</v>
      </c>
      <c r="AF763" t="s">
        <v>74</v>
      </c>
      <c r="AG763">
        <v>49</v>
      </c>
      <c r="AH763">
        <v>0</v>
      </c>
      <c r="AI763">
        <v>0</v>
      </c>
      <c r="AJ763">
        <v>12</v>
      </c>
      <c r="AK763">
        <v>12</v>
      </c>
      <c r="AL763" t="s">
        <v>655</v>
      </c>
      <c r="AM763" t="s">
        <v>405</v>
      </c>
      <c r="AN763" t="s">
        <v>656</v>
      </c>
      <c r="AO763" t="s">
        <v>74</v>
      </c>
      <c r="AP763" t="s">
        <v>859</v>
      </c>
      <c r="AQ763" t="s">
        <v>74</v>
      </c>
      <c r="AR763" t="s">
        <v>860</v>
      </c>
      <c r="AS763" t="s">
        <v>861</v>
      </c>
      <c r="AT763" t="s">
        <v>14578</v>
      </c>
      <c r="AU763">
        <v>2025</v>
      </c>
      <c r="AV763">
        <v>9</v>
      </c>
      <c r="AW763" t="s">
        <v>74</v>
      </c>
      <c r="AX763" t="s">
        <v>74</v>
      </c>
      <c r="AY763" t="s">
        <v>74</v>
      </c>
      <c r="AZ763" t="s">
        <v>74</v>
      </c>
      <c r="BA763" t="s">
        <v>74</v>
      </c>
      <c r="BB763" t="s">
        <v>74</v>
      </c>
      <c r="BC763" t="s">
        <v>74</v>
      </c>
      <c r="BD763">
        <v>1569594</v>
      </c>
      <c r="BE763" t="s">
        <v>14579</v>
      </c>
      <c r="BF763" t="str">
        <f>HYPERLINK("http://dx.doi.org/10.3389/fsufs.2025.1569594","http://dx.doi.org/10.3389/fsufs.2025.1569594")</f>
        <v>http://dx.doi.org/10.3389/fsufs.2025.1569594</v>
      </c>
      <c r="BG763" t="s">
        <v>74</v>
      </c>
      <c r="BH763" t="s">
        <v>74</v>
      </c>
      <c r="BI763">
        <v>17</v>
      </c>
      <c r="BJ763" t="s">
        <v>864</v>
      </c>
      <c r="BK763" t="s">
        <v>102</v>
      </c>
      <c r="BL763" t="s">
        <v>864</v>
      </c>
      <c r="BM763" t="s">
        <v>14580</v>
      </c>
      <c r="BN763" t="s">
        <v>74</v>
      </c>
      <c r="BO763" t="s">
        <v>231</v>
      </c>
      <c r="BP763" t="s">
        <v>74</v>
      </c>
      <c r="BQ763" t="s">
        <v>74</v>
      </c>
      <c r="BR763" t="s">
        <v>106</v>
      </c>
      <c r="BS763" t="s">
        <v>14581</v>
      </c>
      <c r="BT763" t="str">
        <f>HYPERLINK("https%3A%2F%2Fwww.webofscience.com%2Fwos%2Fwoscc%2Ffull-record%2FWOS:001511226600001","View Full Record in Web of Science")</f>
        <v>View Full Record in Web of Science</v>
      </c>
    </row>
    <row r="764" spans="1:72" x14ac:dyDescent="0.2">
      <c r="A764" t="s">
        <v>72</v>
      </c>
      <c r="B764" t="s">
        <v>14582</v>
      </c>
      <c r="C764" t="s">
        <v>74</v>
      </c>
      <c r="D764" t="s">
        <v>74</v>
      </c>
      <c r="E764" t="s">
        <v>74</v>
      </c>
      <c r="F764" t="s">
        <v>14583</v>
      </c>
      <c r="G764" t="s">
        <v>74</v>
      </c>
      <c r="H764" t="s">
        <v>74</v>
      </c>
      <c r="I764" t="s">
        <v>14584</v>
      </c>
      <c r="J764" t="s">
        <v>3277</v>
      </c>
      <c r="K764" t="s">
        <v>74</v>
      </c>
      <c r="L764" t="s">
        <v>74</v>
      </c>
      <c r="M764" t="s">
        <v>78</v>
      </c>
      <c r="N764" t="s">
        <v>79</v>
      </c>
      <c r="O764" t="s">
        <v>74</v>
      </c>
      <c r="P764" t="s">
        <v>74</v>
      </c>
      <c r="Q764" t="s">
        <v>74</v>
      </c>
      <c r="R764" t="s">
        <v>74</v>
      </c>
      <c r="S764" t="s">
        <v>74</v>
      </c>
      <c r="T764" t="s">
        <v>74</v>
      </c>
      <c r="U764" t="s">
        <v>14585</v>
      </c>
      <c r="V764" t="s">
        <v>14586</v>
      </c>
      <c r="W764" t="s">
        <v>14587</v>
      </c>
      <c r="X764" t="s">
        <v>14588</v>
      </c>
      <c r="Y764" t="s">
        <v>14589</v>
      </c>
      <c r="Z764" t="s">
        <v>14590</v>
      </c>
      <c r="AA764" t="s">
        <v>14591</v>
      </c>
      <c r="AB764" t="s">
        <v>14592</v>
      </c>
      <c r="AC764" t="s">
        <v>14593</v>
      </c>
      <c r="AD764" t="s">
        <v>14594</v>
      </c>
      <c r="AE764" t="s">
        <v>14595</v>
      </c>
      <c r="AF764" t="s">
        <v>74</v>
      </c>
      <c r="AG764">
        <v>40</v>
      </c>
      <c r="AH764">
        <v>25</v>
      </c>
      <c r="AI764">
        <v>27</v>
      </c>
      <c r="AJ764">
        <v>3</v>
      </c>
      <c r="AK764">
        <v>58</v>
      </c>
      <c r="AL764" t="s">
        <v>3289</v>
      </c>
      <c r="AM764" t="s">
        <v>3290</v>
      </c>
      <c r="AN764" t="s">
        <v>3291</v>
      </c>
      <c r="AO764" t="s">
        <v>3292</v>
      </c>
      <c r="AP764" t="s">
        <v>3293</v>
      </c>
      <c r="AQ764" t="s">
        <v>74</v>
      </c>
      <c r="AR764" t="s">
        <v>3277</v>
      </c>
      <c r="AS764" t="s">
        <v>3294</v>
      </c>
      <c r="AT764" t="s">
        <v>1650</v>
      </c>
      <c r="AU764">
        <v>2016</v>
      </c>
      <c r="AV764">
        <v>13</v>
      </c>
      <c r="AW764">
        <v>22</v>
      </c>
      <c r="AX764" t="s">
        <v>74</v>
      </c>
      <c r="AY764" t="s">
        <v>74</v>
      </c>
      <c r="AZ764" t="s">
        <v>74</v>
      </c>
      <c r="BA764" t="s">
        <v>74</v>
      </c>
      <c r="BB764">
        <v>6353</v>
      </c>
      <c r="BC764">
        <v>6362</v>
      </c>
      <c r="BD764" t="s">
        <v>74</v>
      </c>
      <c r="BE764" t="s">
        <v>14596</v>
      </c>
      <c r="BF764" t="str">
        <f>HYPERLINK("http://dx.doi.org/10.5194/bg-13-6353-2016","http://dx.doi.org/10.5194/bg-13-6353-2016")</f>
        <v>http://dx.doi.org/10.5194/bg-13-6353-2016</v>
      </c>
      <c r="BG764" t="s">
        <v>74</v>
      </c>
      <c r="BH764" t="s">
        <v>74</v>
      </c>
      <c r="BI764">
        <v>10</v>
      </c>
      <c r="BJ764" t="s">
        <v>3296</v>
      </c>
      <c r="BK764" t="s">
        <v>102</v>
      </c>
      <c r="BL764" t="s">
        <v>1206</v>
      </c>
      <c r="BM764" t="s">
        <v>14597</v>
      </c>
      <c r="BN764" t="s">
        <v>74</v>
      </c>
      <c r="BO764" t="s">
        <v>161</v>
      </c>
      <c r="BP764" t="s">
        <v>74</v>
      </c>
      <c r="BQ764" t="s">
        <v>74</v>
      </c>
      <c r="BR764" t="s">
        <v>106</v>
      </c>
      <c r="BS764" t="s">
        <v>14598</v>
      </c>
      <c r="BT764" t="str">
        <f>HYPERLINK("https%3A%2F%2Fwww.webofscience.com%2Fwos%2Fwoscc%2Ffull-record%2FWOS:000388715500001","View Full Record in Web of Science")</f>
        <v>View Full Record in Web of Science</v>
      </c>
    </row>
    <row r="765" spans="1:72" x14ac:dyDescent="0.2">
      <c r="A765" t="s">
        <v>72</v>
      </c>
      <c r="B765" t="s">
        <v>14599</v>
      </c>
      <c r="C765" t="s">
        <v>74</v>
      </c>
      <c r="D765" t="s">
        <v>74</v>
      </c>
      <c r="E765" t="s">
        <v>74</v>
      </c>
      <c r="F765" t="s">
        <v>14600</v>
      </c>
      <c r="G765" t="s">
        <v>74</v>
      </c>
      <c r="H765" t="s">
        <v>74</v>
      </c>
      <c r="I765" t="s">
        <v>14601</v>
      </c>
      <c r="J765" t="s">
        <v>14602</v>
      </c>
      <c r="K765" t="s">
        <v>74</v>
      </c>
      <c r="L765" t="s">
        <v>74</v>
      </c>
      <c r="M765" t="s">
        <v>78</v>
      </c>
      <c r="N765" t="s">
        <v>79</v>
      </c>
      <c r="O765" t="s">
        <v>74</v>
      </c>
      <c r="P765" t="s">
        <v>74</v>
      </c>
      <c r="Q765" t="s">
        <v>74</v>
      </c>
      <c r="R765" t="s">
        <v>74</v>
      </c>
      <c r="S765" t="s">
        <v>74</v>
      </c>
      <c r="T765" t="s">
        <v>14603</v>
      </c>
      <c r="U765" t="s">
        <v>74</v>
      </c>
      <c r="V765" t="s">
        <v>14604</v>
      </c>
      <c r="W765" t="s">
        <v>14605</v>
      </c>
      <c r="X765" t="s">
        <v>74</v>
      </c>
      <c r="Y765" t="s">
        <v>14606</v>
      </c>
      <c r="Z765" t="s">
        <v>14607</v>
      </c>
      <c r="AA765" t="s">
        <v>74</v>
      </c>
      <c r="AB765" t="s">
        <v>74</v>
      </c>
      <c r="AC765" t="s">
        <v>74</v>
      </c>
      <c r="AD765" t="s">
        <v>74</v>
      </c>
      <c r="AE765" t="s">
        <v>74</v>
      </c>
      <c r="AF765" t="s">
        <v>74</v>
      </c>
      <c r="AG765">
        <v>12</v>
      </c>
      <c r="AH765">
        <v>1</v>
      </c>
      <c r="AI765">
        <v>1</v>
      </c>
      <c r="AJ765">
        <v>5</v>
      </c>
      <c r="AK765">
        <v>10</v>
      </c>
      <c r="AL765" t="s">
        <v>14608</v>
      </c>
      <c r="AM765" t="s">
        <v>14609</v>
      </c>
      <c r="AN765" t="s">
        <v>14610</v>
      </c>
      <c r="AO765" t="s">
        <v>14611</v>
      </c>
      <c r="AP765" t="s">
        <v>14612</v>
      </c>
      <c r="AQ765" t="s">
        <v>74</v>
      </c>
      <c r="AR765" t="s">
        <v>14613</v>
      </c>
      <c r="AS765" t="s">
        <v>14614</v>
      </c>
      <c r="AT765" t="s">
        <v>912</v>
      </c>
      <c r="AU765">
        <v>2025</v>
      </c>
      <c r="AV765">
        <v>81</v>
      </c>
      <c r="AW765">
        <v>5</v>
      </c>
      <c r="AX765" t="s">
        <v>74</v>
      </c>
      <c r="AY765" t="s">
        <v>74</v>
      </c>
      <c r="AZ765" t="s">
        <v>1070</v>
      </c>
      <c r="BA765" t="s">
        <v>74</v>
      </c>
      <c r="BB765">
        <v>2678</v>
      </c>
      <c r="BC765">
        <v>2683</v>
      </c>
      <c r="BD765" t="s">
        <v>74</v>
      </c>
      <c r="BE765" t="s">
        <v>14615</v>
      </c>
      <c r="BF765" t="str">
        <f>HYPERLINK("http://dx.doi.org/10.1002/ps.8511","http://dx.doi.org/10.1002/ps.8511")</f>
        <v>http://dx.doi.org/10.1002/ps.8511</v>
      </c>
      <c r="BG765" t="s">
        <v>74</v>
      </c>
      <c r="BH765" t="s">
        <v>1594</v>
      </c>
      <c r="BI765">
        <v>6</v>
      </c>
      <c r="BJ765" t="s">
        <v>14616</v>
      </c>
      <c r="BK765" t="s">
        <v>102</v>
      </c>
      <c r="BL765" t="s">
        <v>14617</v>
      </c>
      <c r="BM765" t="s">
        <v>14618</v>
      </c>
      <c r="BN765">
        <v>39494526</v>
      </c>
      <c r="BO765" t="s">
        <v>74</v>
      </c>
      <c r="BP765" t="s">
        <v>74</v>
      </c>
      <c r="BQ765" t="s">
        <v>74</v>
      </c>
      <c r="BR765" t="s">
        <v>106</v>
      </c>
      <c r="BS765" t="s">
        <v>14619</v>
      </c>
      <c r="BT765" t="str">
        <f>HYPERLINK("https%3A%2F%2Fwww.webofscience.com%2Fwos%2Fwoscc%2Ffull-record%2FWOS:001357445400001","View Full Record in Web of Science")</f>
        <v>View Full Record in Web of Science</v>
      </c>
    </row>
    <row r="766" spans="1:72" x14ac:dyDescent="0.2">
      <c r="A766" t="s">
        <v>72</v>
      </c>
      <c r="B766" t="s">
        <v>14620</v>
      </c>
      <c r="C766" t="s">
        <v>74</v>
      </c>
      <c r="D766" t="s">
        <v>74</v>
      </c>
      <c r="E766" t="s">
        <v>74</v>
      </c>
      <c r="F766" t="s">
        <v>14621</v>
      </c>
      <c r="G766" t="s">
        <v>74</v>
      </c>
      <c r="H766" t="s">
        <v>74</v>
      </c>
      <c r="I766" t="s">
        <v>14622</v>
      </c>
      <c r="J766" t="s">
        <v>10032</v>
      </c>
      <c r="K766" t="s">
        <v>74</v>
      </c>
      <c r="L766" t="s">
        <v>74</v>
      </c>
      <c r="M766" t="s">
        <v>78</v>
      </c>
      <c r="N766" t="s">
        <v>79</v>
      </c>
      <c r="O766" t="s">
        <v>74</v>
      </c>
      <c r="P766" t="s">
        <v>74</v>
      </c>
      <c r="Q766" t="s">
        <v>74</v>
      </c>
      <c r="R766" t="s">
        <v>74</v>
      </c>
      <c r="S766" t="s">
        <v>74</v>
      </c>
      <c r="T766" t="s">
        <v>74</v>
      </c>
      <c r="U766" t="s">
        <v>14623</v>
      </c>
      <c r="V766" t="s">
        <v>14624</v>
      </c>
      <c r="W766" t="s">
        <v>14625</v>
      </c>
      <c r="X766" t="s">
        <v>14626</v>
      </c>
      <c r="Y766" t="s">
        <v>14627</v>
      </c>
      <c r="Z766" t="s">
        <v>14628</v>
      </c>
      <c r="AA766" t="s">
        <v>14629</v>
      </c>
      <c r="AB766" t="s">
        <v>14630</v>
      </c>
      <c r="AC766" t="s">
        <v>14631</v>
      </c>
      <c r="AD766" t="s">
        <v>14632</v>
      </c>
      <c r="AE766" t="s">
        <v>14633</v>
      </c>
      <c r="AF766" t="s">
        <v>74</v>
      </c>
      <c r="AG766">
        <v>70</v>
      </c>
      <c r="AH766">
        <v>22</v>
      </c>
      <c r="AI766">
        <v>25</v>
      </c>
      <c r="AJ766">
        <v>2</v>
      </c>
      <c r="AK766">
        <v>44</v>
      </c>
      <c r="AL766" t="s">
        <v>3289</v>
      </c>
      <c r="AM766" t="s">
        <v>3290</v>
      </c>
      <c r="AN766" t="s">
        <v>3291</v>
      </c>
      <c r="AO766" t="s">
        <v>10044</v>
      </c>
      <c r="AP766" t="s">
        <v>10045</v>
      </c>
      <c r="AQ766" t="s">
        <v>74</v>
      </c>
      <c r="AR766" t="s">
        <v>10046</v>
      </c>
      <c r="AS766" t="s">
        <v>10047</v>
      </c>
      <c r="AT766" t="s">
        <v>12017</v>
      </c>
      <c r="AU766">
        <v>2020</v>
      </c>
      <c r="AV766">
        <v>20</v>
      </c>
      <c r="AW766">
        <v>12</v>
      </c>
      <c r="AX766" t="s">
        <v>74</v>
      </c>
      <c r="AY766" t="s">
        <v>74</v>
      </c>
      <c r="AZ766" t="s">
        <v>74</v>
      </c>
      <c r="BA766" t="s">
        <v>74</v>
      </c>
      <c r="BB766">
        <v>7459</v>
      </c>
      <c r="BC766">
        <v>7472</v>
      </c>
      <c r="BD766" t="s">
        <v>74</v>
      </c>
      <c r="BE766" t="s">
        <v>14634</v>
      </c>
      <c r="BF766" t="str">
        <f>HYPERLINK("http://dx.doi.org/10.5194/acp-20-7459-2020","http://dx.doi.org/10.5194/acp-20-7459-2020")</f>
        <v>http://dx.doi.org/10.5194/acp-20-7459-2020</v>
      </c>
      <c r="BG766" t="s">
        <v>74</v>
      </c>
      <c r="BH766" t="s">
        <v>74</v>
      </c>
      <c r="BI766">
        <v>14</v>
      </c>
      <c r="BJ766" t="s">
        <v>782</v>
      </c>
      <c r="BK766" t="s">
        <v>102</v>
      </c>
      <c r="BL766" t="s">
        <v>783</v>
      </c>
      <c r="BM766" t="s">
        <v>14635</v>
      </c>
      <c r="BN766" t="s">
        <v>74</v>
      </c>
      <c r="BO766" t="s">
        <v>161</v>
      </c>
      <c r="BP766" t="s">
        <v>74</v>
      </c>
      <c r="BQ766" t="s">
        <v>74</v>
      </c>
      <c r="BR766" t="s">
        <v>106</v>
      </c>
      <c r="BS766" t="s">
        <v>14636</v>
      </c>
      <c r="BT766" t="str">
        <f>HYPERLINK("https%3A%2F%2Fwww.webofscience.com%2Fwos%2Fwoscc%2Ffull-record%2FWOS:000543796900003","View Full Record in Web of Science")</f>
        <v>View Full Record in Web of Science</v>
      </c>
    </row>
    <row r="767" spans="1:72" x14ac:dyDescent="0.2">
      <c r="A767" t="s">
        <v>72</v>
      </c>
      <c r="B767" t="s">
        <v>14637</v>
      </c>
      <c r="C767" t="s">
        <v>74</v>
      </c>
      <c r="D767" t="s">
        <v>74</v>
      </c>
      <c r="E767" t="s">
        <v>74</v>
      </c>
      <c r="F767" t="s">
        <v>14638</v>
      </c>
      <c r="G767" t="s">
        <v>74</v>
      </c>
      <c r="H767" t="s">
        <v>74</v>
      </c>
      <c r="I767" t="s">
        <v>14639</v>
      </c>
      <c r="J767" t="s">
        <v>111</v>
      </c>
      <c r="K767" t="s">
        <v>74</v>
      </c>
      <c r="L767" t="s">
        <v>74</v>
      </c>
      <c r="M767" t="s">
        <v>78</v>
      </c>
      <c r="N767" t="s">
        <v>79</v>
      </c>
      <c r="O767" t="s">
        <v>74</v>
      </c>
      <c r="P767" t="s">
        <v>74</v>
      </c>
      <c r="Q767" t="s">
        <v>74</v>
      </c>
      <c r="R767" t="s">
        <v>74</v>
      </c>
      <c r="S767" t="s">
        <v>74</v>
      </c>
      <c r="T767" t="s">
        <v>14640</v>
      </c>
      <c r="U767" t="s">
        <v>14641</v>
      </c>
      <c r="V767" t="s">
        <v>14642</v>
      </c>
      <c r="W767" t="s">
        <v>14643</v>
      </c>
      <c r="X767" t="s">
        <v>14644</v>
      </c>
      <c r="Y767" t="s">
        <v>14645</v>
      </c>
      <c r="Z767" t="s">
        <v>14646</v>
      </c>
      <c r="AA767" t="s">
        <v>14647</v>
      </c>
      <c r="AB767" t="s">
        <v>14648</v>
      </c>
      <c r="AC767" t="s">
        <v>14649</v>
      </c>
      <c r="AD767" t="s">
        <v>14649</v>
      </c>
      <c r="AE767" t="s">
        <v>14650</v>
      </c>
      <c r="AF767" t="s">
        <v>74</v>
      </c>
      <c r="AG767">
        <v>61</v>
      </c>
      <c r="AH767">
        <v>18</v>
      </c>
      <c r="AI767">
        <v>20</v>
      </c>
      <c r="AJ767">
        <v>6</v>
      </c>
      <c r="AK767">
        <v>37</v>
      </c>
      <c r="AL767" t="s">
        <v>123</v>
      </c>
      <c r="AM767" t="s">
        <v>124</v>
      </c>
      <c r="AN767" t="s">
        <v>125</v>
      </c>
      <c r="AO767" t="s">
        <v>126</v>
      </c>
      <c r="AP767" t="s">
        <v>127</v>
      </c>
      <c r="AQ767" t="s">
        <v>74</v>
      </c>
      <c r="AR767" t="s">
        <v>128</v>
      </c>
      <c r="AS767" t="s">
        <v>129</v>
      </c>
      <c r="AT767" t="s">
        <v>3405</v>
      </c>
      <c r="AU767">
        <v>2021</v>
      </c>
      <c r="AV767">
        <v>499</v>
      </c>
      <c r="AW767" t="s">
        <v>74</v>
      </c>
      <c r="AX767" t="s">
        <v>74</v>
      </c>
      <c r="AY767" t="s">
        <v>74</v>
      </c>
      <c r="AZ767" t="s">
        <v>74</v>
      </c>
      <c r="BA767" t="s">
        <v>74</v>
      </c>
      <c r="BB767" t="s">
        <v>74</v>
      </c>
      <c r="BC767" t="s">
        <v>74</v>
      </c>
      <c r="BD767">
        <v>119565</v>
      </c>
      <c r="BE767" t="s">
        <v>14651</v>
      </c>
      <c r="BF767" t="str">
        <f>HYPERLINK("http://dx.doi.org/10.1016/j.foreco.2021.119565","http://dx.doi.org/10.1016/j.foreco.2021.119565")</f>
        <v>http://dx.doi.org/10.1016/j.foreco.2021.119565</v>
      </c>
      <c r="BG767" t="s">
        <v>74</v>
      </c>
      <c r="BH767" t="s">
        <v>2901</v>
      </c>
      <c r="BI767">
        <v>10</v>
      </c>
      <c r="BJ767" t="s">
        <v>132</v>
      </c>
      <c r="BK767" t="s">
        <v>102</v>
      </c>
      <c r="BL767" t="s">
        <v>132</v>
      </c>
      <c r="BM767" t="s">
        <v>14652</v>
      </c>
      <c r="BN767" t="s">
        <v>74</v>
      </c>
      <c r="BO767" t="s">
        <v>74</v>
      </c>
      <c r="BP767" t="s">
        <v>74</v>
      </c>
      <c r="BQ767" t="s">
        <v>74</v>
      </c>
      <c r="BR767" t="s">
        <v>106</v>
      </c>
      <c r="BS767" t="s">
        <v>14653</v>
      </c>
      <c r="BT767" t="str">
        <f>HYPERLINK("https%3A%2F%2Fwww.webofscience.com%2Fwos%2Fwoscc%2Ffull-record%2FWOS:000696910300009","View Full Record in Web of Science")</f>
        <v>View Full Record in Web of Science</v>
      </c>
    </row>
    <row r="768" spans="1:72" x14ac:dyDescent="0.2">
      <c r="A768" t="s">
        <v>72</v>
      </c>
      <c r="B768" t="s">
        <v>14654</v>
      </c>
      <c r="C768" t="s">
        <v>74</v>
      </c>
      <c r="D768" t="s">
        <v>74</v>
      </c>
      <c r="E768" t="s">
        <v>74</v>
      </c>
      <c r="F768" t="s">
        <v>14655</v>
      </c>
      <c r="G768" t="s">
        <v>74</v>
      </c>
      <c r="H768" t="s">
        <v>74</v>
      </c>
      <c r="I768" t="s">
        <v>14656</v>
      </c>
      <c r="J768" t="s">
        <v>1231</v>
      </c>
      <c r="K768" t="s">
        <v>74</v>
      </c>
      <c r="L768" t="s">
        <v>74</v>
      </c>
      <c r="M768" t="s">
        <v>78</v>
      </c>
      <c r="N768" t="s">
        <v>79</v>
      </c>
      <c r="O768" t="s">
        <v>74</v>
      </c>
      <c r="P768" t="s">
        <v>74</v>
      </c>
      <c r="Q768" t="s">
        <v>74</v>
      </c>
      <c r="R768" t="s">
        <v>74</v>
      </c>
      <c r="S768" t="s">
        <v>74</v>
      </c>
      <c r="T768" t="s">
        <v>14657</v>
      </c>
      <c r="U768" t="s">
        <v>14658</v>
      </c>
      <c r="V768" t="s">
        <v>14659</v>
      </c>
      <c r="W768" t="s">
        <v>14660</v>
      </c>
      <c r="X768" t="s">
        <v>14661</v>
      </c>
      <c r="Y768" t="s">
        <v>14662</v>
      </c>
      <c r="Z768" t="s">
        <v>7258</v>
      </c>
      <c r="AA768" t="s">
        <v>7259</v>
      </c>
      <c r="AB768" t="s">
        <v>14663</v>
      </c>
      <c r="AC768" t="s">
        <v>14664</v>
      </c>
      <c r="AD768" t="s">
        <v>14664</v>
      </c>
      <c r="AE768" t="s">
        <v>14665</v>
      </c>
      <c r="AF768" t="s">
        <v>74</v>
      </c>
      <c r="AG768">
        <v>43</v>
      </c>
      <c r="AH768">
        <v>35</v>
      </c>
      <c r="AI768">
        <v>35</v>
      </c>
      <c r="AJ768">
        <v>1</v>
      </c>
      <c r="AK768">
        <v>45</v>
      </c>
      <c r="AL768" t="s">
        <v>1242</v>
      </c>
      <c r="AM768" t="s">
        <v>1243</v>
      </c>
      <c r="AN768" t="s">
        <v>1244</v>
      </c>
      <c r="AO768" t="s">
        <v>1245</v>
      </c>
      <c r="AP768" t="s">
        <v>1246</v>
      </c>
      <c r="AQ768" t="s">
        <v>74</v>
      </c>
      <c r="AR768" t="s">
        <v>1247</v>
      </c>
      <c r="AS768" t="s">
        <v>1248</v>
      </c>
      <c r="AT768" t="s">
        <v>183</v>
      </c>
      <c r="AU768">
        <v>2019</v>
      </c>
      <c r="AV768">
        <v>26</v>
      </c>
      <c r="AW768">
        <v>19</v>
      </c>
      <c r="AX768" t="s">
        <v>74</v>
      </c>
      <c r="AY768" t="s">
        <v>74</v>
      </c>
      <c r="AZ768" t="s">
        <v>1070</v>
      </c>
      <c r="BA768" t="s">
        <v>74</v>
      </c>
      <c r="BB768">
        <v>19250</v>
      </c>
      <c r="BC768">
        <v>19260</v>
      </c>
      <c r="BD768" t="s">
        <v>74</v>
      </c>
      <c r="BE768" t="s">
        <v>14666</v>
      </c>
      <c r="BF768" t="str">
        <f>HYPERLINK("http://dx.doi.org/10.1007/s11356-019-05292-x","http://dx.doi.org/10.1007/s11356-019-05292-x")</f>
        <v>http://dx.doi.org/10.1007/s11356-019-05292-x</v>
      </c>
      <c r="BG768" t="s">
        <v>74</v>
      </c>
      <c r="BH768" t="s">
        <v>74</v>
      </c>
      <c r="BI768">
        <v>11</v>
      </c>
      <c r="BJ768" t="s">
        <v>567</v>
      </c>
      <c r="BK768" t="s">
        <v>102</v>
      </c>
      <c r="BL768" t="s">
        <v>568</v>
      </c>
      <c r="BM768" t="s">
        <v>14667</v>
      </c>
      <c r="BN768">
        <v>31069652</v>
      </c>
      <c r="BO768" t="s">
        <v>74</v>
      </c>
      <c r="BP768" t="s">
        <v>74</v>
      </c>
      <c r="BQ768" t="s">
        <v>74</v>
      </c>
      <c r="BR768" t="s">
        <v>106</v>
      </c>
      <c r="BS768" t="s">
        <v>14668</v>
      </c>
      <c r="BT768" t="str">
        <f>HYPERLINK("https%3A%2F%2Fwww.webofscience.com%2Fwos%2Fwoscc%2Ffull-record%2FWOS:000473041000025","View Full Record in Web of Science")</f>
        <v>View Full Record in Web of Science</v>
      </c>
    </row>
    <row r="769" spans="1:72" x14ac:dyDescent="0.2">
      <c r="A769" t="s">
        <v>72</v>
      </c>
      <c r="B769" t="s">
        <v>14669</v>
      </c>
      <c r="C769" t="s">
        <v>74</v>
      </c>
      <c r="D769" t="s">
        <v>74</v>
      </c>
      <c r="E769" t="s">
        <v>74</v>
      </c>
      <c r="F769" t="s">
        <v>14670</v>
      </c>
      <c r="G769" t="s">
        <v>74</v>
      </c>
      <c r="H769" t="s">
        <v>74</v>
      </c>
      <c r="I769" t="s">
        <v>14671</v>
      </c>
      <c r="J769" t="s">
        <v>2236</v>
      </c>
      <c r="K769" t="s">
        <v>74</v>
      </c>
      <c r="L769" t="s">
        <v>74</v>
      </c>
      <c r="M769" t="s">
        <v>78</v>
      </c>
      <c r="N769" t="s">
        <v>79</v>
      </c>
      <c r="O769" t="s">
        <v>74</v>
      </c>
      <c r="P769" t="s">
        <v>74</v>
      </c>
      <c r="Q769" t="s">
        <v>74</v>
      </c>
      <c r="R769" t="s">
        <v>74</v>
      </c>
      <c r="S769" t="s">
        <v>74</v>
      </c>
      <c r="T769" t="s">
        <v>14672</v>
      </c>
      <c r="U769" t="s">
        <v>14673</v>
      </c>
      <c r="V769" t="s">
        <v>14674</v>
      </c>
      <c r="W769" t="s">
        <v>14675</v>
      </c>
      <c r="X769" t="s">
        <v>14676</v>
      </c>
      <c r="Y769" t="s">
        <v>6042</v>
      </c>
      <c r="Z769" t="s">
        <v>14677</v>
      </c>
      <c r="AA769" t="s">
        <v>14678</v>
      </c>
      <c r="AB769" t="s">
        <v>14679</v>
      </c>
      <c r="AC769" t="s">
        <v>14680</v>
      </c>
      <c r="AD769" t="s">
        <v>14681</v>
      </c>
      <c r="AE769" t="s">
        <v>14682</v>
      </c>
      <c r="AF769" t="s">
        <v>74</v>
      </c>
      <c r="AG769">
        <v>57</v>
      </c>
      <c r="AH769">
        <v>61</v>
      </c>
      <c r="AI769">
        <v>71</v>
      </c>
      <c r="AJ769">
        <v>6</v>
      </c>
      <c r="AK769">
        <v>53</v>
      </c>
      <c r="AL769" t="s">
        <v>176</v>
      </c>
      <c r="AM769" t="s">
        <v>177</v>
      </c>
      <c r="AN769" t="s">
        <v>178</v>
      </c>
      <c r="AO769" t="s">
        <v>2248</v>
      </c>
      <c r="AP769" t="s">
        <v>2249</v>
      </c>
      <c r="AQ769" t="s">
        <v>74</v>
      </c>
      <c r="AR769" t="s">
        <v>2250</v>
      </c>
      <c r="AS769" t="s">
        <v>2251</v>
      </c>
      <c r="AT769" t="s">
        <v>227</v>
      </c>
      <c r="AU769">
        <v>2020</v>
      </c>
      <c r="AV769">
        <v>177</v>
      </c>
      <c r="AW769" t="s">
        <v>74</v>
      </c>
      <c r="AX769" t="s">
        <v>74</v>
      </c>
      <c r="AY769" t="s">
        <v>74</v>
      </c>
      <c r="AZ769" t="s">
        <v>74</v>
      </c>
      <c r="BA769" t="s">
        <v>74</v>
      </c>
      <c r="BB769" t="s">
        <v>74</v>
      </c>
      <c r="BC769" t="s">
        <v>74</v>
      </c>
      <c r="BD769">
        <v>102691</v>
      </c>
      <c r="BE769" t="s">
        <v>14683</v>
      </c>
      <c r="BF769" t="str">
        <f>HYPERLINK("http://dx.doi.org/10.1016/j.agsy.2019.102691","http://dx.doi.org/10.1016/j.agsy.2019.102691")</f>
        <v>http://dx.doi.org/10.1016/j.agsy.2019.102691</v>
      </c>
      <c r="BG769" t="s">
        <v>74</v>
      </c>
      <c r="BH769" t="s">
        <v>74</v>
      </c>
      <c r="BI769">
        <v>12</v>
      </c>
      <c r="BJ769" t="s">
        <v>101</v>
      </c>
      <c r="BK769" t="s">
        <v>186</v>
      </c>
      <c r="BL769" t="s">
        <v>103</v>
      </c>
      <c r="BM769" t="s">
        <v>14684</v>
      </c>
      <c r="BN769" t="s">
        <v>74</v>
      </c>
      <c r="BO769" t="s">
        <v>2296</v>
      </c>
      <c r="BP769" t="s">
        <v>74</v>
      </c>
      <c r="BQ769" t="s">
        <v>74</v>
      </c>
      <c r="BR769" t="s">
        <v>106</v>
      </c>
      <c r="BS769" t="s">
        <v>14685</v>
      </c>
      <c r="BT769" t="str">
        <f>HYPERLINK("https%3A%2F%2Fwww.webofscience.com%2Fwos%2Fwoscc%2Ffull-record%2FWOS:000524974600012","View Full Record in Web of Science")</f>
        <v>View Full Record in Web of Science</v>
      </c>
    </row>
    <row r="770" spans="1:72" x14ac:dyDescent="0.2">
      <c r="A770" t="s">
        <v>72</v>
      </c>
      <c r="B770" t="s">
        <v>14686</v>
      </c>
      <c r="C770" t="s">
        <v>74</v>
      </c>
      <c r="D770" t="s">
        <v>74</v>
      </c>
      <c r="E770" t="s">
        <v>74</v>
      </c>
      <c r="F770" t="s">
        <v>14687</v>
      </c>
      <c r="G770" t="s">
        <v>74</v>
      </c>
      <c r="H770" t="s">
        <v>74</v>
      </c>
      <c r="I770" t="s">
        <v>14688</v>
      </c>
      <c r="J770" t="s">
        <v>2647</v>
      </c>
      <c r="K770" t="s">
        <v>74</v>
      </c>
      <c r="L770" t="s">
        <v>74</v>
      </c>
      <c r="M770" t="s">
        <v>78</v>
      </c>
      <c r="N770" t="s">
        <v>79</v>
      </c>
      <c r="O770" t="s">
        <v>74</v>
      </c>
      <c r="P770" t="s">
        <v>74</v>
      </c>
      <c r="Q770" t="s">
        <v>74</v>
      </c>
      <c r="R770" t="s">
        <v>74</v>
      </c>
      <c r="S770" t="s">
        <v>74</v>
      </c>
      <c r="T770" t="s">
        <v>14689</v>
      </c>
      <c r="U770" t="s">
        <v>14690</v>
      </c>
      <c r="V770" t="s">
        <v>14691</v>
      </c>
      <c r="W770" t="s">
        <v>14692</v>
      </c>
      <c r="X770" t="s">
        <v>2652</v>
      </c>
      <c r="Y770" t="s">
        <v>14693</v>
      </c>
      <c r="Z770" t="s">
        <v>14694</v>
      </c>
      <c r="AA770" t="s">
        <v>14695</v>
      </c>
      <c r="AB770" t="s">
        <v>74</v>
      </c>
      <c r="AC770" t="s">
        <v>14696</v>
      </c>
      <c r="AD770" t="s">
        <v>14697</v>
      </c>
      <c r="AE770" t="s">
        <v>14698</v>
      </c>
      <c r="AF770" t="s">
        <v>74</v>
      </c>
      <c r="AG770">
        <v>43</v>
      </c>
      <c r="AH770">
        <v>19</v>
      </c>
      <c r="AI770">
        <v>21</v>
      </c>
      <c r="AJ770">
        <v>30</v>
      </c>
      <c r="AK770">
        <v>171</v>
      </c>
      <c r="AL770" t="s">
        <v>123</v>
      </c>
      <c r="AM770" t="s">
        <v>124</v>
      </c>
      <c r="AN770" t="s">
        <v>125</v>
      </c>
      <c r="AO770" t="s">
        <v>2660</v>
      </c>
      <c r="AP770" t="s">
        <v>2661</v>
      </c>
      <c r="AQ770" t="s">
        <v>74</v>
      </c>
      <c r="AR770" t="s">
        <v>2662</v>
      </c>
      <c r="AS770" t="s">
        <v>2663</v>
      </c>
      <c r="AT770" t="s">
        <v>4005</v>
      </c>
      <c r="AU770">
        <v>2022</v>
      </c>
      <c r="AV770">
        <v>274</v>
      </c>
      <c r="AW770" t="s">
        <v>74</v>
      </c>
      <c r="AX770" t="s">
        <v>74</v>
      </c>
      <c r="AY770" t="s">
        <v>74</v>
      </c>
      <c r="AZ770" t="s">
        <v>74</v>
      </c>
      <c r="BA770" t="s">
        <v>74</v>
      </c>
      <c r="BB770" t="s">
        <v>74</v>
      </c>
      <c r="BC770" t="s">
        <v>74</v>
      </c>
      <c r="BD770">
        <v>107954</v>
      </c>
      <c r="BE770" t="s">
        <v>14699</v>
      </c>
      <c r="BF770" t="str">
        <f>HYPERLINK("http://dx.doi.org/10.1016/j.agwat.2022.107954","http://dx.doi.org/10.1016/j.agwat.2022.107954")</f>
        <v>http://dx.doi.org/10.1016/j.agwat.2022.107954</v>
      </c>
      <c r="BG770" t="s">
        <v>74</v>
      </c>
      <c r="BH770" t="s">
        <v>14700</v>
      </c>
      <c r="BI770">
        <v>10</v>
      </c>
      <c r="BJ770" t="s">
        <v>2665</v>
      </c>
      <c r="BK770" t="s">
        <v>102</v>
      </c>
      <c r="BL770" t="s">
        <v>2666</v>
      </c>
      <c r="BM770" t="s">
        <v>14701</v>
      </c>
      <c r="BN770" t="s">
        <v>74</v>
      </c>
      <c r="BO770" t="s">
        <v>916</v>
      </c>
      <c r="BP770" t="s">
        <v>74</v>
      </c>
      <c r="BQ770" t="s">
        <v>74</v>
      </c>
      <c r="BR770" t="s">
        <v>106</v>
      </c>
      <c r="BS770" t="s">
        <v>14702</v>
      </c>
      <c r="BT770" t="str">
        <f>HYPERLINK("https%3A%2F%2Fwww.webofscience.com%2Fwos%2Fwoscc%2Ffull-record%2FWOS:000876852000010","View Full Record in Web of Science")</f>
        <v>View Full Record in Web of Science</v>
      </c>
    </row>
    <row r="771" spans="1:72" x14ac:dyDescent="0.2">
      <c r="A771" t="s">
        <v>72</v>
      </c>
      <c r="B771" t="s">
        <v>14703</v>
      </c>
      <c r="C771" t="s">
        <v>74</v>
      </c>
      <c r="D771" t="s">
        <v>74</v>
      </c>
      <c r="E771" t="s">
        <v>74</v>
      </c>
      <c r="F771" t="s">
        <v>14704</v>
      </c>
      <c r="G771" t="s">
        <v>74</v>
      </c>
      <c r="H771" t="s">
        <v>74</v>
      </c>
      <c r="I771" t="s">
        <v>14705</v>
      </c>
      <c r="J771" t="s">
        <v>468</v>
      </c>
      <c r="K771" t="s">
        <v>74</v>
      </c>
      <c r="L771" t="s">
        <v>74</v>
      </c>
      <c r="M771" t="s">
        <v>78</v>
      </c>
      <c r="N771" t="s">
        <v>79</v>
      </c>
      <c r="O771" t="s">
        <v>74</v>
      </c>
      <c r="P771" t="s">
        <v>74</v>
      </c>
      <c r="Q771" t="s">
        <v>74</v>
      </c>
      <c r="R771" t="s">
        <v>74</v>
      </c>
      <c r="S771" t="s">
        <v>74</v>
      </c>
      <c r="T771" t="s">
        <v>14706</v>
      </c>
      <c r="U771" t="s">
        <v>14707</v>
      </c>
      <c r="V771" t="s">
        <v>14708</v>
      </c>
      <c r="W771" t="s">
        <v>14709</v>
      </c>
      <c r="X771" t="s">
        <v>14710</v>
      </c>
      <c r="Y771" t="s">
        <v>14711</v>
      </c>
      <c r="Z771" t="s">
        <v>14712</v>
      </c>
      <c r="AA771" t="s">
        <v>74</v>
      </c>
      <c r="AB771" t="s">
        <v>74</v>
      </c>
      <c r="AC771" t="s">
        <v>14713</v>
      </c>
      <c r="AD771" t="s">
        <v>14714</v>
      </c>
      <c r="AE771" t="s">
        <v>14715</v>
      </c>
      <c r="AF771" t="s">
        <v>74</v>
      </c>
      <c r="AG771">
        <v>42</v>
      </c>
      <c r="AH771">
        <v>8</v>
      </c>
      <c r="AI771">
        <v>9</v>
      </c>
      <c r="AJ771">
        <v>7</v>
      </c>
      <c r="AK771">
        <v>67</v>
      </c>
      <c r="AL771" t="s">
        <v>222</v>
      </c>
      <c r="AM771" t="s">
        <v>223</v>
      </c>
      <c r="AN771" t="s">
        <v>224</v>
      </c>
      <c r="AO771" t="s">
        <v>74</v>
      </c>
      <c r="AP771" t="s">
        <v>479</v>
      </c>
      <c r="AQ771" t="s">
        <v>74</v>
      </c>
      <c r="AR771" t="s">
        <v>480</v>
      </c>
      <c r="AS771" t="s">
        <v>481</v>
      </c>
      <c r="AT771" t="s">
        <v>227</v>
      </c>
      <c r="AU771">
        <v>2023</v>
      </c>
      <c r="AV771">
        <v>15</v>
      </c>
      <c r="AW771">
        <v>2</v>
      </c>
      <c r="AX771" t="s">
        <v>74</v>
      </c>
      <c r="AY771" t="s">
        <v>74</v>
      </c>
      <c r="AZ771" t="s">
        <v>74</v>
      </c>
      <c r="BA771" t="s">
        <v>74</v>
      </c>
      <c r="BB771" t="s">
        <v>74</v>
      </c>
      <c r="BC771" t="s">
        <v>74</v>
      </c>
      <c r="BD771">
        <v>913</v>
      </c>
      <c r="BE771" t="s">
        <v>14716</v>
      </c>
      <c r="BF771" t="str">
        <f>HYPERLINK("http://dx.doi.org/10.3390/su15020913","http://dx.doi.org/10.3390/su15020913")</f>
        <v>http://dx.doi.org/10.3390/su15020913</v>
      </c>
      <c r="BG771" t="s">
        <v>74</v>
      </c>
      <c r="BH771" t="s">
        <v>74</v>
      </c>
      <c r="BI771">
        <v>19</v>
      </c>
      <c r="BJ771" t="s">
        <v>484</v>
      </c>
      <c r="BK771" t="s">
        <v>186</v>
      </c>
      <c r="BL771" t="s">
        <v>485</v>
      </c>
      <c r="BM771" t="s">
        <v>14717</v>
      </c>
      <c r="BN771" t="s">
        <v>74</v>
      </c>
      <c r="BO771" t="s">
        <v>161</v>
      </c>
      <c r="BP771" t="s">
        <v>74</v>
      </c>
      <c r="BQ771" t="s">
        <v>74</v>
      </c>
      <c r="BR771" t="s">
        <v>106</v>
      </c>
      <c r="BS771" t="s">
        <v>14718</v>
      </c>
      <c r="BT771" t="str">
        <f>HYPERLINK("https%3A%2F%2Fwww.webofscience.com%2Fwos%2Fwoscc%2Ffull-record%2FWOS:000916356400001","View Full Record in Web of Science")</f>
        <v>View Full Record in Web of Science</v>
      </c>
    </row>
    <row r="772" spans="1:72" x14ac:dyDescent="0.2">
      <c r="A772" t="s">
        <v>72</v>
      </c>
      <c r="B772" t="s">
        <v>14719</v>
      </c>
      <c r="C772" t="s">
        <v>74</v>
      </c>
      <c r="D772" t="s">
        <v>74</v>
      </c>
      <c r="E772" t="s">
        <v>74</v>
      </c>
      <c r="F772" t="s">
        <v>14720</v>
      </c>
      <c r="G772" t="s">
        <v>74</v>
      </c>
      <c r="H772" t="s">
        <v>74</v>
      </c>
      <c r="I772" t="s">
        <v>14721</v>
      </c>
      <c r="J772" t="s">
        <v>1526</v>
      </c>
      <c r="K772" t="s">
        <v>74</v>
      </c>
      <c r="L772" t="s">
        <v>74</v>
      </c>
      <c r="M772" t="s">
        <v>78</v>
      </c>
      <c r="N772" t="s">
        <v>79</v>
      </c>
      <c r="O772" t="s">
        <v>74</v>
      </c>
      <c r="P772" t="s">
        <v>74</v>
      </c>
      <c r="Q772" t="s">
        <v>74</v>
      </c>
      <c r="R772" t="s">
        <v>74</v>
      </c>
      <c r="S772" t="s">
        <v>74</v>
      </c>
      <c r="T772" t="s">
        <v>14722</v>
      </c>
      <c r="U772" t="s">
        <v>14723</v>
      </c>
      <c r="V772" t="s">
        <v>14724</v>
      </c>
      <c r="W772" t="s">
        <v>14725</v>
      </c>
      <c r="X772" t="s">
        <v>14726</v>
      </c>
      <c r="Y772" t="s">
        <v>14727</v>
      </c>
      <c r="Z772" t="s">
        <v>14728</v>
      </c>
      <c r="AA772" t="s">
        <v>14729</v>
      </c>
      <c r="AB772" t="s">
        <v>14730</v>
      </c>
      <c r="AC772" t="s">
        <v>14731</v>
      </c>
      <c r="AD772" t="s">
        <v>14731</v>
      </c>
      <c r="AE772" t="s">
        <v>14732</v>
      </c>
      <c r="AF772" t="s">
        <v>74</v>
      </c>
      <c r="AG772">
        <v>58</v>
      </c>
      <c r="AH772">
        <v>23</v>
      </c>
      <c r="AI772">
        <v>26</v>
      </c>
      <c r="AJ772">
        <v>18</v>
      </c>
      <c r="AK772">
        <v>65</v>
      </c>
      <c r="AL772" t="s">
        <v>176</v>
      </c>
      <c r="AM772" t="s">
        <v>1610</v>
      </c>
      <c r="AN772" t="s">
        <v>1611</v>
      </c>
      <c r="AO772" t="s">
        <v>1538</v>
      </c>
      <c r="AP772" t="s">
        <v>1539</v>
      </c>
      <c r="AQ772" t="s">
        <v>74</v>
      </c>
      <c r="AR772" t="s">
        <v>1540</v>
      </c>
      <c r="AS772" t="s">
        <v>1541</v>
      </c>
      <c r="AT772" t="s">
        <v>960</v>
      </c>
      <c r="AU772">
        <v>2024</v>
      </c>
      <c r="AV772">
        <v>439</v>
      </c>
      <c r="AW772" t="s">
        <v>74</v>
      </c>
      <c r="AX772" t="s">
        <v>74</v>
      </c>
      <c r="AY772" t="s">
        <v>74</v>
      </c>
      <c r="AZ772" t="s">
        <v>74</v>
      </c>
      <c r="BA772" t="s">
        <v>74</v>
      </c>
      <c r="BB772" t="s">
        <v>74</v>
      </c>
      <c r="BC772" t="s">
        <v>74</v>
      </c>
      <c r="BD772">
        <v>140677</v>
      </c>
      <c r="BE772" t="s">
        <v>14733</v>
      </c>
      <c r="BF772" t="str">
        <f>HYPERLINK("http://dx.doi.org/10.1016/j.jclepro.2024.140677","http://dx.doi.org/10.1016/j.jclepro.2024.140677")</f>
        <v>http://dx.doi.org/10.1016/j.jclepro.2024.140677</v>
      </c>
      <c r="BG772" t="s">
        <v>74</v>
      </c>
      <c r="BH772" t="s">
        <v>1314</v>
      </c>
      <c r="BI772">
        <v>10</v>
      </c>
      <c r="BJ772" t="s">
        <v>1543</v>
      </c>
      <c r="BK772" t="s">
        <v>102</v>
      </c>
      <c r="BL772" t="s">
        <v>1544</v>
      </c>
      <c r="BM772" t="s">
        <v>14734</v>
      </c>
      <c r="BN772" t="s">
        <v>74</v>
      </c>
      <c r="BO772" t="s">
        <v>74</v>
      </c>
      <c r="BP772" t="s">
        <v>74</v>
      </c>
      <c r="BQ772" t="s">
        <v>74</v>
      </c>
      <c r="BR772" t="s">
        <v>106</v>
      </c>
      <c r="BS772" t="s">
        <v>14735</v>
      </c>
      <c r="BT772" t="str">
        <f>HYPERLINK("https%3A%2F%2Fwww.webofscience.com%2Fwos%2Fwoscc%2Ffull-record%2FWOS:001172750700001","View Full Record in Web of Science")</f>
        <v>View Full Record in Web of Science</v>
      </c>
    </row>
    <row r="773" spans="1:72" x14ac:dyDescent="0.2">
      <c r="A773" t="s">
        <v>72</v>
      </c>
      <c r="B773" t="s">
        <v>14736</v>
      </c>
      <c r="C773" t="s">
        <v>74</v>
      </c>
      <c r="D773" t="s">
        <v>74</v>
      </c>
      <c r="E773" t="s">
        <v>74</v>
      </c>
      <c r="F773" t="s">
        <v>14737</v>
      </c>
      <c r="G773" t="s">
        <v>74</v>
      </c>
      <c r="H773" t="s">
        <v>74</v>
      </c>
      <c r="I773" t="s">
        <v>14738</v>
      </c>
      <c r="J773" t="s">
        <v>762</v>
      </c>
      <c r="K773" t="s">
        <v>74</v>
      </c>
      <c r="L773" t="s">
        <v>74</v>
      </c>
      <c r="M773" t="s">
        <v>78</v>
      </c>
      <c r="N773" t="s">
        <v>79</v>
      </c>
      <c r="O773" t="s">
        <v>74</v>
      </c>
      <c r="P773" t="s">
        <v>74</v>
      </c>
      <c r="Q773" t="s">
        <v>74</v>
      </c>
      <c r="R773" t="s">
        <v>74</v>
      </c>
      <c r="S773" t="s">
        <v>74</v>
      </c>
      <c r="T773" t="s">
        <v>14739</v>
      </c>
      <c r="U773" t="s">
        <v>14740</v>
      </c>
      <c r="V773" t="s">
        <v>14741</v>
      </c>
      <c r="W773" t="s">
        <v>14742</v>
      </c>
      <c r="X773" t="s">
        <v>14743</v>
      </c>
      <c r="Y773" t="s">
        <v>14744</v>
      </c>
      <c r="Z773" t="s">
        <v>14745</v>
      </c>
      <c r="AA773" t="s">
        <v>14746</v>
      </c>
      <c r="AB773" t="s">
        <v>14747</v>
      </c>
      <c r="AC773" t="s">
        <v>14748</v>
      </c>
      <c r="AD773" t="s">
        <v>14749</v>
      </c>
      <c r="AE773" t="s">
        <v>14750</v>
      </c>
      <c r="AF773" t="s">
        <v>74</v>
      </c>
      <c r="AG773">
        <v>42</v>
      </c>
      <c r="AH773">
        <v>65</v>
      </c>
      <c r="AI773">
        <v>76</v>
      </c>
      <c r="AJ773">
        <v>1</v>
      </c>
      <c r="AK773">
        <v>73</v>
      </c>
      <c r="AL773" t="s">
        <v>775</v>
      </c>
      <c r="AM773" t="s">
        <v>776</v>
      </c>
      <c r="AN773" t="s">
        <v>777</v>
      </c>
      <c r="AO773" t="s">
        <v>778</v>
      </c>
      <c r="AP773" t="s">
        <v>74</v>
      </c>
      <c r="AQ773" t="s">
        <v>74</v>
      </c>
      <c r="AR773" t="s">
        <v>779</v>
      </c>
      <c r="AS773" t="s">
        <v>780</v>
      </c>
      <c r="AT773" t="s">
        <v>1963</v>
      </c>
      <c r="AU773">
        <v>2019</v>
      </c>
      <c r="AV773">
        <v>14</v>
      </c>
      <c r="AW773">
        <v>9</v>
      </c>
      <c r="AX773" t="s">
        <v>74</v>
      </c>
      <c r="AY773" t="s">
        <v>74</v>
      </c>
      <c r="AZ773" t="s">
        <v>74</v>
      </c>
      <c r="BA773" t="s">
        <v>74</v>
      </c>
      <c r="BB773" t="s">
        <v>74</v>
      </c>
      <c r="BC773" t="s">
        <v>74</v>
      </c>
      <c r="BD773">
        <v>94022</v>
      </c>
      <c r="BE773" t="s">
        <v>14751</v>
      </c>
      <c r="BF773" t="str">
        <f>HYPERLINK("http://dx.doi.org/10.1088/1748-9326/ab3dc6","http://dx.doi.org/10.1088/1748-9326/ab3dc6")</f>
        <v>http://dx.doi.org/10.1088/1748-9326/ab3dc6</v>
      </c>
      <c r="BG773" t="s">
        <v>74</v>
      </c>
      <c r="BH773" t="s">
        <v>74</v>
      </c>
      <c r="BI773">
        <v>14</v>
      </c>
      <c r="BJ773" t="s">
        <v>782</v>
      </c>
      <c r="BK773" t="s">
        <v>102</v>
      </c>
      <c r="BL773" t="s">
        <v>783</v>
      </c>
      <c r="BM773" t="s">
        <v>14752</v>
      </c>
      <c r="BN773" t="s">
        <v>74</v>
      </c>
      <c r="BO773" t="s">
        <v>161</v>
      </c>
      <c r="BP773" t="s">
        <v>74</v>
      </c>
      <c r="BQ773" t="s">
        <v>74</v>
      </c>
      <c r="BR773" t="s">
        <v>106</v>
      </c>
      <c r="BS773" t="s">
        <v>14753</v>
      </c>
      <c r="BT773" t="str">
        <f>HYPERLINK("https%3A%2F%2Fwww.webofscience.com%2Fwos%2Fwoscc%2Ffull-record%2FWOS:000487216800003","View Full Record in Web of Science")</f>
        <v>View Full Record in Web of Science</v>
      </c>
    </row>
    <row r="774" spans="1:72" x14ac:dyDescent="0.2">
      <c r="A774" t="s">
        <v>72</v>
      </c>
      <c r="B774" t="s">
        <v>14754</v>
      </c>
      <c r="C774" t="s">
        <v>74</v>
      </c>
      <c r="D774" t="s">
        <v>74</v>
      </c>
      <c r="E774" t="s">
        <v>74</v>
      </c>
      <c r="F774" t="s">
        <v>14755</v>
      </c>
      <c r="G774" t="s">
        <v>74</v>
      </c>
      <c r="H774" t="s">
        <v>74</v>
      </c>
      <c r="I774" t="s">
        <v>14756</v>
      </c>
      <c r="J774" t="s">
        <v>1737</v>
      </c>
      <c r="K774" t="s">
        <v>74</v>
      </c>
      <c r="L774" t="s">
        <v>74</v>
      </c>
      <c r="M774" t="s">
        <v>78</v>
      </c>
      <c r="N774" t="s">
        <v>79</v>
      </c>
      <c r="O774" t="s">
        <v>74</v>
      </c>
      <c r="P774" t="s">
        <v>74</v>
      </c>
      <c r="Q774" t="s">
        <v>74</v>
      </c>
      <c r="R774" t="s">
        <v>74</v>
      </c>
      <c r="S774" t="s">
        <v>74</v>
      </c>
      <c r="T774" t="s">
        <v>14757</v>
      </c>
      <c r="U774" t="s">
        <v>14758</v>
      </c>
      <c r="V774" t="s">
        <v>14759</v>
      </c>
      <c r="W774" t="s">
        <v>14760</v>
      </c>
      <c r="X774" t="s">
        <v>14761</v>
      </c>
      <c r="Y774" t="s">
        <v>14762</v>
      </c>
      <c r="Z774" t="s">
        <v>14763</v>
      </c>
      <c r="AA774" t="s">
        <v>74</v>
      </c>
      <c r="AB774" t="s">
        <v>14764</v>
      </c>
      <c r="AC774" t="s">
        <v>14765</v>
      </c>
      <c r="AD774" t="s">
        <v>14766</v>
      </c>
      <c r="AE774" t="s">
        <v>14767</v>
      </c>
      <c r="AF774" t="s">
        <v>74</v>
      </c>
      <c r="AG774">
        <v>40</v>
      </c>
      <c r="AH774">
        <v>74</v>
      </c>
      <c r="AI774">
        <v>82</v>
      </c>
      <c r="AJ774">
        <v>7</v>
      </c>
      <c r="AK774">
        <v>127</v>
      </c>
      <c r="AL774" t="s">
        <v>12442</v>
      </c>
      <c r="AM774" t="s">
        <v>630</v>
      </c>
      <c r="AN774" t="s">
        <v>12443</v>
      </c>
      <c r="AO774" t="s">
        <v>1748</v>
      </c>
      <c r="AP774" t="s">
        <v>1749</v>
      </c>
      <c r="AQ774" t="s">
        <v>74</v>
      </c>
      <c r="AR774" t="s">
        <v>1750</v>
      </c>
      <c r="AS774" t="s">
        <v>1751</v>
      </c>
      <c r="AT774" t="s">
        <v>183</v>
      </c>
      <c r="AU774">
        <v>2021</v>
      </c>
      <c r="AV774">
        <v>20</v>
      </c>
      <c r="AW774">
        <v>7</v>
      </c>
      <c r="AX774" t="s">
        <v>74</v>
      </c>
      <c r="AY774" t="s">
        <v>74</v>
      </c>
      <c r="AZ774" t="s">
        <v>74</v>
      </c>
      <c r="BA774" t="s">
        <v>74</v>
      </c>
      <c r="BB774">
        <v>1996</v>
      </c>
      <c r="BC774">
        <v>2008</v>
      </c>
      <c r="BD774" t="s">
        <v>74</v>
      </c>
      <c r="BE774" t="s">
        <v>14768</v>
      </c>
      <c r="BF774" t="str">
        <f>HYPERLINK("http://dx.doi.org/10.1016/S2095-3119(20)63439-6","http://dx.doi.org/10.1016/S2095-3119(20)63439-6")</f>
        <v>http://dx.doi.org/10.1016/S2095-3119(20)63439-6</v>
      </c>
      <c r="BG774" t="s">
        <v>74</v>
      </c>
      <c r="BH774" t="s">
        <v>7541</v>
      </c>
      <c r="BI774">
        <v>13</v>
      </c>
      <c r="BJ774" t="s">
        <v>101</v>
      </c>
      <c r="BK774" t="s">
        <v>186</v>
      </c>
      <c r="BL774" t="s">
        <v>103</v>
      </c>
      <c r="BM774" t="s">
        <v>14769</v>
      </c>
      <c r="BN774" t="s">
        <v>74</v>
      </c>
      <c r="BO774" t="s">
        <v>161</v>
      </c>
      <c r="BP774" t="s">
        <v>74</v>
      </c>
      <c r="BQ774" t="s">
        <v>74</v>
      </c>
      <c r="BR774" t="s">
        <v>106</v>
      </c>
      <c r="BS774" t="s">
        <v>14770</v>
      </c>
      <c r="BT774" t="str">
        <f>HYPERLINK("https%3A%2F%2Fwww.webofscience.com%2Fwos%2Fwoscc%2Ffull-record%2FWOS:000657477100004","View Full Record in Web of Science")</f>
        <v>View Full Record in Web of Science</v>
      </c>
    </row>
    <row r="775" spans="1:72" x14ac:dyDescent="0.2">
      <c r="A775" t="s">
        <v>72</v>
      </c>
      <c r="B775" t="s">
        <v>14771</v>
      </c>
      <c r="C775" t="s">
        <v>74</v>
      </c>
      <c r="D775" t="s">
        <v>74</v>
      </c>
      <c r="E775" t="s">
        <v>74</v>
      </c>
      <c r="F775" t="s">
        <v>14772</v>
      </c>
      <c r="G775" t="s">
        <v>74</v>
      </c>
      <c r="H775" t="s">
        <v>74</v>
      </c>
      <c r="I775" t="s">
        <v>14773</v>
      </c>
      <c r="J775" t="s">
        <v>468</v>
      </c>
      <c r="K775" t="s">
        <v>74</v>
      </c>
      <c r="L775" t="s">
        <v>74</v>
      </c>
      <c r="M775" t="s">
        <v>78</v>
      </c>
      <c r="N775" t="s">
        <v>79</v>
      </c>
      <c r="O775" t="s">
        <v>74</v>
      </c>
      <c r="P775" t="s">
        <v>74</v>
      </c>
      <c r="Q775" t="s">
        <v>74</v>
      </c>
      <c r="R775" t="s">
        <v>74</v>
      </c>
      <c r="S775" t="s">
        <v>74</v>
      </c>
      <c r="T775" t="s">
        <v>14774</v>
      </c>
      <c r="U775" t="s">
        <v>14775</v>
      </c>
      <c r="V775" t="s">
        <v>14776</v>
      </c>
      <c r="W775" t="s">
        <v>14777</v>
      </c>
      <c r="X775" t="s">
        <v>14778</v>
      </c>
      <c r="Y775" t="s">
        <v>14779</v>
      </c>
      <c r="Z775" t="s">
        <v>14780</v>
      </c>
      <c r="AA775" t="s">
        <v>14781</v>
      </c>
      <c r="AB775" t="s">
        <v>14782</v>
      </c>
      <c r="AC775" t="s">
        <v>14783</v>
      </c>
      <c r="AD775" t="s">
        <v>14784</v>
      </c>
      <c r="AE775" t="s">
        <v>14785</v>
      </c>
      <c r="AF775" t="s">
        <v>74</v>
      </c>
      <c r="AG775">
        <v>54</v>
      </c>
      <c r="AH775">
        <v>6</v>
      </c>
      <c r="AI775">
        <v>6</v>
      </c>
      <c r="AJ775">
        <v>0</v>
      </c>
      <c r="AK775">
        <v>21</v>
      </c>
      <c r="AL775" t="s">
        <v>222</v>
      </c>
      <c r="AM775" t="s">
        <v>223</v>
      </c>
      <c r="AN775" t="s">
        <v>478</v>
      </c>
      <c r="AO775" t="s">
        <v>74</v>
      </c>
      <c r="AP775" t="s">
        <v>479</v>
      </c>
      <c r="AQ775" t="s">
        <v>74</v>
      </c>
      <c r="AR775" t="s">
        <v>480</v>
      </c>
      <c r="AS775" t="s">
        <v>481</v>
      </c>
      <c r="AT775" t="s">
        <v>1752</v>
      </c>
      <c r="AU775">
        <v>2021</v>
      </c>
      <c r="AV775">
        <v>13</v>
      </c>
      <c r="AW775">
        <v>16</v>
      </c>
      <c r="AX775" t="s">
        <v>74</v>
      </c>
      <c r="AY775" t="s">
        <v>74</v>
      </c>
      <c r="AZ775" t="s">
        <v>74</v>
      </c>
      <c r="BA775" t="s">
        <v>74</v>
      </c>
      <c r="BB775" t="s">
        <v>74</v>
      </c>
      <c r="BC775" t="s">
        <v>74</v>
      </c>
      <c r="BD775">
        <v>9093</v>
      </c>
      <c r="BE775" t="s">
        <v>14786</v>
      </c>
      <c r="BF775" t="str">
        <f>HYPERLINK("http://dx.doi.org/10.3390/su13169093","http://dx.doi.org/10.3390/su13169093")</f>
        <v>http://dx.doi.org/10.3390/su13169093</v>
      </c>
      <c r="BG775" t="s">
        <v>74</v>
      </c>
      <c r="BH775" t="s">
        <v>74</v>
      </c>
      <c r="BI775">
        <v>18</v>
      </c>
      <c r="BJ775" t="s">
        <v>484</v>
      </c>
      <c r="BK775" t="s">
        <v>186</v>
      </c>
      <c r="BL775" t="s">
        <v>485</v>
      </c>
      <c r="BM775" t="s">
        <v>14787</v>
      </c>
      <c r="BN775" t="s">
        <v>74</v>
      </c>
      <c r="BO775" t="s">
        <v>161</v>
      </c>
      <c r="BP775" t="s">
        <v>74</v>
      </c>
      <c r="BQ775" t="s">
        <v>74</v>
      </c>
      <c r="BR775" t="s">
        <v>106</v>
      </c>
      <c r="BS775" t="s">
        <v>14788</v>
      </c>
      <c r="BT775" t="str">
        <f>HYPERLINK("https%3A%2F%2Fwww.webofscience.com%2Fwos%2Fwoscc%2Ffull-record%2FWOS:000689897400001","View Full Record in Web of Science")</f>
        <v>View Full Record in Web of Science</v>
      </c>
    </row>
    <row r="776" spans="1:72" x14ac:dyDescent="0.2">
      <c r="A776" t="s">
        <v>72</v>
      </c>
      <c r="B776" t="s">
        <v>14789</v>
      </c>
      <c r="C776" t="s">
        <v>74</v>
      </c>
      <c r="D776" t="s">
        <v>74</v>
      </c>
      <c r="E776" t="s">
        <v>74</v>
      </c>
      <c r="F776" t="s">
        <v>14790</v>
      </c>
      <c r="G776" t="s">
        <v>74</v>
      </c>
      <c r="H776" t="s">
        <v>74</v>
      </c>
      <c r="I776" t="s">
        <v>14791</v>
      </c>
      <c r="J776" t="s">
        <v>2350</v>
      </c>
      <c r="K776" t="s">
        <v>74</v>
      </c>
      <c r="L776" t="s">
        <v>74</v>
      </c>
      <c r="M776" t="s">
        <v>78</v>
      </c>
      <c r="N776" t="s">
        <v>79</v>
      </c>
      <c r="O776" t="s">
        <v>74</v>
      </c>
      <c r="P776" t="s">
        <v>74</v>
      </c>
      <c r="Q776" t="s">
        <v>74</v>
      </c>
      <c r="R776" t="s">
        <v>74</v>
      </c>
      <c r="S776" t="s">
        <v>74</v>
      </c>
      <c r="T776" t="s">
        <v>14792</v>
      </c>
      <c r="U776" t="s">
        <v>74</v>
      </c>
      <c r="V776" t="s">
        <v>14793</v>
      </c>
      <c r="W776" t="s">
        <v>14794</v>
      </c>
      <c r="X776" t="s">
        <v>14795</v>
      </c>
      <c r="Y776" t="s">
        <v>14796</v>
      </c>
      <c r="Z776" t="s">
        <v>14797</v>
      </c>
      <c r="AA776" t="s">
        <v>14798</v>
      </c>
      <c r="AB776" t="s">
        <v>74</v>
      </c>
      <c r="AC776" t="s">
        <v>74</v>
      </c>
      <c r="AD776" t="s">
        <v>74</v>
      </c>
      <c r="AE776" t="s">
        <v>74</v>
      </c>
      <c r="AF776" t="s">
        <v>74</v>
      </c>
      <c r="AG776">
        <v>20</v>
      </c>
      <c r="AH776">
        <v>3</v>
      </c>
      <c r="AI776">
        <v>3</v>
      </c>
      <c r="AJ776">
        <v>15</v>
      </c>
      <c r="AK776">
        <v>39</v>
      </c>
      <c r="AL776" t="s">
        <v>222</v>
      </c>
      <c r="AM776" t="s">
        <v>223</v>
      </c>
      <c r="AN776" t="s">
        <v>224</v>
      </c>
      <c r="AO776" t="s">
        <v>74</v>
      </c>
      <c r="AP776" t="s">
        <v>2360</v>
      </c>
      <c r="AQ776" t="s">
        <v>74</v>
      </c>
      <c r="AR776" t="s">
        <v>2361</v>
      </c>
      <c r="AS776" t="s">
        <v>2362</v>
      </c>
      <c r="AT776" t="s">
        <v>1109</v>
      </c>
      <c r="AU776">
        <v>2024</v>
      </c>
      <c r="AV776">
        <v>14</v>
      </c>
      <c r="AW776">
        <v>23</v>
      </c>
      <c r="AX776" t="s">
        <v>74</v>
      </c>
      <c r="AY776" t="s">
        <v>74</v>
      </c>
      <c r="AZ776" t="s">
        <v>74</v>
      </c>
      <c r="BA776" t="s">
        <v>74</v>
      </c>
      <c r="BB776" t="s">
        <v>74</v>
      </c>
      <c r="BC776" t="s">
        <v>74</v>
      </c>
      <c r="BD776">
        <v>11231</v>
      </c>
      <c r="BE776" t="s">
        <v>14799</v>
      </c>
      <c r="BF776" t="str">
        <f>HYPERLINK("http://dx.doi.org/10.3390/app142311231","http://dx.doi.org/10.3390/app142311231")</f>
        <v>http://dx.doi.org/10.3390/app142311231</v>
      </c>
      <c r="BG776" t="s">
        <v>74</v>
      </c>
      <c r="BH776" t="s">
        <v>74</v>
      </c>
      <c r="BI776">
        <v>15</v>
      </c>
      <c r="BJ776" t="s">
        <v>2365</v>
      </c>
      <c r="BK776" t="s">
        <v>102</v>
      </c>
      <c r="BL776" t="s">
        <v>2366</v>
      </c>
      <c r="BM776" t="s">
        <v>14800</v>
      </c>
      <c r="BN776" t="s">
        <v>74</v>
      </c>
      <c r="BO776" t="s">
        <v>231</v>
      </c>
      <c r="BP776" t="s">
        <v>74</v>
      </c>
      <c r="BQ776" t="s">
        <v>74</v>
      </c>
      <c r="BR776" t="s">
        <v>106</v>
      </c>
      <c r="BS776" t="s">
        <v>14801</v>
      </c>
      <c r="BT776" t="str">
        <f>HYPERLINK("https%3A%2F%2Fwww.webofscience.com%2Fwos%2Fwoscc%2Ffull-record%2FWOS:001376323000001","View Full Record in Web of Science")</f>
        <v>View Full Record in Web of Science</v>
      </c>
    </row>
    <row r="777" spans="1:72" x14ac:dyDescent="0.2">
      <c r="A777" t="s">
        <v>72</v>
      </c>
      <c r="B777" t="s">
        <v>14802</v>
      </c>
      <c r="C777" t="s">
        <v>74</v>
      </c>
      <c r="D777" t="s">
        <v>74</v>
      </c>
      <c r="E777" t="s">
        <v>74</v>
      </c>
      <c r="F777" t="s">
        <v>14803</v>
      </c>
      <c r="G777" t="s">
        <v>74</v>
      </c>
      <c r="H777" t="s">
        <v>74</v>
      </c>
      <c r="I777" t="s">
        <v>14804</v>
      </c>
      <c r="J777" t="s">
        <v>3436</v>
      </c>
      <c r="K777" t="s">
        <v>74</v>
      </c>
      <c r="L777" t="s">
        <v>74</v>
      </c>
      <c r="M777" t="s">
        <v>78</v>
      </c>
      <c r="N777" t="s">
        <v>79</v>
      </c>
      <c r="O777" t="s">
        <v>74</v>
      </c>
      <c r="P777" t="s">
        <v>74</v>
      </c>
      <c r="Q777" t="s">
        <v>74</v>
      </c>
      <c r="R777" t="s">
        <v>74</v>
      </c>
      <c r="S777" t="s">
        <v>74</v>
      </c>
      <c r="T777" t="s">
        <v>14805</v>
      </c>
      <c r="U777" t="s">
        <v>14806</v>
      </c>
      <c r="V777" t="s">
        <v>14807</v>
      </c>
      <c r="W777" t="s">
        <v>14808</v>
      </c>
      <c r="X777" t="s">
        <v>14809</v>
      </c>
      <c r="Y777" t="s">
        <v>14810</v>
      </c>
      <c r="Z777" t="s">
        <v>14811</v>
      </c>
      <c r="AA777" t="s">
        <v>74</v>
      </c>
      <c r="AB777" t="s">
        <v>74</v>
      </c>
      <c r="AC777" t="s">
        <v>14812</v>
      </c>
      <c r="AD777" t="s">
        <v>14813</v>
      </c>
      <c r="AE777" t="s">
        <v>14814</v>
      </c>
      <c r="AF777" t="s">
        <v>74</v>
      </c>
      <c r="AG777">
        <v>83</v>
      </c>
      <c r="AH777">
        <v>1</v>
      </c>
      <c r="AI777">
        <v>1</v>
      </c>
      <c r="AJ777">
        <v>10</v>
      </c>
      <c r="AK777">
        <v>17</v>
      </c>
      <c r="AL777" t="s">
        <v>222</v>
      </c>
      <c r="AM777" t="s">
        <v>223</v>
      </c>
      <c r="AN777" t="s">
        <v>478</v>
      </c>
      <c r="AO777" t="s">
        <v>74</v>
      </c>
      <c r="AP777" t="s">
        <v>3449</v>
      </c>
      <c r="AQ777" t="s">
        <v>74</v>
      </c>
      <c r="AR777" t="s">
        <v>3450</v>
      </c>
      <c r="AS777" t="s">
        <v>3451</v>
      </c>
      <c r="AT777" t="s">
        <v>459</v>
      </c>
      <c r="AU777">
        <v>2025</v>
      </c>
      <c r="AV777">
        <v>16</v>
      </c>
      <c r="AW777">
        <v>2</v>
      </c>
      <c r="AX777" t="s">
        <v>74</v>
      </c>
      <c r="AY777" t="s">
        <v>74</v>
      </c>
      <c r="AZ777" t="s">
        <v>74</v>
      </c>
      <c r="BA777" t="s">
        <v>74</v>
      </c>
      <c r="BB777" t="s">
        <v>74</v>
      </c>
      <c r="BC777" t="s">
        <v>74</v>
      </c>
      <c r="BD777">
        <v>148</v>
      </c>
      <c r="BE777" t="s">
        <v>14815</v>
      </c>
      <c r="BF777" t="str">
        <f>HYPERLINK("http://dx.doi.org/10.3390/atmos16020148","http://dx.doi.org/10.3390/atmos16020148")</f>
        <v>http://dx.doi.org/10.3390/atmos16020148</v>
      </c>
      <c r="BG777" t="s">
        <v>74</v>
      </c>
      <c r="BH777" t="s">
        <v>74</v>
      </c>
      <c r="BI777">
        <v>21</v>
      </c>
      <c r="BJ777" t="s">
        <v>782</v>
      </c>
      <c r="BK777" t="s">
        <v>102</v>
      </c>
      <c r="BL777" t="s">
        <v>783</v>
      </c>
      <c r="BM777" t="s">
        <v>14816</v>
      </c>
      <c r="BN777" t="s">
        <v>74</v>
      </c>
      <c r="BO777" t="s">
        <v>161</v>
      </c>
      <c r="BP777" t="s">
        <v>74</v>
      </c>
      <c r="BQ777" t="s">
        <v>74</v>
      </c>
      <c r="BR777" t="s">
        <v>106</v>
      </c>
      <c r="BS777" t="s">
        <v>14817</v>
      </c>
      <c r="BT777" t="str">
        <f>HYPERLINK("https%3A%2F%2Fwww.webofscience.com%2Fwos%2Fwoscc%2Ffull-record%2FWOS:001429888600001","View Full Record in Web of Science")</f>
        <v>View Full Record in Web of Science</v>
      </c>
    </row>
    <row r="778" spans="1:72" x14ac:dyDescent="0.2">
      <c r="A778" t="s">
        <v>72</v>
      </c>
      <c r="B778" t="s">
        <v>14818</v>
      </c>
      <c r="C778" t="s">
        <v>74</v>
      </c>
      <c r="D778" t="s">
        <v>74</v>
      </c>
      <c r="E778" t="s">
        <v>74</v>
      </c>
      <c r="F778" t="s">
        <v>14819</v>
      </c>
      <c r="G778" t="s">
        <v>74</v>
      </c>
      <c r="H778" t="s">
        <v>74</v>
      </c>
      <c r="I778" t="s">
        <v>14820</v>
      </c>
      <c r="J778" t="s">
        <v>14821</v>
      </c>
      <c r="K778" t="s">
        <v>74</v>
      </c>
      <c r="L778" t="s">
        <v>74</v>
      </c>
      <c r="M778" t="s">
        <v>78</v>
      </c>
      <c r="N778" t="s">
        <v>2506</v>
      </c>
      <c r="O778" t="s">
        <v>74</v>
      </c>
      <c r="P778" t="s">
        <v>74</v>
      </c>
      <c r="Q778" t="s">
        <v>74</v>
      </c>
      <c r="R778" t="s">
        <v>74</v>
      </c>
      <c r="S778" t="s">
        <v>74</v>
      </c>
      <c r="T778" t="s">
        <v>14822</v>
      </c>
      <c r="U778" t="s">
        <v>14823</v>
      </c>
      <c r="V778" t="s">
        <v>14824</v>
      </c>
      <c r="W778" t="s">
        <v>14825</v>
      </c>
      <c r="X778" t="s">
        <v>14826</v>
      </c>
      <c r="Y778" t="s">
        <v>14827</v>
      </c>
      <c r="Z778" t="s">
        <v>14828</v>
      </c>
      <c r="AA778" t="s">
        <v>14829</v>
      </c>
      <c r="AB778" t="s">
        <v>14830</v>
      </c>
      <c r="AC778" t="s">
        <v>14831</v>
      </c>
      <c r="AD778" t="s">
        <v>14832</v>
      </c>
      <c r="AE778" t="s">
        <v>14833</v>
      </c>
      <c r="AF778" t="s">
        <v>74</v>
      </c>
      <c r="AG778">
        <v>83</v>
      </c>
      <c r="AH778">
        <v>123</v>
      </c>
      <c r="AI778">
        <v>153</v>
      </c>
      <c r="AJ778">
        <v>11</v>
      </c>
      <c r="AK778">
        <v>208</v>
      </c>
      <c r="AL778" t="s">
        <v>585</v>
      </c>
      <c r="AM778" t="s">
        <v>306</v>
      </c>
      <c r="AN778" t="s">
        <v>586</v>
      </c>
      <c r="AO778" t="s">
        <v>14834</v>
      </c>
      <c r="AP778" t="s">
        <v>14835</v>
      </c>
      <c r="AQ778" t="s">
        <v>74</v>
      </c>
      <c r="AR778" t="s">
        <v>14836</v>
      </c>
      <c r="AS778" t="s">
        <v>14837</v>
      </c>
      <c r="AT778" t="s">
        <v>14838</v>
      </c>
      <c r="AU778">
        <v>2019</v>
      </c>
      <c r="AV778">
        <v>22</v>
      </c>
      <c r="AW778">
        <v>2</v>
      </c>
      <c r="AX778" t="s">
        <v>74</v>
      </c>
      <c r="AY778" t="s">
        <v>74</v>
      </c>
      <c r="AZ778" t="s">
        <v>74</v>
      </c>
      <c r="BA778" t="s">
        <v>74</v>
      </c>
      <c r="BB778">
        <v>131</v>
      </c>
      <c r="BC778">
        <v>142</v>
      </c>
      <c r="BD778" t="s">
        <v>74</v>
      </c>
      <c r="BE778" t="s">
        <v>14839</v>
      </c>
      <c r="BF778" t="str">
        <f>HYPERLINK("http://dx.doi.org/10.1080/1343943X.2018.1541137","http://dx.doi.org/10.1080/1343943X.2018.1541137")</f>
        <v>http://dx.doi.org/10.1080/1343943X.2018.1541137</v>
      </c>
      <c r="BG778" t="s">
        <v>74</v>
      </c>
      <c r="BH778" t="s">
        <v>74</v>
      </c>
      <c r="BI778">
        <v>12</v>
      </c>
      <c r="BJ778" t="s">
        <v>1357</v>
      </c>
      <c r="BK778" t="s">
        <v>102</v>
      </c>
      <c r="BL778" t="s">
        <v>103</v>
      </c>
      <c r="BM778" t="s">
        <v>14840</v>
      </c>
      <c r="BN778" t="s">
        <v>74</v>
      </c>
      <c r="BO778" t="s">
        <v>161</v>
      </c>
      <c r="BP778" t="s">
        <v>74</v>
      </c>
      <c r="BQ778" t="s">
        <v>74</v>
      </c>
      <c r="BR778" t="s">
        <v>106</v>
      </c>
      <c r="BS778" t="s">
        <v>14841</v>
      </c>
      <c r="BT778" t="str">
        <f>HYPERLINK("https%3A%2F%2Fwww.webofscience.com%2Fwos%2Fwoscc%2Ffull-record%2FWOS:000466499100001","View Full Record in Web of Science")</f>
        <v>View Full Record in Web of Science</v>
      </c>
    </row>
    <row r="779" spans="1:72" x14ac:dyDescent="0.2">
      <c r="A779" t="s">
        <v>72</v>
      </c>
      <c r="B779" t="s">
        <v>14842</v>
      </c>
      <c r="C779" t="s">
        <v>74</v>
      </c>
      <c r="D779" t="s">
        <v>74</v>
      </c>
      <c r="E779" t="s">
        <v>74</v>
      </c>
      <c r="F779" t="s">
        <v>14843</v>
      </c>
      <c r="G779" t="s">
        <v>74</v>
      </c>
      <c r="H779" t="s">
        <v>74</v>
      </c>
      <c r="I779" t="s">
        <v>14844</v>
      </c>
      <c r="J779" t="s">
        <v>1526</v>
      </c>
      <c r="K779" t="s">
        <v>74</v>
      </c>
      <c r="L779" t="s">
        <v>74</v>
      </c>
      <c r="M779" t="s">
        <v>78</v>
      </c>
      <c r="N779" t="s">
        <v>79</v>
      </c>
      <c r="O779" t="s">
        <v>74</v>
      </c>
      <c r="P779" t="s">
        <v>74</v>
      </c>
      <c r="Q779" t="s">
        <v>74</v>
      </c>
      <c r="R779" t="s">
        <v>74</v>
      </c>
      <c r="S779" t="s">
        <v>74</v>
      </c>
      <c r="T779" t="s">
        <v>14845</v>
      </c>
      <c r="U779" t="s">
        <v>14846</v>
      </c>
      <c r="V779" t="s">
        <v>14847</v>
      </c>
      <c r="W779" t="s">
        <v>14848</v>
      </c>
      <c r="X779" t="s">
        <v>74</v>
      </c>
      <c r="Y779" t="s">
        <v>14849</v>
      </c>
      <c r="Z779" t="s">
        <v>14850</v>
      </c>
      <c r="AA779" t="s">
        <v>14851</v>
      </c>
      <c r="AB779" t="s">
        <v>14852</v>
      </c>
      <c r="AC779" t="s">
        <v>14853</v>
      </c>
      <c r="AD779" t="s">
        <v>14854</v>
      </c>
      <c r="AE779" t="s">
        <v>14855</v>
      </c>
      <c r="AF779" t="s">
        <v>74</v>
      </c>
      <c r="AG779">
        <v>39</v>
      </c>
      <c r="AH779">
        <v>22</v>
      </c>
      <c r="AI779">
        <v>25</v>
      </c>
      <c r="AJ779">
        <v>1</v>
      </c>
      <c r="AK779">
        <v>29</v>
      </c>
      <c r="AL779" t="s">
        <v>176</v>
      </c>
      <c r="AM779" t="s">
        <v>177</v>
      </c>
      <c r="AN779" t="s">
        <v>178</v>
      </c>
      <c r="AO779" t="s">
        <v>1538</v>
      </c>
      <c r="AP779" t="s">
        <v>1539</v>
      </c>
      <c r="AQ779" t="s">
        <v>74</v>
      </c>
      <c r="AR779" t="s">
        <v>1540</v>
      </c>
      <c r="AS779" t="s">
        <v>1541</v>
      </c>
      <c r="AT779" t="s">
        <v>10317</v>
      </c>
      <c r="AU779">
        <v>2018</v>
      </c>
      <c r="AV779">
        <v>172</v>
      </c>
      <c r="AW779" t="s">
        <v>74</v>
      </c>
      <c r="AX779" t="s">
        <v>74</v>
      </c>
      <c r="AY779" t="s">
        <v>74</v>
      </c>
      <c r="AZ779" t="s">
        <v>74</v>
      </c>
      <c r="BA779" t="s">
        <v>74</v>
      </c>
      <c r="BB779">
        <v>3907</v>
      </c>
      <c r="BC779">
        <v>3917</v>
      </c>
      <c r="BD779" t="s">
        <v>74</v>
      </c>
      <c r="BE779" t="s">
        <v>14856</v>
      </c>
      <c r="BF779" t="str">
        <f>HYPERLINK("http://dx.doi.org/10.1016/j.jclepro.2017.05.059","http://dx.doi.org/10.1016/j.jclepro.2017.05.059")</f>
        <v>http://dx.doi.org/10.1016/j.jclepro.2017.05.059</v>
      </c>
      <c r="BG779" t="s">
        <v>74</v>
      </c>
      <c r="BH779" t="s">
        <v>74</v>
      </c>
      <c r="BI779">
        <v>11</v>
      </c>
      <c r="BJ779" t="s">
        <v>1543</v>
      </c>
      <c r="BK779" t="s">
        <v>102</v>
      </c>
      <c r="BL779" t="s">
        <v>1544</v>
      </c>
      <c r="BM779" t="s">
        <v>14857</v>
      </c>
      <c r="BN779" t="s">
        <v>74</v>
      </c>
      <c r="BO779" t="s">
        <v>74</v>
      </c>
      <c r="BP779" t="s">
        <v>74</v>
      </c>
      <c r="BQ779" t="s">
        <v>74</v>
      </c>
      <c r="BR779" t="s">
        <v>106</v>
      </c>
      <c r="BS779" t="s">
        <v>14858</v>
      </c>
      <c r="BT779" t="str">
        <f>HYPERLINK("https%3A%2F%2Fwww.webofscience.com%2Fwos%2Fwoscc%2Ffull-record%2FWOS:000423002500078","View Full Record in Web of Science")</f>
        <v>View Full Record in Web of Science</v>
      </c>
    </row>
    <row r="780" spans="1:72" x14ac:dyDescent="0.2">
      <c r="A780" t="s">
        <v>72</v>
      </c>
      <c r="B780" t="s">
        <v>14859</v>
      </c>
      <c r="C780" t="s">
        <v>74</v>
      </c>
      <c r="D780" t="s">
        <v>74</v>
      </c>
      <c r="E780" t="s">
        <v>74</v>
      </c>
      <c r="F780" t="s">
        <v>14860</v>
      </c>
      <c r="G780" t="s">
        <v>74</v>
      </c>
      <c r="H780" t="s">
        <v>74</v>
      </c>
      <c r="I780" t="s">
        <v>14861</v>
      </c>
      <c r="J780" t="s">
        <v>1526</v>
      </c>
      <c r="K780" t="s">
        <v>74</v>
      </c>
      <c r="L780" t="s">
        <v>74</v>
      </c>
      <c r="M780" t="s">
        <v>78</v>
      </c>
      <c r="N780" t="s">
        <v>79</v>
      </c>
      <c r="O780" t="s">
        <v>74</v>
      </c>
      <c r="P780" t="s">
        <v>74</v>
      </c>
      <c r="Q780" t="s">
        <v>74</v>
      </c>
      <c r="R780" t="s">
        <v>74</v>
      </c>
      <c r="S780" t="s">
        <v>74</v>
      </c>
      <c r="T780" t="s">
        <v>14862</v>
      </c>
      <c r="U780" t="s">
        <v>14863</v>
      </c>
      <c r="V780" t="s">
        <v>14864</v>
      </c>
      <c r="W780" t="s">
        <v>14865</v>
      </c>
      <c r="X780" t="s">
        <v>14866</v>
      </c>
      <c r="Y780" t="s">
        <v>14867</v>
      </c>
      <c r="Z780" t="s">
        <v>14868</v>
      </c>
      <c r="AA780" t="s">
        <v>14869</v>
      </c>
      <c r="AB780" t="s">
        <v>14870</v>
      </c>
      <c r="AC780" t="s">
        <v>14871</v>
      </c>
      <c r="AD780" t="s">
        <v>14872</v>
      </c>
      <c r="AE780" t="s">
        <v>14873</v>
      </c>
      <c r="AF780" t="s">
        <v>74</v>
      </c>
      <c r="AG780">
        <v>53</v>
      </c>
      <c r="AH780">
        <v>6</v>
      </c>
      <c r="AI780">
        <v>6</v>
      </c>
      <c r="AJ780">
        <v>2</v>
      </c>
      <c r="AK780">
        <v>14</v>
      </c>
      <c r="AL780" t="s">
        <v>176</v>
      </c>
      <c r="AM780" t="s">
        <v>1610</v>
      </c>
      <c r="AN780" t="s">
        <v>1611</v>
      </c>
      <c r="AO780" t="s">
        <v>1538</v>
      </c>
      <c r="AP780" t="s">
        <v>1539</v>
      </c>
      <c r="AQ780" t="s">
        <v>74</v>
      </c>
      <c r="AR780" t="s">
        <v>1540</v>
      </c>
      <c r="AS780" t="s">
        <v>1541</v>
      </c>
      <c r="AT780" t="s">
        <v>4005</v>
      </c>
      <c r="AU780">
        <v>2023</v>
      </c>
      <c r="AV780">
        <v>429</v>
      </c>
      <c r="AW780" t="s">
        <v>74</v>
      </c>
      <c r="AX780" t="s">
        <v>74</v>
      </c>
      <c r="AY780" t="s">
        <v>74</v>
      </c>
      <c r="AZ780" t="s">
        <v>74</v>
      </c>
      <c r="BA780" t="s">
        <v>74</v>
      </c>
      <c r="BB780" t="s">
        <v>74</v>
      </c>
      <c r="BC780" t="s">
        <v>74</v>
      </c>
      <c r="BD780">
        <v>139448</v>
      </c>
      <c r="BE780" t="s">
        <v>14874</v>
      </c>
      <c r="BF780" t="str">
        <f>HYPERLINK("http://dx.doi.org/10.1016/j.jclepro.2023.139448","http://dx.doi.org/10.1016/j.jclepro.2023.139448")</f>
        <v>http://dx.doi.org/10.1016/j.jclepro.2023.139448</v>
      </c>
      <c r="BG780" t="s">
        <v>74</v>
      </c>
      <c r="BH780" t="s">
        <v>4584</v>
      </c>
      <c r="BI780">
        <v>16</v>
      </c>
      <c r="BJ780" t="s">
        <v>1543</v>
      </c>
      <c r="BK780" t="s">
        <v>102</v>
      </c>
      <c r="BL780" t="s">
        <v>1544</v>
      </c>
      <c r="BM780" t="s">
        <v>14875</v>
      </c>
      <c r="BN780" t="s">
        <v>74</v>
      </c>
      <c r="BO780" t="s">
        <v>916</v>
      </c>
      <c r="BP780" t="s">
        <v>74</v>
      </c>
      <c r="BQ780" t="s">
        <v>74</v>
      </c>
      <c r="BR780" t="s">
        <v>106</v>
      </c>
      <c r="BS780" t="s">
        <v>14876</v>
      </c>
      <c r="BT780" t="str">
        <f>HYPERLINK("https%3A%2F%2Fwww.webofscience.com%2Fwos%2Fwoscc%2Ffull-record%2FWOS:001109083000001","View Full Record in Web of Science")</f>
        <v>View Full Record in Web of Science</v>
      </c>
    </row>
    <row r="781" spans="1:72" x14ac:dyDescent="0.2">
      <c r="A781" t="s">
        <v>72</v>
      </c>
      <c r="B781" t="s">
        <v>14877</v>
      </c>
      <c r="C781" t="s">
        <v>74</v>
      </c>
      <c r="D781" t="s">
        <v>74</v>
      </c>
      <c r="E781" t="s">
        <v>74</v>
      </c>
      <c r="F781" t="s">
        <v>14878</v>
      </c>
      <c r="G781" t="s">
        <v>74</v>
      </c>
      <c r="H781" t="s">
        <v>74</v>
      </c>
      <c r="I781" t="s">
        <v>14879</v>
      </c>
      <c r="J781" t="s">
        <v>14880</v>
      </c>
      <c r="K781" t="s">
        <v>74</v>
      </c>
      <c r="L781" t="s">
        <v>74</v>
      </c>
      <c r="M781" t="s">
        <v>78</v>
      </c>
      <c r="N781" t="s">
        <v>79</v>
      </c>
      <c r="O781" t="s">
        <v>74</v>
      </c>
      <c r="P781" t="s">
        <v>74</v>
      </c>
      <c r="Q781" t="s">
        <v>74</v>
      </c>
      <c r="R781" t="s">
        <v>74</v>
      </c>
      <c r="S781" t="s">
        <v>74</v>
      </c>
      <c r="T781" t="s">
        <v>14881</v>
      </c>
      <c r="U781" t="s">
        <v>14882</v>
      </c>
      <c r="V781" t="s">
        <v>14883</v>
      </c>
      <c r="W781" t="s">
        <v>14884</v>
      </c>
      <c r="X781" t="s">
        <v>14885</v>
      </c>
      <c r="Y781" t="s">
        <v>14886</v>
      </c>
      <c r="Z781" t="s">
        <v>14887</v>
      </c>
      <c r="AA781" t="s">
        <v>14888</v>
      </c>
      <c r="AB781" t="s">
        <v>14889</v>
      </c>
      <c r="AC781" t="s">
        <v>14890</v>
      </c>
      <c r="AD781" t="s">
        <v>14891</v>
      </c>
      <c r="AE781" t="s">
        <v>14892</v>
      </c>
      <c r="AF781" t="s">
        <v>74</v>
      </c>
      <c r="AG781">
        <v>73</v>
      </c>
      <c r="AH781">
        <v>0</v>
      </c>
      <c r="AI781">
        <v>0</v>
      </c>
      <c r="AJ781">
        <v>0</v>
      </c>
      <c r="AK781">
        <v>0</v>
      </c>
      <c r="AL781" t="s">
        <v>504</v>
      </c>
      <c r="AM781" t="s">
        <v>676</v>
      </c>
      <c r="AN781" t="s">
        <v>677</v>
      </c>
      <c r="AO781" t="s">
        <v>14893</v>
      </c>
      <c r="AP781" t="s">
        <v>14894</v>
      </c>
      <c r="AQ781" t="s">
        <v>74</v>
      </c>
      <c r="AR781" t="s">
        <v>14895</v>
      </c>
      <c r="AS781" t="s">
        <v>14896</v>
      </c>
      <c r="AT781" t="s">
        <v>14897</v>
      </c>
      <c r="AU781">
        <v>2025</v>
      </c>
      <c r="AV781">
        <v>18</v>
      </c>
      <c r="AW781">
        <v>1</v>
      </c>
      <c r="AX781" t="s">
        <v>74</v>
      </c>
      <c r="AY781" t="s">
        <v>74</v>
      </c>
      <c r="AZ781" t="s">
        <v>74</v>
      </c>
      <c r="BA781" t="s">
        <v>74</v>
      </c>
      <c r="BB781" t="s">
        <v>74</v>
      </c>
      <c r="BC781" t="s">
        <v>74</v>
      </c>
      <c r="BD781">
        <v>34</v>
      </c>
      <c r="BE781" t="s">
        <v>14898</v>
      </c>
      <c r="BF781" t="str">
        <f>HYPERLINK("http://dx.doi.org/10.1007/s12155-025-10832-0","http://dx.doi.org/10.1007/s12155-025-10832-0")</f>
        <v>http://dx.doi.org/10.1007/s12155-025-10832-0</v>
      </c>
      <c r="BG781" t="s">
        <v>74</v>
      </c>
      <c r="BH781" t="s">
        <v>74</v>
      </c>
      <c r="BI781">
        <v>15</v>
      </c>
      <c r="BJ781" t="s">
        <v>14899</v>
      </c>
      <c r="BK781" t="s">
        <v>102</v>
      </c>
      <c r="BL781" t="s">
        <v>14900</v>
      </c>
      <c r="BM781" t="s">
        <v>14901</v>
      </c>
      <c r="BN781" t="s">
        <v>74</v>
      </c>
      <c r="BO781" t="s">
        <v>916</v>
      </c>
      <c r="BP781" t="s">
        <v>74</v>
      </c>
      <c r="BQ781" t="s">
        <v>74</v>
      </c>
      <c r="BR781" t="s">
        <v>106</v>
      </c>
      <c r="BS781" t="s">
        <v>14902</v>
      </c>
      <c r="BT781" t="str">
        <f>HYPERLINK("https%3A%2F%2Fwww.webofscience.com%2Fwos%2Fwoscc%2Ffull-record%2FWOS:001454297400001","View Full Record in Web of Science")</f>
        <v>View Full Record in Web of Science</v>
      </c>
    </row>
    <row r="782" spans="1:72" x14ac:dyDescent="0.2">
      <c r="A782" t="s">
        <v>72</v>
      </c>
      <c r="B782" t="s">
        <v>14903</v>
      </c>
      <c r="C782" t="s">
        <v>74</v>
      </c>
      <c r="D782" t="s">
        <v>74</v>
      </c>
      <c r="E782" t="s">
        <v>74</v>
      </c>
      <c r="F782" t="s">
        <v>14904</v>
      </c>
      <c r="G782" t="s">
        <v>74</v>
      </c>
      <c r="H782" t="s">
        <v>74</v>
      </c>
      <c r="I782" t="s">
        <v>14905</v>
      </c>
      <c r="J782" t="s">
        <v>1526</v>
      </c>
      <c r="K782" t="s">
        <v>74</v>
      </c>
      <c r="L782" t="s">
        <v>74</v>
      </c>
      <c r="M782" t="s">
        <v>78</v>
      </c>
      <c r="N782" t="s">
        <v>79</v>
      </c>
      <c r="O782" t="s">
        <v>74</v>
      </c>
      <c r="P782" t="s">
        <v>74</v>
      </c>
      <c r="Q782" t="s">
        <v>74</v>
      </c>
      <c r="R782" t="s">
        <v>74</v>
      </c>
      <c r="S782" t="s">
        <v>74</v>
      </c>
      <c r="T782" t="s">
        <v>14906</v>
      </c>
      <c r="U782" t="s">
        <v>14907</v>
      </c>
      <c r="V782" t="s">
        <v>14908</v>
      </c>
      <c r="W782" t="s">
        <v>14909</v>
      </c>
      <c r="X782" t="s">
        <v>14910</v>
      </c>
      <c r="Y782" t="s">
        <v>14911</v>
      </c>
      <c r="Z782" t="s">
        <v>14912</v>
      </c>
      <c r="AA782" t="s">
        <v>14913</v>
      </c>
      <c r="AB782" t="s">
        <v>14914</v>
      </c>
      <c r="AC782" t="s">
        <v>74</v>
      </c>
      <c r="AD782" t="s">
        <v>74</v>
      </c>
      <c r="AE782" t="s">
        <v>74</v>
      </c>
      <c r="AF782" t="s">
        <v>74</v>
      </c>
      <c r="AG782">
        <v>104</v>
      </c>
      <c r="AH782">
        <v>88</v>
      </c>
      <c r="AI782">
        <v>94</v>
      </c>
      <c r="AJ782">
        <v>6</v>
      </c>
      <c r="AK782">
        <v>144</v>
      </c>
      <c r="AL782" t="s">
        <v>176</v>
      </c>
      <c r="AM782" t="s">
        <v>177</v>
      </c>
      <c r="AN782" t="s">
        <v>178</v>
      </c>
      <c r="AO782" t="s">
        <v>1538</v>
      </c>
      <c r="AP782" t="s">
        <v>1539</v>
      </c>
      <c r="AQ782" t="s">
        <v>74</v>
      </c>
      <c r="AR782" t="s">
        <v>1540</v>
      </c>
      <c r="AS782" t="s">
        <v>1541</v>
      </c>
      <c r="AT782" t="s">
        <v>1632</v>
      </c>
      <c r="AU782">
        <v>2017</v>
      </c>
      <c r="AV782">
        <v>140</v>
      </c>
      <c r="AW782" t="s">
        <v>74</v>
      </c>
      <c r="AX782">
        <v>2</v>
      </c>
      <c r="AY782" t="s">
        <v>74</v>
      </c>
      <c r="AZ782" t="s">
        <v>1070</v>
      </c>
      <c r="BA782" t="s">
        <v>74</v>
      </c>
      <c r="BB782">
        <v>608</v>
      </c>
      <c r="BC782">
        <v>621</v>
      </c>
      <c r="BD782" t="s">
        <v>74</v>
      </c>
      <c r="BE782" t="s">
        <v>14915</v>
      </c>
      <c r="BF782" t="str">
        <f>HYPERLINK("http://dx.doi.org/10.1016/j.jclepro.2016.04.135","http://dx.doi.org/10.1016/j.jclepro.2016.04.135")</f>
        <v>http://dx.doi.org/10.1016/j.jclepro.2016.04.135</v>
      </c>
      <c r="BG782" t="s">
        <v>74</v>
      </c>
      <c r="BH782" t="s">
        <v>74</v>
      </c>
      <c r="BI782">
        <v>14</v>
      </c>
      <c r="BJ782" t="s">
        <v>1543</v>
      </c>
      <c r="BK782" t="s">
        <v>102</v>
      </c>
      <c r="BL782" t="s">
        <v>1544</v>
      </c>
      <c r="BM782" t="s">
        <v>14916</v>
      </c>
      <c r="BN782" t="s">
        <v>74</v>
      </c>
      <c r="BO782" t="s">
        <v>74</v>
      </c>
      <c r="BP782" t="s">
        <v>74</v>
      </c>
      <c r="BQ782" t="s">
        <v>74</v>
      </c>
      <c r="BR782" t="s">
        <v>106</v>
      </c>
      <c r="BS782" t="s">
        <v>14917</v>
      </c>
      <c r="BT782" t="str">
        <f>HYPERLINK("https%3A%2F%2Fwww.webofscience.com%2Fwos%2Fwoscc%2Ffull-record%2FWOS:000388775200020","View Full Record in Web of Science")</f>
        <v>View Full Record in Web of Science</v>
      </c>
    </row>
    <row r="783" spans="1:72" x14ac:dyDescent="0.2">
      <c r="A783" t="s">
        <v>72</v>
      </c>
      <c r="B783" t="s">
        <v>14918</v>
      </c>
      <c r="C783" t="s">
        <v>74</v>
      </c>
      <c r="D783" t="s">
        <v>74</v>
      </c>
      <c r="E783" t="s">
        <v>74</v>
      </c>
      <c r="F783" t="s">
        <v>14919</v>
      </c>
      <c r="G783" t="s">
        <v>74</v>
      </c>
      <c r="H783" t="s">
        <v>74</v>
      </c>
      <c r="I783" t="s">
        <v>14920</v>
      </c>
      <c r="J783" t="s">
        <v>14921</v>
      </c>
      <c r="K783" t="s">
        <v>74</v>
      </c>
      <c r="L783" t="s">
        <v>74</v>
      </c>
      <c r="M783" t="s">
        <v>78</v>
      </c>
      <c r="N783" t="s">
        <v>79</v>
      </c>
      <c r="O783" t="s">
        <v>74</v>
      </c>
      <c r="P783" t="s">
        <v>74</v>
      </c>
      <c r="Q783" t="s">
        <v>74</v>
      </c>
      <c r="R783" t="s">
        <v>74</v>
      </c>
      <c r="S783" t="s">
        <v>74</v>
      </c>
      <c r="T783" t="s">
        <v>14922</v>
      </c>
      <c r="U783" t="s">
        <v>14923</v>
      </c>
      <c r="V783" t="s">
        <v>14924</v>
      </c>
      <c r="W783" t="s">
        <v>14925</v>
      </c>
      <c r="X783" t="s">
        <v>14926</v>
      </c>
      <c r="Y783" t="s">
        <v>14927</v>
      </c>
      <c r="Z783" t="s">
        <v>14928</v>
      </c>
      <c r="AA783" t="s">
        <v>14929</v>
      </c>
      <c r="AB783" t="s">
        <v>14930</v>
      </c>
      <c r="AC783" t="s">
        <v>14931</v>
      </c>
      <c r="AD783" t="s">
        <v>14932</v>
      </c>
      <c r="AE783" t="s">
        <v>14933</v>
      </c>
      <c r="AF783" t="s">
        <v>74</v>
      </c>
      <c r="AG783">
        <v>40</v>
      </c>
      <c r="AH783">
        <v>21</v>
      </c>
      <c r="AI783">
        <v>22</v>
      </c>
      <c r="AJ783">
        <v>0</v>
      </c>
      <c r="AK783">
        <v>39</v>
      </c>
      <c r="AL783" t="s">
        <v>14934</v>
      </c>
      <c r="AM783" t="s">
        <v>14935</v>
      </c>
      <c r="AN783" t="s">
        <v>14936</v>
      </c>
      <c r="AO783" t="s">
        <v>14937</v>
      </c>
      <c r="AP783" t="s">
        <v>14938</v>
      </c>
      <c r="AQ783" t="s">
        <v>74</v>
      </c>
      <c r="AR783" t="s">
        <v>14939</v>
      </c>
      <c r="AS783" t="s">
        <v>14940</v>
      </c>
      <c r="AT783" t="s">
        <v>14941</v>
      </c>
      <c r="AU783">
        <v>2017</v>
      </c>
      <c r="AV783">
        <v>83</v>
      </c>
      <c r="AW783" t="s">
        <v>74</v>
      </c>
      <c r="AX783" t="s">
        <v>74</v>
      </c>
      <c r="AY783" t="s">
        <v>74</v>
      </c>
      <c r="AZ783" t="s">
        <v>74</v>
      </c>
      <c r="BA783" t="s">
        <v>74</v>
      </c>
      <c r="BB783">
        <v>76</v>
      </c>
      <c r="BC783">
        <v>83</v>
      </c>
      <c r="BD783" t="s">
        <v>74</v>
      </c>
      <c r="BE783" t="s">
        <v>14942</v>
      </c>
      <c r="BF783" t="str">
        <f>HYPERLINK("http://dx.doi.org/10.1016/j.ejsobi.2017.10.005","http://dx.doi.org/10.1016/j.ejsobi.2017.10.005")</f>
        <v>http://dx.doi.org/10.1016/j.ejsobi.2017.10.005</v>
      </c>
      <c r="BG783" t="s">
        <v>74</v>
      </c>
      <c r="BH783" t="s">
        <v>74</v>
      </c>
      <c r="BI783">
        <v>8</v>
      </c>
      <c r="BJ783" t="s">
        <v>14943</v>
      </c>
      <c r="BK783" t="s">
        <v>102</v>
      </c>
      <c r="BL783" t="s">
        <v>4943</v>
      </c>
      <c r="BM783" t="s">
        <v>14944</v>
      </c>
      <c r="BN783" t="s">
        <v>74</v>
      </c>
      <c r="BO783" t="s">
        <v>74</v>
      </c>
      <c r="BP783" t="s">
        <v>74</v>
      </c>
      <c r="BQ783" t="s">
        <v>74</v>
      </c>
      <c r="BR783" t="s">
        <v>106</v>
      </c>
      <c r="BS783" t="s">
        <v>14945</v>
      </c>
      <c r="BT783" t="str">
        <f>HYPERLINK("https%3A%2F%2Fwww.webofscience.com%2Fwos%2Fwoscc%2Ffull-record%2FWOS:000418988200010","View Full Record in Web of Science")</f>
        <v>View Full Record in Web of Science</v>
      </c>
    </row>
    <row r="784" spans="1:72" x14ac:dyDescent="0.2">
      <c r="A784" t="s">
        <v>72</v>
      </c>
      <c r="B784" t="s">
        <v>14946</v>
      </c>
      <c r="C784" t="s">
        <v>74</v>
      </c>
      <c r="D784" t="s">
        <v>74</v>
      </c>
      <c r="E784" t="s">
        <v>74</v>
      </c>
      <c r="F784" t="s">
        <v>14947</v>
      </c>
      <c r="G784" t="s">
        <v>74</v>
      </c>
      <c r="H784" t="s">
        <v>74</v>
      </c>
      <c r="I784" t="s">
        <v>14948</v>
      </c>
      <c r="J784" t="s">
        <v>1526</v>
      </c>
      <c r="K784" t="s">
        <v>74</v>
      </c>
      <c r="L784" t="s">
        <v>74</v>
      </c>
      <c r="M784" t="s">
        <v>78</v>
      </c>
      <c r="N784" t="s">
        <v>79</v>
      </c>
      <c r="O784" t="s">
        <v>74</v>
      </c>
      <c r="P784" t="s">
        <v>74</v>
      </c>
      <c r="Q784" t="s">
        <v>74</v>
      </c>
      <c r="R784" t="s">
        <v>74</v>
      </c>
      <c r="S784" t="s">
        <v>74</v>
      </c>
      <c r="T784" t="s">
        <v>14949</v>
      </c>
      <c r="U784" t="s">
        <v>14950</v>
      </c>
      <c r="V784" t="s">
        <v>14951</v>
      </c>
      <c r="W784" t="s">
        <v>14952</v>
      </c>
      <c r="X784" t="s">
        <v>14953</v>
      </c>
      <c r="Y784" t="s">
        <v>14954</v>
      </c>
      <c r="Z784" t="s">
        <v>14955</v>
      </c>
      <c r="AA784" t="s">
        <v>14956</v>
      </c>
      <c r="AB784" t="s">
        <v>14957</v>
      </c>
      <c r="AC784" t="s">
        <v>14958</v>
      </c>
      <c r="AD784" t="s">
        <v>14959</v>
      </c>
      <c r="AE784" t="s">
        <v>14960</v>
      </c>
      <c r="AF784" t="s">
        <v>74</v>
      </c>
      <c r="AG784">
        <v>121</v>
      </c>
      <c r="AH784">
        <v>12</v>
      </c>
      <c r="AI784">
        <v>13</v>
      </c>
      <c r="AJ784">
        <v>3</v>
      </c>
      <c r="AK784">
        <v>60</v>
      </c>
      <c r="AL784" t="s">
        <v>176</v>
      </c>
      <c r="AM784" t="s">
        <v>177</v>
      </c>
      <c r="AN784" t="s">
        <v>178</v>
      </c>
      <c r="AO784" t="s">
        <v>1538</v>
      </c>
      <c r="AP784" t="s">
        <v>1539</v>
      </c>
      <c r="AQ784" t="s">
        <v>74</v>
      </c>
      <c r="AR784" t="s">
        <v>1540</v>
      </c>
      <c r="AS784" t="s">
        <v>1541</v>
      </c>
      <c r="AT784" t="s">
        <v>1468</v>
      </c>
      <c r="AU784">
        <v>2020</v>
      </c>
      <c r="AV784">
        <v>257</v>
      </c>
      <c r="AW784" t="s">
        <v>74</v>
      </c>
      <c r="AX784" t="s">
        <v>74</v>
      </c>
      <c r="AY784" t="s">
        <v>74</v>
      </c>
      <c r="AZ784" t="s">
        <v>74</v>
      </c>
      <c r="BA784" t="s">
        <v>74</v>
      </c>
      <c r="BB784" t="s">
        <v>74</v>
      </c>
      <c r="BC784" t="s">
        <v>74</v>
      </c>
      <c r="BD784">
        <v>120463</v>
      </c>
      <c r="BE784" t="s">
        <v>14961</v>
      </c>
      <c r="BF784" t="str">
        <f>HYPERLINK("http://dx.doi.org/10.1016/j.jclepro.2020.120463","http://dx.doi.org/10.1016/j.jclepro.2020.120463")</f>
        <v>http://dx.doi.org/10.1016/j.jclepro.2020.120463</v>
      </c>
      <c r="BG784" t="s">
        <v>74</v>
      </c>
      <c r="BH784" t="s">
        <v>74</v>
      </c>
      <c r="BI784">
        <v>14</v>
      </c>
      <c r="BJ784" t="s">
        <v>1543</v>
      </c>
      <c r="BK784" t="s">
        <v>102</v>
      </c>
      <c r="BL784" t="s">
        <v>1544</v>
      </c>
      <c r="BM784" t="s">
        <v>14962</v>
      </c>
      <c r="BN784" t="s">
        <v>74</v>
      </c>
      <c r="BO784" t="s">
        <v>74</v>
      </c>
      <c r="BP784" t="s">
        <v>74</v>
      </c>
      <c r="BQ784" t="s">
        <v>74</v>
      </c>
      <c r="BR784" t="s">
        <v>106</v>
      </c>
      <c r="BS784" t="s">
        <v>14963</v>
      </c>
      <c r="BT784" t="str">
        <f>HYPERLINK("https%3A%2F%2Fwww.webofscience.com%2Fwos%2Fwoscc%2Ffull-record%2FWOS:000522383500046","View Full Record in Web of Science")</f>
        <v>View Full Record in Web of Science</v>
      </c>
    </row>
    <row r="785" spans="1:72" x14ac:dyDescent="0.2">
      <c r="A785" t="s">
        <v>72</v>
      </c>
      <c r="B785" t="s">
        <v>14964</v>
      </c>
      <c r="C785" t="s">
        <v>74</v>
      </c>
      <c r="D785" t="s">
        <v>74</v>
      </c>
      <c r="E785" t="s">
        <v>74</v>
      </c>
      <c r="F785" t="s">
        <v>14965</v>
      </c>
      <c r="G785" t="s">
        <v>74</v>
      </c>
      <c r="H785" t="s">
        <v>74</v>
      </c>
      <c r="I785" t="s">
        <v>14966</v>
      </c>
      <c r="J785" t="s">
        <v>14967</v>
      </c>
      <c r="K785" t="s">
        <v>74</v>
      </c>
      <c r="L785" t="s">
        <v>74</v>
      </c>
      <c r="M785" t="s">
        <v>78</v>
      </c>
      <c r="N785" t="s">
        <v>79</v>
      </c>
      <c r="O785" t="s">
        <v>74</v>
      </c>
      <c r="P785" t="s">
        <v>74</v>
      </c>
      <c r="Q785" t="s">
        <v>74</v>
      </c>
      <c r="R785" t="s">
        <v>74</v>
      </c>
      <c r="S785" t="s">
        <v>74</v>
      </c>
      <c r="T785" t="s">
        <v>14968</v>
      </c>
      <c r="U785" t="s">
        <v>14969</v>
      </c>
      <c r="V785" t="s">
        <v>14970</v>
      </c>
      <c r="W785" t="s">
        <v>14971</v>
      </c>
      <c r="X785" t="s">
        <v>14972</v>
      </c>
      <c r="Y785" t="s">
        <v>14973</v>
      </c>
      <c r="Z785" t="s">
        <v>14974</v>
      </c>
      <c r="AA785" t="s">
        <v>14975</v>
      </c>
      <c r="AB785" t="s">
        <v>14976</v>
      </c>
      <c r="AC785" t="s">
        <v>74</v>
      </c>
      <c r="AD785" t="s">
        <v>74</v>
      </c>
      <c r="AE785" t="s">
        <v>74</v>
      </c>
      <c r="AF785" t="s">
        <v>74</v>
      </c>
      <c r="AG785">
        <v>45</v>
      </c>
      <c r="AH785">
        <v>6</v>
      </c>
      <c r="AI785">
        <v>7</v>
      </c>
      <c r="AJ785">
        <v>0</v>
      </c>
      <c r="AK785">
        <v>24</v>
      </c>
      <c r="AL785" t="s">
        <v>14977</v>
      </c>
      <c r="AM785" t="s">
        <v>14978</v>
      </c>
      <c r="AN785" t="s">
        <v>14979</v>
      </c>
      <c r="AO785" t="s">
        <v>14980</v>
      </c>
      <c r="AP785" t="s">
        <v>14981</v>
      </c>
      <c r="AQ785" t="s">
        <v>74</v>
      </c>
      <c r="AR785" t="s">
        <v>14982</v>
      </c>
      <c r="AS785" t="s">
        <v>14983</v>
      </c>
      <c r="AT785" t="s">
        <v>14984</v>
      </c>
      <c r="AU785">
        <v>2015</v>
      </c>
      <c r="AV785">
        <v>43</v>
      </c>
      <c r="AW785">
        <v>1</v>
      </c>
      <c r="AX785" t="s">
        <v>74</v>
      </c>
      <c r="AY785" t="s">
        <v>74</v>
      </c>
      <c r="AZ785" t="s">
        <v>74</v>
      </c>
      <c r="BA785" t="s">
        <v>74</v>
      </c>
      <c r="BB785">
        <v>278</v>
      </c>
      <c r="BC785">
        <v>286</v>
      </c>
      <c r="BD785" t="s">
        <v>74</v>
      </c>
      <c r="BE785" t="s">
        <v>14985</v>
      </c>
      <c r="BF785" t="str">
        <f>HYPERLINK("http://dx.doi.org/10.15835/nbha4319978","http://dx.doi.org/10.15835/nbha4319978")</f>
        <v>http://dx.doi.org/10.15835/nbha4319978</v>
      </c>
      <c r="BG785" t="s">
        <v>74</v>
      </c>
      <c r="BH785" t="s">
        <v>74</v>
      </c>
      <c r="BI785">
        <v>9</v>
      </c>
      <c r="BJ785" t="s">
        <v>3850</v>
      </c>
      <c r="BK785" t="s">
        <v>102</v>
      </c>
      <c r="BL785" t="s">
        <v>3850</v>
      </c>
      <c r="BM785" t="s">
        <v>14986</v>
      </c>
      <c r="BN785" t="s">
        <v>74</v>
      </c>
      <c r="BO785" t="s">
        <v>231</v>
      </c>
      <c r="BP785" t="s">
        <v>74</v>
      </c>
      <c r="BQ785" t="s">
        <v>74</v>
      </c>
      <c r="BR785" t="s">
        <v>106</v>
      </c>
      <c r="BS785" t="s">
        <v>14987</v>
      </c>
      <c r="BT785" t="str">
        <f>HYPERLINK("https%3A%2F%2Fwww.webofscience.com%2Fwos%2Fwoscc%2Ffull-record%2FWOS:000357000600042","View Full Record in Web of Science")</f>
        <v>View Full Record in Web of Science</v>
      </c>
    </row>
    <row r="786" spans="1:72" x14ac:dyDescent="0.2">
      <c r="A786" t="s">
        <v>72</v>
      </c>
      <c r="B786" t="s">
        <v>14988</v>
      </c>
      <c r="C786" t="s">
        <v>74</v>
      </c>
      <c r="D786" t="s">
        <v>74</v>
      </c>
      <c r="E786" t="s">
        <v>74</v>
      </c>
      <c r="F786" t="s">
        <v>14989</v>
      </c>
      <c r="G786" t="s">
        <v>74</v>
      </c>
      <c r="H786" t="s">
        <v>74</v>
      </c>
      <c r="I786" t="s">
        <v>14990</v>
      </c>
      <c r="J786" t="s">
        <v>13501</v>
      </c>
      <c r="K786" t="s">
        <v>74</v>
      </c>
      <c r="L786" t="s">
        <v>74</v>
      </c>
      <c r="M786" t="s">
        <v>78</v>
      </c>
      <c r="N786" t="s">
        <v>79</v>
      </c>
      <c r="O786" t="s">
        <v>74</v>
      </c>
      <c r="P786" t="s">
        <v>74</v>
      </c>
      <c r="Q786" t="s">
        <v>74</v>
      </c>
      <c r="R786" t="s">
        <v>74</v>
      </c>
      <c r="S786" t="s">
        <v>74</v>
      </c>
      <c r="T786" t="s">
        <v>14991</v>
      </c>
      <c r="U786" t="s">
        <v>14992</v>
      </c>
      <c r="V786" t="s">
        <v>14993</v>
      </c>
      <c r="W786" t="s">
        <v>14994</v>
      </c>
      <c r="X786" t="s">
        <v>74</v>
      </c>
      <c r="Y786" t="s">
        <v>14995</v>
      </c>
      <c r="Z786" t="s">
        <v>14996</v>
      </c>
      <c r="AA786" t="s">
        <v>14997</v>
      </c>
      <c r="AB786" t="s">
        <v>74</v>
      </c>
      <c r="AC786" t="s">
        <v>74</v>
      </c>
      <c r="AD786" t="s">
        <v>74</v>
      </c>
      <c r="AE786" t="s">
        <v>74</v>
      </c>
      <c r="AF786" t="s">
        <v>74</v>
      </c>
      <c r="AG786">
        <v>48</v>
      </c>
      <c r="AH786">
        <v>0</v>
      </c>
      <c r="AI786">
        <v>0</v>
      </c>
      <c r="AJ786">
        <v>0</v>
      </c>
      <c r="AK786">
        <v>0</v>
      </c>
      <c r="AL786" t="s">
        <v>1242</v>
      </c>
      <c r="AM786" t="s">
        <v>1243</v>
      </c>
      <c r="AN786" t="s">
        <v>1244</v>
      </c>
      <c r="AO786" t="s">
        <v>13514</v>
      </c>
      <c r="AP786" t="s">
        <v>13515</v>
      </c>
      <c r="AQ786" t="s">
        <v>74</v>
      </c>
      <c r="AR786" t="s">
        <v>13516</v>
      </c>
      <c r="AS786" t="s">
        <v>13517</v>
      </c>
      <c r="AT786" t="s">
        <v>2017</v>
      </c>
      <c r="AU786">
        <v>2025</v>
      </c>
      <c r="AV786">
        <v>25</v>
      </c>
      <c r="AW786">
        <v>10</v>
      </c>
      <c r="AX786" t="s">
        <v>74</v>
      </c>
      <c r="AY786" t="s">
        <v>74</v>
      </c>
      <c r="AZ786" t="s">
        <v>74</v>
      </c>
      <c r="BA786" t="s">
        <v>74</v>
      </c>
      <c r="BB786">
        <v>2887</v>
      </c>
      <c r="BC786">
        <v>2895</v>
      </c>
      <c r="BD786" t="s">
        <v>74</v>
      </c>
      <c r="BE786" t="s">
        <v>14998</v>
      </c>
      <c r="BF786" t="str">
        <f>HYPERLINK("http://dx.doi.org/10.1007/s11368-025-04131-6","http://dx.doi.org/10.1007/s11368-025-04131-6")</f>
        <v>http://dx.doi.org/10.1007/s11368-025-04131-6</v>
      </c>
      <c r="BG786" t="s">
        <v>74</v>
      </c>
      <c r="BH786" t="s">
        <v>1338</v>
      </c>
      <c r="BI786">
        <v>9</v>
      </c>
      <c r="BJ786" t="s">
        <v>4942</v>
      </c>
      <c r="BK786" t="s">
        <v>102</v>
      </c>
      <c r="BL786" t="s">
        <v>4943</v>
      </c>
      <c r="BM786" t="s">
        <v>14999</v>
      </c>
      <c r="BN786" t="s">
        <v>74</v>
      </c>
      <c r="BO786" t="s">
        <v>74</v>
      </c>
      <c r="BP786" t="s">
        <v>74</v>
      </c>
      <c r="BQ786" t="s">
        <v>74</v>
      </c>
      <c r="BR786" t="s">
        <v>106</v>
      </c>
      <c r="BS786" t="s">
        <v>15000</v>
      </c>
      <c r="BT786" t="str">
        <f>HYPERLINK("https%3A%2F%2Fwww.webofscience.com%2Fwos%2Fwoscc%2Ffull-record%2FWOS:001581960200001","View Full Record in Web of Science")</f>
        <v>View Full Record in Web of Science</v>
      </c>
    </row>
    <row r="787" spans="1:72" x14ac:dyDescent="0.2">
      <c r="A787" t="s">
        <v>72</v>
      </c>
      <c r="B787" t="s">
        <v>15001</v>
      </c>
      <c r="C787" t="s">
        <v>74</v>
      </c>
      <c r="D787" t="s">
        <v>74</v>
      </c>
      <c r="E787" t="s">
        <v>74</v>
      </c>
      <c r="F787" t="s">
        <v>15002</v>
      </c>
      <c r="G787" t="s">
        <v>74</v>
      </c>
      <c r="H787" t="s">
        <v>74</v>
      </c>
      <c r="I787" t="s">
        <v>15003</v>
      </c>
      <c r="J787" t="s">
        <v>1526</v>
      </c>
      <c r="K787" t="s">
        <v>74</v>
      </c>
      <c r="L787" t="s">
        <v>74</v>
      </c>
      <c r="M787" t="s">
        <v>78</v>
      </c>
      <c r="N787" t="s">
        <v>79</v>
      </c>
      <c r="O787" t="s">
        <v>74</v>
      </c>
      <c r="P787" t="s">
        <v>74</v>
      </c>
      <c r="Q787" t="s">
        <v>74</v>
      </c>
      <c r="R787" t="s">
        <v>74</v>
      </c>
      <c r="S787" t="s">
        <v>74</v>
      </c>
      <c r="T787" t="s">
        <v>15004</v>
      </c>
      <c r="U787" t="s">
        <v>15005</v>
      </c>
      <c r="V787" t="s">
        <v>15006</v>
      </c>
      <c r="W787" t="s">
        <v>15007</v>
      </c>
      <c r="X787" t="s">
        <v>15008</v>
      </c>
      <c r="Y787" t="s">
        <v>15009</v>
      </c>
      <c r="Z787" t="s">
        <v>15010</v>
      </c>
      <c r="AA787" t="s">
        <v>15011</v>
      </c>
      <c r="AB787" t="s">
        <v>74</v>
      </c>
      <c r="AC787" t="s">
        <v>15012</v>
      </c>
      <c r="AD787" t="s">
        <v>15013</v>
      </c>
      <c r="AE787" t="s">
        <v>15014</v>
      </c>
      <c r="AF787" t="s">
        <v>74</v>
      </c>
      <c r="AG787">
        <v>46</v>
      </c>
      <c r="AH787">
        <v>25</v>
      </c>
      <c r="AI787">
        <v>30</v>
      </c>
      <c r="AJ787">
        <v>6</v>
      </c>
      <c r="AK787">
        <v>107</v>
      </c>
      <c r="AL787" t="s">
        <v>176</v>
      </c>
      <c r="AM787" t="s">
        <v>177</v>
      </c>
      <c r="AN787" t="s">
        <v>178</v>
      </c>
      <c r="AO787" t="s">
        <v>1538</v>
      </c>
      <c r="AP787" t="s">
        <v>1539</v>
      </c>
      <c r="AQ787" t="s">
        <v>74</v>
      </c>
      <c r="AR787" t="s">
        <v>1540</v>
      </c>
      <c r="AS787" t="s">
        <v>1541</v>
      </c>
      <c r="AT787" t="s">
        <v>2229</v>
      </c>
      <c r="AU787">
        <v>2020</v>
      </c>
      <c r="AV787">
        <v>249</v>
      </c>
      <c r="AW787" t="s">
        <v>74</v>
      </c>
      <c r="AX787" t="s">
        <v>74</v>
      </c>
      <c r="AY787" t="s">
        <v>74</v>
      </c>
      <c r="AZ787" t="s">
        <v>74</v>
      </c>
      <c r="BA787" t="s">
        <v>74</v>
      </c>
      <c r="BB787" t="s">
        <v>74</v>
      </c>
      <c r="BC787" t="s">
        <v>74</v>
      </c>
      <c r="BD787">
        <v>119436</v>
      </c>
      <c r="BE787" t="s">
        <v>15015</v>
      </c>
      <c r="BF787" t="str">
        <f>HYPERLINK("http://dx.doi.org/10.1016/j.jclepro.2019.119436","http://dx.doi.org/10.1016/j.jclepro.2019.119436")</f>
        <v>http://dx.doi.org/10.1016/j.jclepro.2019.119436</v>
      </c>
      <c r="BG787" t="s">
        <v>74</v>
      </c>
      <c r="BH787" t="s">
        <v>74</v>
      </c>
      <c r="BI787">
        <v>13</v>
      </c>
      <c r="BJ787" t="s">
        <v>1543</v>
      </c>
      <c r="BK787" t="s">
        <v>102</v>
      </c>
      <c r="BL787" t="s">
        <v>1544</v>
      </c>
      <c r="BM787" t="s">
        <v>15016</v>
      </c>
      <c r="BN787" t="s">
        <v>74</v>
      </c>
      <c r="BO787" t="s">
        <v>74</v>
      </c>
      <c r="BP787" t="s">
        <v>74</v>
      </c>
      <c r="BQ787" t="s">
        <v>74</v>
      </c>
      <c r="BR787" t="s">
        <v>106</v>
      </c>
      <c r="BS787" t="s">
        <v>15017</v>
      </c>
      <c r="BT787" t="str">
        <f>HYPERLINK("https%3A%2F%2Fwww.webofscience.com%2Fwos%2Fwoscc%2Ffull-record%2FWOS:000507856300120","View Full Record in Web of Science")</f>
        <v>View Full Record in Web of Science</v>
      </c>
    </row>
    <row r="788" spans="1:72" x14ac:dyDescent="0.2">
      <c r="A788" t="s">
        <v>72</v>
      </c>
      <c r="B788" t="s">
        <v>15018</v>
      </c>
      <c r="C788" t="s">
        <v>74</v>
      </c>
      <c r="D788" t="s">
        <v>74</v>
      </c>
      <c r="E788" t="s">
        <v>74</v>
      </c>
      <c r="F788" t="s">
        <v>15019</v>
      </c>
      <c r="G788" t="s">
        <v>74</v>
      </c>
      <c r="H788" t="s">
        <v>74</v>
      </c>
      <c r="I788" t="s">
        <v>15020</v>
      </c>
      <c r="J788" t="s">
        <v>1231</v>
      </c>
      <c r="K788" t="s">
        <v>74</v>
      </c>
      <c r="L788" t="s">
        <v>74</v>
      </c>
      <c r="M788" t="s">
        <v>78</v>
      </c>
      <c r="N788" t="s">
        <v>79</v>
      </c>
      <c r="O788" t="s">
        <v>74</v>
      </c>
      <c r="P788" t="s">
        <v>74</v>
      </c>
      <c r="Q788" t="s">
        <v>74</v>
      </c>
      <c r="R788" t="s">
        <v>74</v>
      </c>
      <c r="S788" t="s">
        <v>74</v>
      </c>
      <c r="T788" t="s">
        <v>15021</v>
      </c>
      <c r="U788" t="s">
        <v>15022</v>
      </c>
      <c r="V788" t="s">
        <v>15023</v>
      </c>
      <c r="W788" t="s">
        <v>15024</v>
      </c>
      <c r="X788" t="s">
        <v>15025</v>
      </c>
      <c r="Y788" t="s">
        <v>15026</v>
      </c>
      <c r="Z788" t="s">
        <v>15027</v>
      </c>
      <c r="AA788" t="s">
        <v>15028</v>
      </c>
      <c r="AB788" t="s">
        <v>15029</v>
      </c>
      <c r="AC788" t="s">
        <v>15030</v>
      </c>
      <c r="AD788" t="s">
        <v>15031</v>
      </c>
      <c r="AE788" t="s">
        <v>15032</v>
      </c>
      <c r="AF788" t="s">
        <v>74</v>
      </c>
      <c r="AG788">
        <v>64</v>
      </c>
      <c r="AH788">
        <v>199</v>
      </c>
      <c r="AI788">
        <v>216</v>
      </c>
      <c r="AJ788">
        <v>2</v>
      </c>
      <c r="AK788">
        <v>111</v>
      </c>
      <c r="AL788" t="s">
        <v>1242</v>
      </c>
      <c r="AM788" t="s">
        <v>1243</v>
      </c>
      <c r="AN788" t="s">
        <v>1244</v>
      </c>
      <c r="AO788" t="s">
        <v>1245</v>
      </c>
      <c r="AP788" t="s">
        <v>1246</v>
      </c>
      <c r="AQ788" t="s">
        <v>74</v>
      </c>
      <c r="AR788" t="s">
        <v>1247</v>
      </c>
      <c r="AS788" t="s">
        <v>1248</v>
      </c>
      <c r="AT788" t="s">
        <v>805</v>
      </c>
      <c r="AU788">
        <v>2018</v>
      </c>
      <c r="AV788">
        <v>25</v>
      </c>
      <c r="AW788">
        <v>32</v>
      </c>
      <c r="AX788" t="s">
        <v>74</v>
      </c>
      <c r="AY788" t="s">
        <v>74</v>
      </c>
      <c r="AZ788" t="s">
        <v>74</v>
      </c>
      <c r="BA788" t="s">
        <v>74</v>
      </c>
      <c r="BB788">
        <v>32066</v>
      </c>
      <c r="BC788">
        <v>32080</v>
      </c>
      <c r="BD788" t="s">
        <v>74</v>
      </c>
      <c r="BE788" t="s">
        <v>15033</v>
      </c>
      <c r="BF788" t="str">
        <f>HYPERLINK("http://dx.doi.org/10.1007/s11356-018-3052-5","http://dx.doi.org/10.1007/s11356-018-3052-5")</f>
        <v>http://dx.doi.org/10.1007/s11356-018-3052-5</v>
      </c>
      <c r="BG788" t="s">
        <v>74</v>
      </c>
      <c r="BH788" t="s">
        <v>74</v>
      </c>
      <c r="BI788">
        <v>15</v>
      </c>
      <c r="BJ788" t="s">
        <v>567</v>
      </c>
      <c r="BK788" t="s">
        <v>186</v>
      </c>
      <c r="BL788" t="s">
        <v>568</v>
      </c>
      <c r="BM788" t="s">
        <v>15034</v>
      </c>
      <c r="BN788">
        <v>30218332</v>
      </c>
      <c r="BO788" t="s">
        <v>74</v>
      </c>
      <c r="BP788" t="s">
        <v>74</v>
      </c>
      <c r="BQ788" t="s">
        <v>74</v>
      </c>
      <c r="BR788" t="s">
        <v>106</v>
      </c>
      <c r="BS788" t="s">
        <v>15035</v>
      </c>
      <c r="BT788" t="str">
        <f>HYPERLINK("https%3A%2F%2Fwww.webofscience.com%2Fwos%2Fwoscc%2Ffull-record%2FWOS:000448662700025","View Full Record in Web of Science")</f>
        <v>View Full Record in Web of Science</v>
      </c>
    </row>
    <row r="789" spans="1:72" x14ac:dyDescent="0.2">
      <c r="A789" t="s">
        <v>72</v>
      </c>
      <c r="B789" t="s">
        <v>15036</v>
      </c>
      <c r="C789" t="s">
        <v>74</v>
      </c>
      <c r="D789" t="s">
        <v>74</v>
      </c>
      <c r="E789" t="s">
        <v>74</v>
      </c>
      <c r="F789" t="s">
        <v>15037</v>
      </c>
      <c r="G789" t="s">
        <v>74</v>
      </c>
      <c r="H789" t="s">
        <v>74</v>
      </c>
      <c r="I789" t="s">
        <v>15038</v>
      </c>
      <c r="J789" t="s">
        <v>3413</v>
      </c>
      <c r="K789" t="s">
        <v>74</v>
      </c>
      <c r="L789" t="s">
        <v>74</v>
      </c>
      <c r="M789" t="s">
        <v>78</v>
      </c>
      <c r="N789" t="s">
        <v>79</v>
      </c>
      <c r="O789" t="s">
        <v>74</v>
      </c>
      <c r="P789" t="s">
        <v>74</v>
      </c>
      <c r="Q789" t="s">
        <v>74</v>
      </c>
      <c r="R789" t="s">
        <v>74</v>
      </c>
      <c r="S789" t="s">
        <v>74</v>
      </c>
      <c r="T789" t="s">
        <v>15039</v>
      </c>
      <c r="U789" t="s">
        <v>15040</v>
      </c>
      <c r="V789" t="s">
        <v>15041</v>
      </c>
      <c r="W789" t="s">
        <v>15042</v>
      </c>
      <c r="X789" t="s">
        <v>15043</v>
      </c>
      <c r="Y789" t="s">
        <v>15044</v>
      </c>
      <c r="Z789" t="s">
        <v>15045</v>
      </c>
      <c r="AA789" t="s">
        <v>15046</v>
      </c>
      <c r="AB789" t="s">
        <v>74</v>
      </c>
      <c r="AC789" t="s">
        <v>15047</v>
      </c>
      <c r="AD789" t="s">
        <v>15048</v>
      </c>
      <c r="AE789" t="s">
        <v>15049</v>
      </c>
      <c r="AF789" t="s">
        <v>74</v>
      </c>
      <c r="AG789">
        <v>53</v>
      </c>
      <c r="AH789">
        <v>0</v>
      </c>
      <c r="AI789">
        <v>0</v>
      </c>
      <c r="AJ789">
        <v>13</v>
      </c>
      <c r="AK789">
        <v>13</v>
      </c>
      <c r="AL789" t="s">
        <v>123</v>
      </c>
      <c r="AM789" t="s">
        <v>124</v>
      </c>
      <c r="AN789" t="s">
        <v>125</v>
      </c>
      <c r="AO789" t="s">
        <v>3425</v>
      </c>
      <c r="AP789" t="s">
        <v>3426</v>
      </c>
      <c r="AQ789" t="s">
        <v>74</v>
      </c>
      <c r="AR789" t="s">
        <v>3427</v>
      </c>
      <c r="AS789" t="s">
        <v>3428</v>
      </c>
      <c r="AT789" t="s">
        <v>1963</v>
      </c>
      <c r="AU789">
        <v>2025</v>
      </c>
      <c r="AV789">
        <v>178</v>
      </c>
      <c r="AW789" t="s">
        <v>74</v>
      </c>
      <c r="AX789" t="s">
        <v>74</v>
      </c>
      <c r="AY789" t="s">
        <v>74</v>
      </c>
      <c r="AZ789" t="s">
        <v>74</v>
      </c>
      <c r="BA789" t="s">
        <v>74</v>
      </c>
      <c r="BB789" t="s">
        <v>74</v>
      </c>
      <c r="BC789" t="s">
        <v>74</v>
      </c>
      <c r="BD789">
        <v>114125</v>
      </c>
      <c r="BE789" t="s">
        <v>15050</v>
      </c>
      <c r="BF789" t="str">
        <f>HYPERLINK("http://dx.doi.org/10.1016/j.ecolind.2025.114125","http://dx.doi.org/10.1016/j.ecolind.2025.114125")</f>
        <v>http://dx.doi.org/10.1016/j.ecolind.2025.114125</v>
      </c>
      <c r="BG789" t="s">
        <v>74</v>
      </c>
      <c r="BH789" t="s">
        <v>513</v>
      </c>
      <c r="BI789">
        <v>12</v>
      </c>
      <c r="BJ789" t="s">
        <v>3430</v>
      </c>
      <c r="BK789" t="s">
        <v>102</v>
      </c>
      <c r="BL789" t="s">
        <v>756</v>
      </c>
      <c r="BM789" t="s">
        <v>15051</v>
      </c>
      <c r="BN789" t="s">
        <v>74</v>
      </c>
      <c r="BO789" t="s">
        <v>161</v>
      </c>
      <c r="BP789" t="s">
        <v>74</v>
      </c>
      <c r="BQ789" t="s">
        <v>74</v>
      </c>
      <c r="BR789" t="s">
        <v>106</v>
      </c>
      <c r="BS789" t="s">
        <v>15052</v>
      </c>
      <c r="BT789" t="str">
        <f>HYPERLINK("https%3A%2F%2Fwww.webofscience.com%2Fwos%2Fwoscc%2Ffull-record%2FWOS:001564244700004","View Full Record in Web of Science")</f>
        <v>View Full Record in Web of Science</v>
      </c>
    </row>
    <row r="790" spans="1:72" x14ac:dyDescent="0.2">
      <c r="A790" t="s">
        <v>72</v>
      </c>
      <c r="B790" t="s">
        <v>15053</v>
      </c>
      <c r="C790" t="s">
        <v>74</v>
      </c>
      <c r="D790" t="s">
        <v>74</v>
      </c>
      <c r="E790" t="s">
        <v>74</v>
      </c>
      <c r="F790" t="s">
        <v>15054</v>
      </c>
      <c r="G790" t="s">
        <v>74</v>
      </c>
      <c r="H790" t="s">
        <v>74</v>
      </c>
      <c r="I790" t="s">
        <v>15055</v>
      </c>
      <c r="J790" t="s">
        <v>921</v>
      </c>
      <c r="K790" t="s">
        <v>74</v>
      </c>
      <c r="L790" t="s">
        <v>74</v>
      </c>
      <c r="M790" t="s">
        <v>78</v>
      </c>
      <c r="N790" t="s">
        <v>79</v>
      </c>
      <c r="O790" t="s">
        <v>74</v>
      </c>
      <c r="P790" t="s">
        <v>74</v>
      </c>
      <c r="Q790" t="s">
        <v>74</v>
      </c>
      <c r="R790" t="s">
        <v>74</v>
      </c>
      <c r="S790" t="s">
        <v>74</v>
      </c>
      <c r="T790" t="s">
        <v>15056</v>
      </c>
      <c r="U790" t="s">
        <v>15057</v>
      </c>
      <c r="V790" t="s">
        <v>15058</v>
      </c>
      <c r="W790" t="s">
        <v>15059</v>
      </c>
      <c r="X790" t="s">
        <v>15060</v>
      </c>
      <c r="Y790" t="s">
        <v>15061</v>
      </c>
      <c r="Z790" t="s">
        <v>15062</v>
      </c>
      <c r="AA790" t="s">
        <v>15063</v>
      </c>
      <c r="AB790" t="s">
        <v>15064</v>
      </c>
      <c r="AC790" t="s">
        <v>15065</v>
      </c>
      <c r="AD790" t="s">
        <v>15066</v>
      </c>
      <c r="AE790" t="s">
        <v>15067</v>
      </c>
      <c r="AF790" t="s">
        <v>74</v>
      </c>
      <c r="AG790">
        <v>137</v>
      </c>
      <c r="AH790">
        <v>5</v>
      </c>
      <c r="AI790">
        <v>5</v>
      </c>
      <c r="AJ790">
        <v>9</v>
      </c>
      <c r="AK790">
        <v>48</v>
      </c>
      <c r="AL790" t="s">
        <v>934</v>
      </c>
      <c r="AM790" t="s">
        <v>177</v>
      </c>
      <c r="AN790" t="s">
        <v>935</v>
      </c>
      <c r="AO790" t="s">
        <v>936</v>
      </c>
      <c r="AP790" t="s">
        <v>937</v>
      </c>
      <c r="AQ790" t="s">
        <v>74</v>
      </c>
      <c r="AR790" t="s">
        <v>938</v>
      </c>
      <c r="AS790" t="s">
        <v>939</v>
      </c>
      <c r="AT790" t="s">
        <v>1109</v>
      </c>
      <c r="AU790">
        <v>2024</v>
      </c>
      <c r="AV790">
        <v>199</v>
      </c>
      <c r="AW790" t="s">
        <v>74</v>
      </c>
      <c r="AX790" t="s">
        <v>74</v>
      </c>
      <c r="AY790" t="s">
        <v>74</v>
      </c>
      <c r="AZ790" t="s">
        <v>74</v>
      </c>
      <c r="BA790" t="s">
        <v>74</v>
      </c>
      <c r="BB790" t="s">
        <v>74</v>
      </c>
      <c r="BC790" t="s">
        <v>74</v>
      </c>
      <c r="BD790">
        <v>109577</v>
      </c>
      <c r="BE790" t="s">
        <v>15068</v>
      </c>
      <c r="BF790" t="str">
        <f>HYPERLINK("http://dx.doi.org/10.1016/j.soilbio.2024.109577","http://dx.doi.org/10.1016/j.soilbio.2024.109577")</f>
        <v>http://dx.doi.org/10.1016/j.soilbio.2024.109577</v>
      </c>
      <c r="BG790" t="s">
        <v>74</v>
      </c>
      <c r="BH790" t="s">
        <v>2956</v>
      </c>
      <c r="BI790">
        <v>15</v>
      </c>
      <c r="BJ790" t="s">
        <v>256</v>
      </c>
      <c r="BK790" t="s">
        <v>102</v>
      </c>
      <c r="BL790" t="s">
        <v>103</v>
      </c>
      <c r="BM790" t="s">
        <v>15069</v>
      </c>
      <c r="BN790" t="s">
        <v>74</v>
      </c>
      <c r="BO790" t="s">
        <v>2296</v>
      </c>
      <c r="BP790" t="s">
        <v>74</v>
      </c>
      <c r="BQ790" t="s">
        <v>74</v>
      </c>
      <c r="BR790" t="s">
        <v>106</v>
      </c>
      <c r="BS790" t="s">
        <v>15070</v>
      </c>
      <c r="BT790" t="str">
        <f>HYPERLINK("https%3A%2F%2Fwww.webofscience.com%2Fwos%2Fwoscc%2Ffull-record%2FWOS:001319391400001","View Full Record in Web of Science")</f>
        <v>View Full Record in Web of Science</v>
      </c>
    </row>
    <row r="791" spans="1:72" x14ac:dyDescent="0.2">
      <c r="A791" t="s">
        <v>72</v>
      </c>
      <c r="B791" t="s">
        <v>15071</v>
      </c>
      <c r="C791" t="s">
        <v>74</v>
      </c>
      <c r="D791" t="s">
        <v>74</v>
      </c>
      <c r="E791" t="s">
        <v>74</v>
      </c>
      <c r="F791" t="s">
        <v>15072</v>
      </c>
      <c r="G791" t="s">
        <v>74</v>
      </c>
      <c r="H791" t="s">
        <v>74</v>
      </c>
      <c r="I791" t="s">
        <v>15073</v>
      </c>
      <c r="J791" t="s">
        <v>468</v>
      </c>
      <c r="K791" t="s">
        <v>74</v>
      </c>
      <c r="L791" t="s">
        <v>74</v>
      </c>
      <c r="M791" t="s">
        <v>78</v>
      </c>
      <c r="N791" t="s">
        <v>79</v>
      </c>
      <c r="O791" t="s">
        <v>74</v>
      </c>
      <c r="P791" t="s">
        <v>74</v>
      </c>
      <c r="Q791" t="s">
        <v>74</v>
      </c>
      <c r="R791" t="s">
        <v>74</v>
      </c>
      <c r="S791" t="s">
        <v>74</v>
      </c>
      <c r="T791" t="s">
        <v>15074</v>
      </c>
      <c r="U791" t="s">
        <v>15075</v>
      </c>
      <c r="V791" t="s">
        <v>15076</v>
      </c>
      <c r="W791" t="s">
        <v>15077</v>
      </c>
      <c r="X791" t="s">
        <v>2652</v>
      </c>
      <c r="Y791" t="s">
        <v>15078</v>
      </c>
      <c r="Z791" t="s">
        <v>15079</v>
      </c>
      <c r="AA791" t="s">
        <v>74</v>
      </c>
      <c r="AB791" t="s">
        <v>74</v>
      </c>
      <c r="AC791" t="s">
        <v>15080</v>
      </c>
      <c r="AD791" t="s">
        <v>15081</v>
      </c>
      <c r="AE791" t="s">
        <v>15082</v>
      </c>
      <c r="AF791" t="s">
        <v>74</v>
      </c>
      <c r="AG791">
        <v>47</v>
      </c>
      <c r="AH791">
        <v>27</v>
      </c>
      <c r="AI791">
        <v>34</v>
      </c>
      <c r="AJ791">
        <v>6</v>
      </c>
      <c r="AK791">
        <v>89</v>
      </c>
      <c r="AL791" t="s">
        <v>222</v>
      </c>
      <c r="AM791" t="s">
        <v>223</v>
      </c>
      <c r="AN791" t="s">
        <v>224</v>
      </c>
      <c r="AO791" t="s">
        <v>479</v>
      </c>
      <c r="AP791" t="s">
        <v>74</v>
      </c>
      <c r="AQ791" t="s">
        <v>74</v>
      </c>
      <c r="AR791" t="s">
        <v>480</v>
      </c>
      <c r="AS791" t="s">
        <v>481</v>
      </c>
      <c r="AT791" t="s">
        <v>1632</v>
      </c>
      <c r="AU791">
        <v>2019</v>
      </c>
      <c r="AV791">
        <v>11</v>
      </c>
      <c r="AW791">
        <v>1</v>
      </c>
      <c r="AX791" t="s">
        <v>74</v>
      </c>
      <c r="AY791" t="s">
        <v>74</v>
      </c>
      <c r="AZ791" t="s">
        <v>74</v>
      </c>
      <c r="BA791" t="s">
        <v>74</v>
      </c>
      <c r="BB791" t="s">
        <v>74</v>
      </c>
      <c r="BC791" t="s">
        <v>74</v>
      </c>
      <c r="BD791">
        <v>51</v>
      </c>
      <c r="BE791" t="s">
        <v>15083</v>
      </c>
      <c r="BF791" t="str">
        <f>HYPERLINK("http://dx.doi.org/10.3390/su11010051","http://dx.doi.org/10.3390/su11010051")</f>
        <v>http://dx.doi.org/10.3390/su11010051</v>
      </c>
      <c r="BG791" t="s">
        <v>74</v>
      </c>
      <c r="BH791" t="s">
        <v>74</v>
      </c>
      <c r="BI791">
        <v>16</v>
      </c>
      <c r="BJ791" t="s">
        <v>484</v>
      </c>
      <c r="BK791" t="s">
        <v>186</v>
      </c>
      <c r="BL791" t="s">
        <v>485</v>
      </c>
      <c r="BM791" t="s">
        <v>15084</v>
      </c>
      <c r="BN791" t="s">
        <v>74</v>
      </c>
      <c r="BO791" t="s">
        <v>161</v>
      </c>
      <c r="BP791" t="s">
        <v>74</v>
      </c>
      <c r="BQ791" t="s">
        <v>74</v>
      </c>
      <c r="BR791" t="s">
        <v>106</v>
      </c>
      <c r="BS791" t="s">
        <v>15085</v>
      </c>
      <c r="BT791" t="str">
        <f>HYPERLINK("https%3A%2F%2Fwww.webofscience.com%2Fwos%2Fwoscc%2Ffull-record%2FWOS:000457127300051","View Full Record in Web of Science")</f>
        <v>View Full Record in Web of Science</v>
      </c>
    </row>
    <row r="792" spans="1:72" x14ac:dyDescent="0.2">
      <c r="A792" t="s">
        <v>72</v>
      </c>
      <c r="B792" t="s">
        <v>15086</v>
      </c>
      <c r="C792" t="s">
        <v>74</v>
      </c>
      <c r="D792" t="s">
        <v>74</v>
      </c>
      <c r="E792" t="s">
        <v>74</v>
      </c>
      <c r="F792" t="s">
        <v>15087</v>
      </c>
      <c r="G792" t="s">
        <v>74</v>
      </c>
      <c r="H792" t="s">
        <v>74</v>
      </c>
      <c r="I792" t="s">
        <v>15088</v>
      </c>
      <c r="J792" t="s">
        <v>14880</v>
      </c>
      <c r="K792" t="s">
        <v>74</v>
      </c>
      <c r="L792" t="s">
        <v>74</v>
      </c>
      <c r="M792" t="s">
        <v>78</v>
      </c>
      <c r="N792" t="s">
        <v>79</v>
      </c>
      <c r="O792" t="s">
        <v>74</v>
      </c>
      <c r="P792" t="s">
        <v>74</v>
      </c>
      <c r="Q792" t="s">
        <v>74</v>
      </c>
      <c r="R792" t="s">
        <v>74</v>
      </c>
      <c r="S792" t="s">
        <v>74</v>
      </c>
      <c r="T792" t="s">
        <v>15089</v>
      </c>
      <c r="U792" t="s">
        <v>15090</v>
      </c>
      <c r="V792" t="s">
        <v>15091</v>
      </c>
      <c r="W792" t="s">
        <v>15092</v>
      </c>
      <c r="X792" t="s">
        <v>15093</v>
      </c>
      <c r="Y792" t="s">
        <v>15094</v>
      </c>
      <c r="Z792" t="s">
        <v>15095</v>
      </c>
      <c r="AA792" t="s">
        <v>15096</v>
      </c>
      <c r="AB792" t="s">
        <v>74</v>
      </c>
      <c r="AC792" t="s">
        <v>15097</v>
      </c>
      <c r="AD792" t="s">
        <v>15098</v>
      </c>
      <c r="AE792" t="s">
        <v>15099</v>
      </c>
      <c r="AF792" t="s">
        <v>74</v>
      </c>
      <c r="AG792">
        <v>42</v>
      </c>
      <c r="AH792">
        <v>3</v>
      </c>
      <c r="AI792">
        <v>3</v>
      </c>
      <c r="AJ792">
        <v>6</v>
      </c>
      <c r="AK792">
        <v>6</v>
      </c>
      <c r="AL792" t="s">
        <v>504</v>
      </c>
      <c r="AM792" t="s">
        <v>676</v>
      </c>
      <c r="AN792" t="s">
        <v>677</v>
      </c>
      <c r="AO792" t="s">
        <v>14893</v>
      </c>
      <c r="AP792" t="s">
        <v>14894</v>
      </c>
      <c r="AQ792" t="s">
        <v>74</v>
      </c>
      <c r="AR792" t="s">
        <v>14895</v>
      </c>
      <c r="AS792" t="s">
        <v>14896</v>
      </c>
      <c r="AT792" t="s">
        <v>337</v>
      </c>
      <c r="AU792">
        <v>2025</v>
      </c>
      <c r="AV792">
        <v>18</v>
      </c>
      <c r="AW792">
        <v>1</v>
      </c>
      <c r="AX792" t="s">
        <v>74</v>
      </c>
      <c r="AY792" t="s">
        <v>74</v>
      </c>
      <c r="AZ792" t="s">
        <v>74</v>
      </c>
      <c r="BA792" t="s">
        <v>74</v>
      </c>
      <c r="BB792" t="s">
        <v>74</v>
      </c>
      <c r="BC792" t="s">
        <v>74</v>
      </c>
      <c r="BD792">
        <v>61</v>
      </c>
      <c r="BE792" t="s">
        <v>15100</v>
      </c>
      <c r="BF792" t="str">
        <f>HYPERLINK("http://dx.doi.org/10.1007/s12155-025-10865-5","http://dx.doi.org/10.1007/s12155-025-10865-5")</f>
        <v>http://dx.doi.org/10.1007/s12155-025-10865-5</v>
      </c>
      <c r="BG792" t="s">
        <v>74</v>
      </c>
      <c r="BH792" t="s">
        <v>74</v>
      </c>
      <c r="BI792">
        <v>12</v>
      </c>
      <c r="BJ792" t="s">
        <v>14899</v>
      </c>
      <c r="BK792" t="s">
        <v>102</v>
      </c>
      <c r="BL792" t="s">
        <v>14900</v>
      </c>
      <c r="BM792" t="s">
        <v>15101</v>
      </c>
      <c r="BN792" t="s">
        <v>74</v>
      </c>
      <c r="BO792" t="s">
        <v>74</v>
      </c>
      <c r="BP792" t="s">
        <v>74</v>
      </c>
      <c r="BQ792" t="s">
        <v>74</v>
      </c>
      <c r="BR792" t="s">
        <v>106</v>
      </c>
      <c r="BS792" t="s">
        <v>15102</v>
      </c>
      <c r="BT792" t="str">
        <f>HYPERLINK("https%3A%2F%2Fwww.webofscience.com%2Fwos%2Fwoscc%2Ffull-record%2FWOS:001520158300001","View Full Record in Web of Science")</f>
        <v>View Full Record in Web of Science</v>
      </c>
    </row>
    <row r="793" spans="1:72" x14ac:dyDescent="0.2">
      <c r="A793" t="s">
        <v>72</v>
      </c>
      <c r="B793" t="s">
        <v>15103</v>
      </c>
      <c r="C793" t="s">
        <v>74</v>
      </c>
      <c r="D793" t="s">
        <v>74</v>
      </c>
      <c r="E793" t="s">
        <v>74</v>
      </c>
      <c r="F793" t="s">
        <v>15104</v>
      </c>
      <c r="G793" t="s">
        <v>74</v>
      </c>
      <c r="H793" t="s">
        <v>74</v>
      </c>
      <c r="I793" t="s">
        <v>15105</v>
      </c>
      <c r="J793" t="s">
        <v>10032</v>
      </c>
      <c r="K793" t="s">
        <v>74</v>
      </c>
      <c r="L793" t="s">
        <v>74</v>
      </c>
      <c r="M793" t="s">
        <v>78</v>
      </c>
      <c r="N793" t="s">
        <v>79</v>
      </c>
      <c r="O793" t="s">
        <v>74</v>
      </c>
      <c r="P793" t="s">
        <v>74</v>
      </c>
      <c r="Q793" t="s">
        <v>74</v>
      </c>
      <c r="R793" t="s">
        <v>74</v>
      </c>
      <c r="S793" t="s">
        <v>74</v>
      </c>
      <c r="T793" t="s">
        <v>74</v>
      </c>
      <c r="U793" t="s">
        <v>15106</v>
      </c>
      <c r="V793" t="s">
        <v>15107</v>
      </c>
      <c r="W793" t="s">
        <v>15108</v>
      </c>
      <c r="X793" t="s">
        <v>15109</v>
      </c>
      <c r="Y793" t="s">
        <v>15110</v>
      </c>
      <c r="Z793" t="s">
        <v>15111</v>
      </c>
      <c r="AA793" t="s">
        <v>15112</v>
      </c>
      <c r="AB793" t="s">
        <v>15113</v>
      </c>
      <c r="AC793" t="s">
        <v>15114</v>
      </c>
      <c r="AD793" t="s">
        <v>15115</v>
      </c>
      <c r="AE793" t="s">
        <v>15116</v>
      </c>
      <c r="AF793" t="s">
        <v>74</v>
      </c>
      <c r="AG793">
        <v>73</v>
      </c>
      <c r="AH793">
        <v>66</v>
      </c>
      <c r="AI793">
        <v>76</v>
      </c>
      <c r="AJ793">
        <v>0</v>
      </c>
      <c r="AK793">
        <v>74</v>
      </c>
      <c r="AL793" t="s">
        <v>3289</v>
      </c>
      <c r="AM793" t="s">
        <v>3290</v>
      </c>
      <c r="AN793" t="s">
        <v>3291</v>
      </c>
      <c r="AO793" t="s">
        <v>10044</v>
      </c>
      <c r="AP793" t="s">
        <v>10045</v>
      </c>
      <c r="AQ793" t="s">
        <v>74</v>
      </c>
      <c r="AR793" t="s">
        <v>10046</v>
      </c>
      <c r="AS793" t="s">
        <v>10047</v>
      </c>
      <c r="AT793" t="s">
        <v>74</v>
      </c>
      <c r="AU793">
        <v>2014</v>
      </c>
      <c r="AV793">
        <v>14</v>
      </c>
      <c r="AW793">
        <v>12</v>
      </c>
      <c r="AX793" t="s">
        <v>74</v>
      </c>
      <c r="AY793" t="s">
        <v>74</v>
      </c>
      <c r="AZ793" t="s">
        <v>74</v>
      </c>
      <c r="BA793" t="s">
        <v>74</v>
      </c>
      <c r="BB793">
        <v>6427</v>
      </c>
      <c r="BC793">
        <v>6442</v>
      </c>
      <c r="BD793" t="s">
        <v>74</v>
      </c>
      <c r="BE793" t="s">
        <v>15117</v>
      </c>
      <c r="BF793" t="str">
        <f>HYPERLINK("http://dx.doi.org/10.5194/acp-14-6427-2014","http://dx.doi.org/10.5194/acp-14-6427-2014")</f>
        <v>http://dx.doi.org/10.5194/acp-14-6427-2014</v>
      </c>
      <c r="BG793" t="s">
        <v>74</v>
      </c>
      <c r="BH793" t="s">
        <v>74</v>
      </c>
      <c r="BI793">
        <v>16</v>
      </c>
      <c r="BJ793" t="s">
        <v>782</v>
      </c>
      <c r="BK793" t="s">
        <v>102</v>
      </c>
      <c r="BL793" t="s">
        <v>783</v>
      </c>
      <c r="BM793" t="s">
        <v>15118</v>
      </c>
      <c r="BN793" t="s">
        <v>74</v>
      </c>
      <c r="BO793" t="s">
        <v>8302</v>
      </c>
      <c r="BP793" t="s">
        <v>74</v>
      </c>
      <c r="BQ793" t="s">
        <v>74</v>
      </c>
      <c r="BR793" t="s">
        <v>106</v>
      </c>
      <c r="BS793" t="s">
        <v>15119</v>
      </c>
      <c r="BT793" t="str">
        <f>HYPERLINK("https%3A%2F%2Fwww.webofscience.com%2Fwos%2Fwoscc%2Ffull-record%2FWOS:000338438300035","View Full Record in Web of Science")</f>
        <v>View Full Record in Web of Science</v>
      </c>
    </row>
    <row r="794" spans="1:72" x14ac:dyDescent="0.2">
      <c r="A794" t="s">
        <v>72</v>
      </c>
      <c r="B794" t="s">
        <v>15120</v>
      </c>
      <c r="C794" t="s">
        <v>74</v>
      </c>
      <c r="D794" t="s">
        <v>74</v>
      </c>
      <c r="E794" t="s">
        <v>74</v>
      </c>
      <c r="F794" t="s">
        <v>15121</v>
      </c>
      <c r="G794" t="s">
        <v>74</v>
      </c>
      <c r="H794" t="s">
        <v>74</v>
      </c>
      <c r="I794" t="s">
        <v>15122</v>
      </c>
      <c r="J794" t="s">
        <v>15123</v>
      </c>
      <c r="K794" t="s">
        <v>74</v>
      </c>
      <c r="L794" t="s">
        <v>74</v>
      </c>
      <c r="M794" t="s">
        <v>78</v>
      </c>
      <c r="N794" t="s">
        <v>79</v>
      </c>
      <c r="O794" t="s">
        <v>74</v>
      </c>
      <c r="P794" t="s">
        <v>74</v>
      </c>
      <c r="Q794" t="s">
        <v>74</v>
      </c>
      <c r="R794" t="s">
        <v>74</v>
      </c>
      <c r="S794" t="s">
        <v>74</v>
      </c>
      <c r="T794" t="s">
        <v>15124</v>
      </c>
      <c r="U794" t="s">
        <v>15125</v>
      </c>
      <c r="V794" t="s">
        <v>15126</v>
      </c>
      <c r="W794" t="s">
        <v>15127</v>
      </c>
      <c r="X794" t="s">
        <v>2676</v>
      </c>
      <c r="Y794" t="s">
        <v>15128</v>
      </c>
      <c r="Z794" t="s">
        <v>15129</v>
      </c>
      <c r="AA794" t="s">
        <v>74</v>
      </c>
      <c r="AB794" t="s">
        <v>15130</v>
      </c>
      <c r="AC794" t="s">
        <v>15131</v>
      </c>
      <c r="AD794" t="s">
        <v>15131</v>
      </c>
      <c r="AE794" t="s">
        <v>15132</v>
      </c>
      <c r="AF794" t="s">
        <v>74</v>
      </c>
      <c r="AG794">
        <v>83</v>
      </c>
      <c r="AH794">
        <v>18</v>
      </c>
      <c r="AI794">
        <v>20</v>
      </c>
      <c r="AJ794">
        <v>4</v>
      </c>
      <c r="AK794">
        <v>93</v>
      </c>
      <c r="AL794" t="s">
        <v>504</v>
      </c>
      <c r="AM794" t="s">
        <v>505</v>
      </c>
      <c r="AN794" t="s">
        <v>506</v>
      </c>
      <c r="AO794" t="s">
        <v>15133</v>
      </c>
      <c r="AP794" t="s">
        <v>15134</v>
      </c>
      <c r="AQ794" t="s">
        <v>74</v>
      </c>
      <c r="AR794" t="s">
        <v>15135</v>
      </c>
      <c r="AS794" t="s">
        <v>15136</v>
      </c>
      <c r="AT794" t="s">
        <v>636</v>
      </c>
      <c r="AU794">
        <v>2021</v>
      </c>
      <c r="AV794">
        <v>29</v>
      </c>
      <c r="AW794">
        <v>2</v>
      </c>
      <c r="AX794" t="s">
        <v>74</v>
      </c>
      <c r="AY794" t="s">
        <v>74</v>
      </c>
      <c r="AZ794" t="s">
        <v>74</v>
      </c>
      <c r="BA794" t="s">
        <v>74</v>
      </c>
      <c r="BB794">
        <v>231</v>
      </c>
      <c r="BC794">
        <v>244</v>
      </c>
      <c r="BD794" t="s">
        <v>74</v>
      </c>
      <c r="BE794" t="s">
        <v>15137</v>
      </c>
      <c r="BF794" t="str">
        <f>HYPERLINK("http://dx.doi.org/10.1007/s11273-020-09780-7","http://dx.doi.org/10.1007/s11273-020-09780-7")</f>
        <v>http://dx.doi.org/10.1007/s11273-020-09780-7</v>
      </c>
      <c r="BG794" t="s">
        <v>74</v>
      </c>
      <c r="BH794" t="s">
        <v>9918</v>
      </c>
      <c r="BI794">
        <v>14</v>
      </c>
      <c r="BJ794" t="s">
        <v>2343</v>
      </c>
      <c r="BK794" t="s">
        <v>102</v>
      </c>
      <c r="BL794" t="s">
        <v>2344</v>
      </c>
      <c r="BM794" t="s">
        <v>15138</v>
      </c>
      <c r="BN794" t="s">
        <v>74</v>
      </c>
      <c r="BO794" t="s">
        <v>74</v>
      </c>
      <c r="BP794" t="s">
        <v>74</v>
      </c>
      <c r="BQ794" t="s">
        <v>74</v>
      </c>
      <c r="BR794" t="s">
        <v>106</v>
      </c>
      <c r="BS794" t="s">
        <v>15139</v>
      </c>
      <c r="BT794" t="str">
        <f>HYPERLINK("https%3A%2F%2Fwww.webofscience.com%2Fwos%2Fwoscc%2Ffull-record%2FWOS:000608931800002","View Full Record in Web of Science")</f>
        <v>View Full Record in Web of Science</v>
      </c>
    </row>
    <row r="795" spans="1:72" x14ac:dyDescent="0.2">
      <c r="A795" t="s">
        <v>72</v>
      </c>
      <c r="B795" t="s">
        <v>15140</v>
      </c>
      <c r="C795" t="s">
        <v>74</v>
      </c>
      <c r="D795" t="s">
        <v>74</v>
      </c>
      <c r="E795" t="s">
        <v>74</v>
      </c>
      <c r="F795" t="s">
        <v>15141</v>
      </c>
      <c r="G795" t="s">
        <v>74</v>
      </c>
      <c r="H795" t="s">
        <v>74</v>
      </c>
      <c r="I795" t="s">
        <v>15142</v>
      </c>
      <c r="J795" t="s">
        <v>995</v>
      </c>
      <c r="K795" t="s">
        <v>74</v>
      </c>
      <c r="L795" t="s">
        <v>74</v>
      </c>
      <c r="M795" t="s">
        <v>78</v>
      </c>
      <c r="N795" t="s">
        <v>79</v>
      </c>
      <c r="O795" t="s">
        <v>74</v>
      </c>
      <c r="P795" t="s">
        <v>74</v>
      </c>
      <c r="Q795" t="s">
        <v>74</v>
      </c>
      <c r="R795" t="s">
        <v>74</v>
      </c>
      <c r="S795" t="s">
        <v>74</v>
      </c>
      <c r="T795" t="s">
        <v>15143</v>
      </c>
      <c r="U795" t="s">
        <v>15144</v>
      </c>
      <c r="V795" t="s">
        <v>15145</v>
      </c>
      <c r="W795" t="s">
        <v>15146</v>
      </c>
      <c r="X795" t="s">
        <v>15147</v>
      </c>
      <c r="Y795" t="s">
        <v>15148</v>
      </c>
      <c r="Z795" t="s">
        <v>15149</v>
      </c>
      <c r="AA795" t="s">
        <v>15150</v>
      </c>
      <c r="AB795" t="s">
        <v>15151</v>
      </c>
      <c r="AC795" t="s">
        <v>15152</v>
      </c>
      <c r="AD795" t="s">
        <v>15153</v>
      </c>
      <c r="AE795" t="s">
        <v>15154</v>
      </c>
      <c r="AF795" t="s">
        <v>74</v>
      </c>
      <c r="AG795">
        <v>69</v>
      </c>
      <c r="AH795">
        <v>16</v>
      </c>
      <c r="AI795">
        <v>17</v>
      </c>
      <c r="AJ795">
        <v>21</v>
      </c>
      <c r="AK795">
        <v>101</v>
      </c>
      <c r="AL795" t="s">
        <v>123</v>
      </c>
      <c r="AM795" t="s">
        <v>124</v>
      </c>
      <c r="AN795" t="s">
        <v>125</v>
      </c>
      <c r="AO795" t="s">
        <v>1008</v>
      </c>
      <c r="AP795" t="s">
        <v>1009</v>
      </c>
      <c r="AQ795" t="s">
        <v>74</v>
      </c>
      <c r="AR795" t="s">
        <v>1010</v>
      </c>
      <c r="AS795" t="s">
        <v>1011</v>
      </c>
      <c r="AT795" t="s">
        <v>155</v>
      </c>
      <c r="AU795">
        <v>2024</v>
      </c>
      <c r="AV795">
        <v>931</v>
      </c>
      <c r="AW795" t="s">
        <v>74</v>
      </c>
      <c r="AX795" t="s">
        <v>74</v>
      </c>
      <c r="AY795" t="s">
        <v>74</v>
      </c>
      <c r="AZ795" t="s">
        <v>74</v>
      </c>
      <c r="BA795" t="s">
        <v>74</v>
      </c>
      <c r="BB795" t="s">
        <v>74</v>
      </c>
      <c r="BC795" t="s">
        <v>74</v>
      </c>
      <c r="BD795">
        <v>172942</v>
      </c>
      <c r="BE795" t="s">
        <v>15155</v>
      </c>
      <c r="BF795" t="str">
        <f>HYPERLINK("http://dx.doi.org/10.1016/j.scitotenv.2024.172942","http://dx.doi.org/10.1016/j.scitotenv.2024.172942")</f>
        <v>http://dx.doi.org/10.1016/j.scitotenv.2024.172942</v>
      </c>
      <c r="BG795" t="s">
        <v>74</v>
      </c>
      <c r="BH795" t="s">
        <v>566</v>
      </c>
      <c r="BI795">
        <v>13</v>
      </c>
      <c r="BJ795" t="s">
        <v>567</v>
      </c>
      <c r="BK795" t="s">
        <v>102</v>
      </c>
      <c r="BL795" t="s">
        <v>568</v>
      </c>
      <c r="BM795" t="s">
        <v>15156</v>
      </c>
      <c r="BN795">
        <v>38719032</v>
      </c>
      <c r="BO795" t="s">
        <v>74</v>
      </c>
      <c r="BP795" t="s">
        <v>74</v>
      </c>
      <c r="BQ795" t="s">
        <v>74</v>
      </c>
      <c r="BR795" t="s">
        <v>106</v>
      </c>
      <c r="BS795" t="s">
        <v>15157</v>
      </c>
      <c r="BT795" t="str">
        <f>HYPERLINK("https%3A%2F%2Fwww.webofscience.com%2Fwos%2Fwoscc%2Ffull-record%2FWOS:001239717700001","View Full Record in Web of Science")</f>
        <v>View Full Record in Web of Science</v>
      </c>
    </row>
    <row r="796" spans="1:72" x14ac:dyDescent="0.2">
      <c r="A796" t="s">
        <v>72</v>
      </c>
      <c r="B796" t="s">
        <v>15158</v>
      </c>
      <c r="C796" t="s">
        <v>74</v>
      </c>
      <c r="D796" t="s">
        <v>74</v>
      </c>
      <c r="E796" t="s">
        <v>74</v>
      </c>
      <c r="F796" t="s">
        <v>15159</v>
      </c>
      <c r="G796" t="s">
        <v>74</v>
      </c>
      <c r="H796" t="s">
        <v>74</v>
      </c>
      <c r="I796" t="s">
        <v>15160</v>
      </c>
      <c r="J796" t="s">
        <v>4059</v>
      </c>
      <c r="K796" t="s">
        <v>74</v>
      </c>
      <c r="L796" t="s">
        <v>74</v>
      </c>
      <c r="M796" t="s">
        <v>78</v>
      </c>
      <c r="N796" t="s">
        <v>79</v>
      </c>
      <c r="O796" t="s">
        <v>74</v>
      </c>
      <c r="P796" t="s">
        <v>74</v>
      </c>
      <c r="Q796" t="s">
        <v>74</v>
      </c>
      <c r="R796" t="s">
        <v>74</v>
      </c>
      <c r="S796" t="s">
        <v>74</v>
      </c>
      <c r="T796" t="s">
        <v>15161</v>
      </c>
      <c r="U796" t="s">
        <v>15162</v>
      </c>
      <c r="V796" t="s">
        <v>15163</v>
      </c>
      <c r="W796" t="s">
        <v>15164</v>
      </c>
      <c r="X796" t="s">
        <v>3162</v>
      </c>
      <c r="Y796" t="s">
        <v>15165</v>
      </c>
      <c r="Z796" t="s">
        <v>15166</v>
      </c>
      <c r="AA796" t="s">
        <v>74</v>
      </c>
      <c r="AB796" t="s">
        <v>74</v>
      </c>
      <c r="AC796" t="s">
        <v>15167</v>
      </c>
      <c r="AD796" t="s">
        <v>8438</v>
      </c>
      <c r="AE796" t="s">
        <v>15168</v>
      </c>
      <c r="AF796" t="s">
        <v>74</v>
      </c>
      <c r="AG796">
        <v>48</v>
      </c>
      <c r="AH796">
        <v>0</v>
      </c>
      <c r="AI796">
        <v>0</v>
      </c>
      <c r="AJ796">
        <v>18</v>
      </c>
      <c r="AK796">
        <v>18</v>
      </c>
      <c r="AL796" t="s">
        <v>123</v>
      </c>
      <c r="AM796" t="s">
        <v>124</v>
      </c>
      <c r="AN796" t="s">
        <v>125</v>
      </c>
      <c r="AO796" t="s">
        <v>4069</v>
      </c>
      <c r="AP796" t="s">
        <v>74</v>
      </c>
      <c r="AQ796" t="s">
        <v>74</v>
      </c>
      <c r="AR796" t="s">
        <v>4070</v>
      </c>
      <c r="AS796" t="s">
        <v>4071</v>
      </c>
      <c r="AT796" t="s">
        <v>805</v>
      </c>
      <c r="AU796">
        <v>2025</v>
      </c>
      <c r="AV796">
        <v>60</v>
      </c>
      <c r="AW796" t="s">
        <v>74</v>
      </c>
      <c r="AX796" t="s">
        <v>74</v>
      </c>
      <c r="AY796" t="s">
        <v>74</v>
      </c>
      <c r="AZ796" t="s">
        <v>74</v>
      </c>
      <c r="BA796" t="s">
        <v>74</v>
      </c>
      <c r="BB796" t="s">
        <v>74</v>
      </c>
      <c r="BC796" t="s">
        <v>74</v>
      </c>
      <c r="BD796" t="s">
        <v>74</v>
      </c>
      <c r="BE796" t="s">
        <v>15169</v>
      </c>
      <c r="BF796" t="str">
        <f>HYPERLINK("http://dx.doi.org/10.1016/j.spc.2025.09.005","http://dx.doi.org/10.1016/j.spc.2025.09.005")</f>
        <v>http://dx.doi.org/10.1016/j.spc.2025.09.005</v>
      </c>
      <c r="BG796" t="s">
        <v>74</v>
      </c>
      <c r="BH796" t="s">
        <v>1338</v>
      </c>
      <c r="BI796">
        <v>17</v>
      </c>
      <c r="BJ796" t="s">
        <v>4073</v>
      </c>
      <c r="BK796" t="s">
        <v>186</v>
      </c>
      <c r="BL796" t="s">
        <v>485</v>
      </c>
      <c r="BM796" t="s">
        <v>15170</v>
      </c>
      <c r="BN796" t="s">
        <v>74</v>
      </c>
      <c r="BO796" t="s">
        <v>74</v>
      </c>
      <c r="BP796" t="s">
        <v>74</v>
      </c>
      <c r="BQ796" t="s">
        <v>74</v>
      </c>
      <c r="BR796" t="s">
        <v>106</v>
      </c>
      <c r="BS796" t="s">
        <v>15171</v>
      </c>
      <c r="BT796" t="str">
        <f>HYPERLINK("https%3A%2F%2Fwww.webofscience.com%2Fwos%2Fwoscc%2Ffull-record%2FWOS:001584609200001","View Full Record in Web of Science")</f>
        <v>View Full Record in Web of Science</v>
      </c>
    </row>
    <row r="797" spans="1:72" x14ac:dyDescent="0.2">
      <c r="A797" t="s">
        <v>72</v>
      </c>
      <c r="B797" t="s">
        <v>15172</v>
      </c>
      <c r="C797" t="s">
        <v>74</v>
      </c>
      <c r="D797" t="s">
        <v>74</v>
      </c>
      <c r="E797" t="s">
        <v>74</v>
      </c>
      <c r="F797" t="s">
        <v>15173</v>
      </c>
      <c r="G797" t="s">
        <v>74</v>
      </c>
      <c r="H797" t="s">
        <v>74</v>
      </c>
      <c r="I797" t="s">
        <v>15174</v>
      </c>
      <c r="J797" t="s">
        <v>2149</v>
      </c>
      <c r="K797" t="s">
        <v>74</v>
      </c>
      <c r="L797" t="s">
        <v>74</v>
      </c>
      <c r="M797" t="s">
        <v>78</v>
      </c>
      <c r="N797" t="s">
        <v>79</v>
      </c>
      <c r="O797" t="s">
        <v>74</v>
      </c>
      <c r="P797" t="s">
        <v>74</v>
      </c>
      <c r="Q797" t="s">
        <v>74</v>
      </c>
      <c r="R797" t="s">
        <v>74</v>
      </c>
      <c r="S797" t="s">
        <v>74</v>
      </c>
      <c r="T797" t="s">
        <v>15175</v>
      </c>
      <c r="U797" t="s">
        <v>15176</v>
      </c>
      <c r="V797" t="s">
        <v>15177</v>
      </c>
      <c r="W797" t="s">
        <v>15178</v>
      </c>
      <c r="X797" t="s">
        <v>15179</v>
      </c>
      <c r="Y797" t="s">
        <v>15180</v>
      </c>
      <c r="Z797" t="s">
        <v>15181</v>
      </c>
      <c r="AA797" t="s">
        <v>15182</v>
      </c>
      <c r="AB797" t="s">
        <v>15183</v>
      </c>
      <c r="AC797" t="s">
        <v>15184</v>
      </c>
      <c r="AD797" t="s">
        <v>15185</v>
      </c>
      <c r="AE797" t="s">
        <v>15186</v>
      </c>
      <c r="AF797" t="s">
        <v>74</v>
      </c>
      <c r="AG797">
        <v>60</v>
      </c>
      <c r="AH797">
        <v>76</v>
      </c>
      <c r="AI797">
        <v>91</v>
      </c>
      <c r="AJ797">
        <v>14</v>
      </c>
      <c r="AK797">
        <v>245</v>
      </c>
      <c r="AL797" t="s">
        <v>123</v>
      </c>
      <c r="AM797" t="s">
        <v>124</v>
      </c>
      <c r="AN797" t="s">
        <v>125</v>
      </c>
      <c r="AO797" t="s">
        <v>2164</v>
      </c>
      <c r="AP797" t="s">
        <v>2165</v>
      </c>
      <c r="AQ797" t="s">
        <v>74</v>
      </c>
      <c r="AR797" t="s">
        <v>2166</v>
      </c>
      <c r="AS797" t="s">
        <v>2167</v>
      </c>
      <c r="AT797" t="s">
        <v>912</v>
      </c>
      <c r="AU797">
        <v>2018</v>
      </c>
      <c r="AV797">
        <v>178</v>
      </c>
      <c r="AW797" t="s">
        <v>74</v>
      </c>
      <c r="AX797" t="s">
        <v>74</v>
      </c>
      <c r="AY797" t="s">
        <v>74</v>
      </c>
      <c r="AZ797" t="s">
        <v>74</v>
      </c>
      <c r="BA797" t="s">
        <v>74</v>
      </c>
      <c r="BB797">
        <v>72</v>
      </c>
      <c r="BC797">
        <v>81</v>
      </c>
      <c r="BD797" t="s">
        <v>74</v>
      </c>
      <c r="BE797" t="s">
        <v>15187</v>
      </c>
      <c r="BF797" t="str">
        <f>HYPERLINK("http://dx.doi.org/10.1016/j.still.2017.12.022","http://dx.doi.org/10.1016/j.still.2017.12.022")</f>
        <v>http://dx.doi.org/10.1016/j.still.2017.12.022</v>
      </c>
      <c r="BG797" t="s">
        <v>74</v>
      </c>
      <c r="BH797" t="s">
        <v>74</v>
      </c>
      <c r="BI797">
        <v>10</v>
      </c>
      <c r="BJ797" t="s">
        <v>256</v>
      </c>
      <c r="BK797" t="s">
        <v>102</v>
      </c>
      <c r="BL797" t="s">
        <v>103</v>
      </c>
      <c r="BM797" t="s">
        <v>15188</v>
      </c>
      <c r="BN797" t="s">
        <v>74</v>
      </c>
      <c r="BO797" t="s">
        <v>74</v>
      </c>
      <c r="BP797" t="s">
        <v>74</v>
      </c>
      <c r="BQ797" t="s">
        <v>74</v>
      </c>
      <c r="BR797" t="s">
        <v>106</v>
      </c>
      <c r="BS797" t="s">
        <v>15189</v>
      </c>
      <c r="BT797" t="str">
        <f>HYPERLINK("https%3A%2F%2Fwww.webofscience.com%2Fwos%2Fwoscc%2Ffull-record%2FWOS:000426223500009","View Full Record in Web of Science")</f>
        <v>View Full Record in Web of Science</v>
      </c>
    </row>
    <row r="798" spans="1:72" x14ac:dyDescent="0.2">
      <c r="A798" t="s">
        <v>72</v>
      </c>
      <c r="B798" t="s">
        <v>15190</v>
      </c>
      <c r="C798" t="s">
        <v>74</v>
      </c>
      <c r="D798" t="s">
        <v>74</v>
      </c>
      <c r="E798" t="s">
        <v>74</v>
      </c>
      <c r="F798" t="s">
        <v>15191</v>
      </c>
      <c r="G798" t="s">
        <v>74</v>
      </c>
      <c r="H798" t="s">
        <v>74</v>
      </c>
      <c r="I798" t="s">
        <v>15192</v>
      </c>
      <c r="J798" t="s">
        <v>11630</v>
      </c>
      <c r="K798" t="s">
        <v>74</v>
      </c>
      <c r="L798" t="s">
        <v>74</v>
      </c>
      <c r="M798" t="s">
        <v>78</v>
      </c>
      <c r="N798" t="s">
        <v>79</v>
      </c>
      <c r="O798" t="s">
        <v>74</v>
      </c>
      <c r="P798" t="s">
        <v>74</v>
      </c>
      <c r="Q798" t="s">
        <v>74</v>
      </c>
      <c r="R798" t="s">
        <v>74</v>
      </c>
      <c r="S798" t="s">
        <v>74</v>
      </c>
      <c r="T798" t="s">
        <v>74</v>
      </c>
      <c r="U798" t="s">
        <v>15193</v>
      </c>
      <c r="V798" t="s">
        <v>15194</v>
      </c>
      <c r="W798" t="s">
        <v>15195</v>
      </c>
      <c r="X798" t="s">
        <v>15196</v>
      </c>
      <c r="Y798" t="s">
        <v>15197</v>
      </c>
      <c r="Z798" t="s">
        <v>15198</v>
      </c>
      <c r="AA798" t="s">
        <v>15199</v>
      </c>
      <c r="AB798" t="s">
        <v>74</v>
      </c>
      <c r="AC798" t="s">
        <v>15200</v>
      </c>
      <c r="AD798" t="s">
        <v>15201</v>
      </c>
      <c r="AE798" t="s">
        <v>15202</v>
      </c>
      <c r="AF798" t="s">
        <v>74</v>
      </c>
      <c r="AG798">
        <v>56</v>
      </c>
      <c r="AH798">
        <v>0</v>
      </c>
      <c r="AI798">
        <v>0</v>
      </c>
      <c r="AJ798">
        <v>5</v>
      </c>
      <c r="AK798">
        <v>5</v>
      </c>
      <c r="AL798" t="s">
        <v>4166</v>
      </c>
      <c r="AM798" t="s">
        <v>531</v>
      </c>
      <c r="AN798" t="s">
        <v>4167</v>
      </c>
      <c r="AO798" t="s">
        <v>11641</v>
      </c>
      <c r="AP798" t="s">
        <v>74</v>
      </c>
      <c r="AQ798" t="s">
        <v>74</v>
      </c>
      <c r="AR798" t="s">
        <v>11630</v>
      </c>
      <c r="AS798" t="s">
        <v>11642</v>
      </c>
      <c r="AT798" t="s">
        <v>9975</v>
      </c>
      <c r="AU798">
        <v>2025</v>
      </c>
      <c r="AV798">
        <v>10</v>
      </c>
      <c r="AW798">
        <v>37</v>
      </c>
      <c r="AX798" t="s">
        <v>74</v>
      </c>
      <c r="AY798" t="s">
        <v>74</v>
      </c>
      <c r="AZ798" t="s">
        <v>74</v>
      </c>
      <c r="BA798" t="s">
        <v>74</v>
      </c>
      <c r="BB798">
        <v>42425</v>
      </c>
      <c r="BC798">
        <v>42437</v>
      </c>
      <c r="BD798" t="s">
        <v>74</v>
      </c>
      <c r="BE798" t="s">
        <v>15203</v>
      </c>
      <c r="BF798" t="str">
        <f>HYPERLINK("http://dx.doi.org/10.1021/acsomega.5c03095","http://dx.doi.org/10.1021/acsomega.5c03095")</f>
        <v>http://dx.doi.org/10.1021/acsomega.5c03095</v>
      </c>
      <c r="BG798" t="s">
        <v>74</v>
      </c>
      <c r="BH798" t="s">
        <v>1338</v>
      </c>
      <c r="BI798">
        <v>13</v>
      </c>
      <c r="BJ798" t="s">
        <v>2498</v>
      </c>
      <c r="BK798" t="s">
        <v>102</v>
      </c>
      <c r="BL798" t="s">
        <v>2499</v>
      </c>
      <c r="BM798" t="s">
        <v>15204</v>
      </c>
      <c r="BN798">
        <v>41018642</v>
      </c>
      <c r="BO798" t="s">
        <v>161</v>
      </c>
      <c r="BP798" t="s">
        <v>74</v>
      </c>
      <c r="BQ798" t="s">
        <v>74</v>
      </c>
      <c r="BR798" t="s">
        <v>106</v>
      </c>
      <c r="BS798" t="s">
        <v>15205</v>
      </c>
      <c r="BT798" t="str">
        <f>HYPERLINK("https%3A%2F%2Fwww.webofscience.com%2Fwos%2Fwoscc%2Ffull-record%2FWOS:001568196400001","View Full Record in Web of Science")</f>
        <v>View Full Record in Web of Science</v>
      </c>
    </row>
    <row r="799" spans="1:72" x14ac:dyDescent="0.2">
      <c r="A799" t="s">
        <v>72</v>
      </c>
      <c r="B799" t="s">
        <v>15206</v>
      </c>
      <c r="C799" t="s">
        <v>74</v>
      </c>
      <c r="D799" t="s">
        <v>74</v>
      </c>
      <c r="E799" t="s">
        <v>74</v>
      </c>
      <c r="F799" t="s">
        <v>15207</v>
      </c>
      <c r="G799" t="s">
        <v>74</v>
      </c>
      <c r="H799" t="s">
        <v>74</v>
      </c>
      <c r="I799" t="s">
        <v>15208</v>
      </c>
      <c r="J799" t="s">
        <v>15209</v>
      </c>
      <c r="K799" t="s">
        <v>74</v>
      </c>
      <c r="L799" t="s">
        <v>74</v>
      </c>
      <c r="M799" t="s">
        <v>78</v>
      </c>
      <c r="N799" t="s">
        <v>79</v>
      </c>
      <c r="O799" t="s">
        <v>74</v>
      </c>
      <c r="P799" t="s">
        <v>74</v>
      </c>
      <c r="Q799" t="s">
        <v>74</v>
      </c>
      <c r="R799" t="s">
        <v>74</v>
      </c>
      <c r="S799" t="s">
        <v>74</v>
      </c>
      <c r="T799" t="s">
        <v>15210</v>
      </c>
      <c r="U799" t="s">
        <v>15211</v>
      </c>
      <c r="V799" t="s">
        <v>15212</v>
      </c>
      <c r="W799" t="s">
        <v>15213</v>
      </c>
      <c r="X799" t="s">
        <v>15214</v>
      </c>
      <c r="Y799" t="s">
        <v>15215</v>
      </c>
      <c r="Z799" t="s">
        <v>15216</v>
      </c>
      <c r="AA799" t="s">
        <v>74</v>
      </c>
      <c r="AB799" t="s">
        <v>15217</v>
      </c>
      <c r="AC799" t="s">
        <v>74</v>
      </c>
      <c r="AD799" t="s">
        <v>74</v>
      </c>
      <c r="AE799" t="s">
        <v>74</v>
      </c>
      <c r="AF799" t="s">
        <v>74</v>
      </c>
      <c r="AG799">
        <v>56</v>
      </c>
      <c r="AH799">
        <v>8</v>
      </c>
      <c r="AI799">
        <v>9</v>
      </c>
      <c r="AJ799">
        <v>0</v>
      </c>
      <c r="AK799">
        <v>11</v>
      </c>
      <c r="AL799" t="s">
        <v>15218</v>
      </c>
      <c r="AM799" t="s">
        <v>15219</v>
      </c>
      <c r="AN799" t="s">
        <v>15220</v>
      </c>
      <c r="AO799" t="s">
        <v>15221</v>
      </c>
      <c r="AP799" t="s">
        <v>15222</v>
      </c>
      <c r="AQ799" t="s">
        <v>74</v>
      </c>
      <c r="AR799" t="s">
        <v>15209</v>
      </c>
      <c r="AS799" t="s">
        <v>15223</v>
      </c>
      <c r="AT799" t="s">
        <v>227</v>
      </c>
      <c r="AU799">
        <v>2022</v>
      </c>
      <c r="AV799">
        <v>22</v>
      </c>
      <c r="AW799">
        <v>1</v>
      </c>
      <c r="AX799" t="s">
        <v>74</v>
      </c>
      <c r="AY799" t="s">
        <v>74</v>
      </c>
      <c r="AZ799" t="s">
        <v>74</v>
      </c>
      <c r="BA799" t="s">
        <v>74</v>
      </c>
      <c r="BB799">
        <v>116</v>
      </c>
      <c r="BC799">
        <v>123</v>
      </c>
      <c r="BD799" t="s">
        <v>74</v>
      </c>
      <c r="BE799" t="s">
        <v>15224</v>
      </c>
      <c r="BF799" t="str">
        <f>HYPERLINK("http://dx.doi.org/10.1089/ast.2020.2415","http://dx.doi.org/10.1089/ast.2020.2415")</f>
        <v>http://dx.doi.org/10.1089/ast.2020.2415</v>
      </c>
      <c r="BG799" t="s">
        <v>74</v>
      </c>
      <c r="BH799" t="s">
        <v>74</v>
      </c>
      <c r="BI799">
        <v>8</v>
      </c>
      <c r="BJ799" t="s">
        <v>15225</v>
      </c>
      <c r="BK799" t="s">
        <v>102</v>
      </c>
      <c r="BL799" t="s">
        <v>15226</v>
      </c>
      <c r="BM799" t="s">
        <v>15227</v>
      </c>
      <c r="BN799">
        <v>35020414</v>
      </c>
      <c r="BO799" t="s">
        <v>74</v>
      </c>
      <c r="BP799" t="s">
        <v>74</v>
      </c>
      <c r="BQ799" t="s">
        <v>74</v>
      </c>
      <c r="BR799" t="s">
        <v>106</v>
      </c>
      <c r="BS799" t="s">
        <v>15228</v>
      </c>
      <c r="BT799" t="str">
        <f>HYPERLINK("https%3A%2F%2Fwww.webofscience.com%2Fwos%2Fwoscc%2Ffull-record%2FWOS:000802208700010","View Full Record in Web of Science")</f>
        <v>View Full Record in Web of Science</v>
      </c>
    </row>
    <row r="800" spans="1:72" x14ac:dyDescent="0.2">
      <c r="A800" t="s">
        <v>72</v>
      </c>
      <c r="B800" t="s">
        <v>15229</v>
      </c>
      <c r="C800" t="s">
        <v>74</v>
      </c>
      <c r="D800" t="s">
        <v>74</v>
      </c>
      <c r="E800" t="s">
        <v>74</v>
      </c>
      <c r="F800" t="s">
        <v>15230</v>
      </c>
      <c r="G800" t="s">
        <v>74</v>
      </c>
      <c r="H800" t="s">
        <v>74</v>
      </c>
      <c r="I800" t="s">
        <v>15231</v>
      </c>
      <c r="J800" t="s">
        <v>1451</v>
      </c>
      <c r="K800" t="s">
        <v>74</v>
      </c>
      <c r="L800" t="s">
        <v>74</v>
      </c>
      <c r="M800" t="s">
        <v>78</v>
      </c>
      <c r="N800" t="s">
        <v>79</v>
      </c>
      <c r="O800" t="s">
        <v>74</v>
      </c>
      <c r="P800" t="s">
        <v>74</v>
      </c>
      <c r="Q800" t="s">
        <v>74</v>
      </c>
      <c r="R800" t="s">
        <v>74</v>
      </c>
      <c r="S800" t="s">
        <v>74</v>
      </c>
      <c r="T800" t="s">
        <v>15232</v>
      </c>
      <c r="U800" t="s">
        <v>15233</v>
      </c>
      <c r="V800" t="s">
        <v>15234</v>
      </c>
      <c r="W800" t="s">
        <v>15235</v>
      </c>
      <c r="X800" t="s">
        <v>15236</v>
      </c>
      <c r="Y800" t="s">
        <v>15237</v>
      </c>
      <c r="Z800" t="s">
        <v>15238</v>
      </c>
      <c r="AA800" t="s">
        <v>74</v>
      </c>
      <c r="AB800" t="s">
        <v>15239</v>
      </c>
      <c r="AC800" t="s">
        <v>15240</v>
      </c>
      <c r="AD800" t="s">
        <v>15241</v>
      </c>
      <c r="AE800" t="s">
        <v>15242</v>
      </c>
      <c r="AF800" t="s">
        <v>74</v>
      </c>
      <c r="AG800">
        <v>121</v>
      </c>
      <c r="AH800">
        <v>138</v>
      </c>
      <c r="AI800">
        <v>150</v>
      </c>
      <c r="AJ800">
        <v>1</v>
      </c>
      <c r="AK800">
        <v>143</v>
      </c>
      <c r="AL800" t="s">
        <v>123</v>
      </c>
      <c r="AM800" t="s">
        <v>124</v>
      </c>
      <c r="AN800" t="s">
        <v>125</v>
      </c>
      <c r="AO800" t="s">
        <v>1464</v>
      </c>
      <c r="AP800" t="s">
        <v>1465</v>
      </c>
      <c r="AQ800" t="s">
        <v>74</v>
      </c>
      <c r="AR800" t="s">
        <v>1466</v>
      </c>
      <c r="AS800" t="s">
        <v>1467</v>
      </c>
      <c r="AT800" t="s">
        <v>15243</v>
      </c>
      <c r="AU800">
        <v>2016</v>
      </c>
      <c r="AV800">
        <v>226</v>
      </c>
      <c r="AW800" t="s">
        <v>74</v>
      </c>
      <c r="AX800" t="s">
        <v>74</v>
      </c>
      <c r="AY800" t="s">
        <v>74</v>
      </c>
      <c r="AZ800" t="s">
        <v>74</v>
      </c>
      <c r="BA800" t="s">
        <v>74</v>
      </c>
      <c r="BB800">
        <v>65</v>
      </c>
      <c r="BC800">
        <v>78</v>
      </c>
      <c r="BD800" t="s">
        <v>74</v>
      </c>
      <c r="BE800" t="s">
        <v>15244</v>
      </c>
      <c r="BF800" t="str">
        <f>HYPERLINK("http://dx.doi.org/10.1016/j.agee.2016.04.011","http://dx.doi.org/10.1016/j.agee.2016.04.011")</f>
        <v>http://dx.doi.org/10.1016/j.agee.2016.04.011</v>
      </c>
      <c r="BG800" t="s">
        <v>74</v>
      </c>
      <c r="BH800" t="s">
        <v>74</v>
      </c>
      <c r="BI800">
        <v>14</v>
      </c>
      <c r="BJ800" t="s">
        <v>1470</v>
      </c>
      <c r="BK800" t="s">
        <v>102</v>
      </c>
      <c r="BL800" t="s">
        <v>1471</v>
      </c>
      <c r="BM800" t="s">
        <v>15245</v>
      </c>
      <c r="BN800" t="s">
        <v>74</v>
      </c>
      <c r="BO800" t="s">
        <v>74</v>
      </c>
      <c r="BP800" t="s">
        <v>74</v>
      </c>
      <c r="BQ800" t="s">
        <v>74</v>
      </c>
      <c r="BR800" t="s">
        <v>106</v>
      </c>
      <c r="BS800" t="s">
        <v>15246</v>
      </c>
      <c r="BT800" t="str">
        <f>HYPERLINK("https%3A%2F%2Fwww.webofscience.com%2Fwos%2Fwoscc%2Ffull-record%2FWOS:000377818700007","View Full Record in Web of Science")</f>
        <v>View Full Record in Web of Science</v>
      </c>
    </row>
    <row r="801" spans="1:72" x14ac:dyDescent="0.2">
      <c r="A801" t="s">
        <v>72</v>
      </c>
      <c r="B801" t="s">
        <v>15247</v>
      </c>
      <c r="C801" t="s">
        <v>74</v>
      </c>
      <c r="D801" t="s">
        <v>74</v>
      </c>
      <c r="E801" t="s">
        <v>74</v>
      </c>
      <c r="F801" t="s">
        <v>15248</v>
      </c>
      <c r="G801" t="s">
        <v>74</v>
      </c>
      <c r="H801" t="s">
        <v>74</v>
      </c>
      <c r="I801" t="s">
        <v>15249</v>
      </c>
      <c r="J801" t="s">
        <v>347</v>
      </c>
      <c r="K801" t="s">
        <v>74</v>
      </c>
      <c r="L801" t="s">
        <v>74</v>
      </c>
      <c r="M801" t="s">
        <v>78</v>
      </c>
      <c r="N801" t="s">
        <v>79</v>
      </c>
      <c r="O801" t="s">
        <v>74</v>
      </c>
      <c r="P801" t="s">
        <v>74</v>
      </c>
      <c r="Q801" t="s">
        <v>74</v>
      </c>
      <c r="R801" t="s">
        <v>74</v>
      </c>
      <c r="S801" t="s">
        <v>74</v>
      </c>
      <c r="T801" t="s">
        <v>15250</v>
      </c>
      <c r="U801" t="s">
        <v>468</v>
      </c>
      <c r="V801" t="s">
        <v>15251</v>
      </c>
      <c r="W801" t="s">
        <v>15252</v>
      </c>
      <c r="X801" t="s">
        <v>15253</v>
      </c>
      <c r="Y801" t="s">
        <v>15254</v>
      </c>
      <c r="Z801" t="s">
        <v>15255</v>
      </c>
      <c r="AA801" t="s">
        <v>15256</v>
      </c>
      <c r="AB801" t="s">
        <v>15257</v>
      </c>
      <c r="AC801" t="s">
        <v>15258</v>
      </c>
      <c r="AD801" t="s">
        <v>15259</v>
      </c>
      <c r="AE801" t="s">
        <v>15260</v>
      </c>
      <c r="AF801" t="s">
        <v>74</v>
      </c>
      <c r="AG801">
        <v>70</v>
      </c>
      <c r="AH801">
        <v>0</v>
      </c>
      <c r="AI801">
        <v>0</v>
      </c>
      <c r="AJ801">
        <v>9</v>
      </c>
      <c r="AK801">
        <v>9</v>
      </c>
      <c r="AL801" t="s">
        <v>274</v>
      </c>
      <c r="AM801" t="s">
        <v>275</v>
      </c>
      <c r="AN801" t="s">
        <v>276</v>
      </c>
      <c r="AO801" t="s">
        <v>357</v>
      </c>
      <c r="AP801" t="s">
        <v>74</v>
      </c>
      <c r="AQ801" t="s">
        <v>74</v>
      </c>
      <c r="AR801" t="s">
        <v>358</v>
      </c>
      <c r="AS801" t="s">
        <v>359</v>
      </c>
      <c r="AT801" t="s">
        <v>7392</v>
      </c>
      <c r="AU801">
        <v>2025</v>
      </c>
      <c r="AV801">
        <v>15</v>
      </c>
      <c r="AW801">
        <v>1</v>
      </c>
      <c r="AX801" t="s">
        <v>74</v>
      </c>
      <c r="AY801" t="s">
        <v>74</v>
      </c>
      <c r="AZ801" t="s">
        <v>74</v>
      </c>
      <c r="BA801" t="s">
        <v>74</v>
      </c>
      <c r="BB801" t="s">
        <v>74</v>
      </c>
      <c r="BC801" t="s">
        <v>74</v>
      </c>
      <c r="BD801">
        <v>21557</v>
      </c>
      <c r="BE801" t="s">
        <v>15261</v>
      </c>
      <c r="BF801" t="str">
        <f>HYPERLINK("http://dx.doi.org/10.1038/s41598-025-09413-0","http://dx.doi.org/10.1038/s41598-025-09413-0")</f>
        <v>http://dx.doi.org/10.1038/s41598-025-09413-0</v>
      </c>
      <c r="BG801" t="s">
        <v>74</v>
      </c>
      <c r="BH801" t="s">
        <v>74</v>
      </c>
      <c r="BI801">
        <v>16</v>
      </c>
      <c r="BJ801" t="s">
        <v>158</v>
      </c>
      <c r="BK801" t="s">
        <v>102</v>
      </c>
      <c r="BL801" t="s">
        <v>159</v>
      </c>
      <c r="BM801" t="s">
        <v>15262</v>
      </c>
      <c r="BN801">
        <v>40594952</v>
      </c>
      <c r="BO801" t="s">
        <v>161</v>
      </c>
      <c r="BP801" t="s">
        <v>74</v>
      </c>
      <c r="BQ801" t="s">
        <v>74</v>
      </c>
      <c r="BR801" t="s">
        <v>106</v>
      </c>
      <c r="BS801" t="s">
        <v>15263</v>
      </c>
      <c r="BT801" t="str">
        <f>HYPERLINK("https%3A%2F%2Fwww.webofscience.com%2Fwos%2Fwoscc%2Ffull-record%2FWOS:001522982100041","View Full Record in Web of Science")</f>
        <v>View Full Record in Web of Science</v>
      </c>
    </row>
    <row r="802" spans="1:72" x14ac:dyDescent="0.2">
      <c r="A802" t="s">
        <v>72</v>
      </c>
      <c r="B802" t="s">
        <v>15264</v>
      </c>
      <c r="C802" t="s">
        <v>74</v>
      </c>
      <c r="D802" t="s">
        <v>74</v>
      </c>
      <c r="E802" t="s">
        <v>74</v>
      </c>
      <c r="F802" t="s">
        <v>15265</v>
      </c>
      <c r="G802" t="s">
        <v>74</v>
      </c>
      <c r="H802" t="s">
        <v>74</v>
      </c>
      <c r="I802" t="s">
        <v>15266</v>
      </c>
      <c r="J802" t="s">
        <v>828</v>
      </c>
      <c r="K802" t="s">
        <v>74</v>
      </c>
      <c r="L802" t="s">
        <v>74</v>
      </c>
      <c r="M802" t="s">
        <v>78</v>
      </c>
      <c r="N802" t="s">
        <v>79</v>
      </c>
      <c r="O802" t="s">
        <v>74</v>
      </c>
      <c r="P802" t="s">
        <v>74</v>
      </c>
      <c r="Q802" t="s">
        <v>74</v>
      </c>
      <c r="R802" t="s">
        <v>74</v>
      </c>
      <c r="S802" t="s">
        <v>74</v>
      </c>
      <c r="T802" t="s">
        <v>15267</v>
      </c>
      <c r="U802" t="s">
        <v>74</v>
      </c>
      <c r="V802" t="s">
        <v>15268</v>
      </c>
      <c r="W802" t="s">
        <v>15269</v>
      </c>
      <c r="X802" t="s">
        <v>15270</v>
      </c>
      <c r="Y802" t="s">
        <v>15271</v>
      </c>
      <c r="Z802" t="s">
        <v>15272</v>
      </c>
      <c r="AA802" t="s">
        <v>74</v>
      </c>
      <c r="AB802" t="s">
        <v>15273</v>
      </c>
      <c r="AC802" t="s">
        <v>74</v>
      </c>
      <c r="AD802" t="s">
        <v>74</v>
      </c>
      <c r="AE802" t="s">
        <v>74</v>
      </c>
      <c r="AF802" t="s">
        <v>74</v>
      </c>
      <c r="AG802">
        <v>11</v>
      </c>
      <c r="AH802">
        <v>45</v>
      </c>
      <c r="AI802">
        <v>51</v>
      </c>
      <c r="AJ802">
        <v>0</v>
      </c>
      <c r="AK802">
        <v>105</v>
      </c>
      <c r="AL802" t="s">
        <v>835</v>
      </c>
      <c r="AM802" t="s">
        <v>836</v>
      </c>
      <c r="AN802" t="s">
        <v>3254</v>
      </c>
      <c r="AO802" t="s">
        <v>838</v>
      </c>
      <c r="AP802" t="s">
        <v>74</v>
      </c>
      <c r="AQ802" t="s">
        <v>74</v>
      </c>
      <c r="AR802" t="s">
        <v>839</v>
      </c>
      <c r="AS802" t="s">
        <v>840</v>
      </c>
      <c r="AT802" t="s">
        <v>841</v>
      </c>
      <c r="AU802">
        <v>2019</v>
      </c>
      <c r="AV802">
        <v>50</v>
      </c>
      <c r="AW802">
        <v>1</v>
      </c>
      <c r="AX802" t="s">
        <v>74</v>
      </c>
      <c r="AY802" t="s">
        <v>74</v>
      </c>
      <c r="AZ802" t="s">
        <v>74</v>
      </c>
      <c r="BA802" t="s">
        <v>74</v>
      </c>
      <c r="BB802">
        <v>84</v>
      </c>
      <c r="BC802">
        <v>89</v>
      </c>
      <c r="BD802" t="s">
        <v>74</v>
      </c>
      <c r="BE802" t="s">
        <v>74</v>
      </c>
      <c r="BF802" t="s">
        <v>74</v>
      </c>
      <c r="BG802" t="s">
        <v>74</v>
      </c>
      <c r="BH802" t="s">
        <v>74</v>
      </c>
      <c r="BI802">
        <v>6</v>
      </c>
      <c r="BJ802" t="s">
        <v>842</v>
      </c>
      <c r="BK802" t="s">
        <v>102</v>
      </c>
      <c r="BL802" t="s">
        <v>103</v>
      </c>
      <c r="BM802" t="s">
        <v>15274</v>
      </c>
      <c r="BN802" t="s">
        <v>74</v>
      </c>
      <c r="BO802" t="s">
        <v>74</v>
      </c>
      <c r="BP802" t="s">
        <v>74</v>
      </c>
      <c r="BQ802" t="s">
        <v>74</v>
      </c>
      <c r="BR802" t="s">
        <v>106</v>
      </c>
      <c r="BS802" t="s">
        <v>15275</v>
      </c>
      <c r="BT802" t="str">
        <f>HYPERLINK("https%3A%2F%2Fwww.webofscience.com%2Fwos%2Fwoscc%2Ffull-record%2FWOS:000464770200012","View Full Record in Web of Science")</f>
        <v>View Full Record in Web of Science</v>
      </c>
    </row>
    <row r="803" spans="1:72" x14ac:dyDescent="0.2">
      <c r="A803" t="s">
        <v>72</v>
      </c>
      <c r="B803" t="s">
        <v>15276</v>
      </c>
      <c r="C803" t="s">
        <v>74</v>
      </c>
      <c r="D803" t="s">
        <v>74</v>
      </c>
      <c r="E803" t="s">
        <v>74</v>
      </c>
      <c r="F803" t="s">
        <v>15277</v>
      </c>
      <c r="G803" t="s">
        <v>74</v>
      </c>
      <c r="H803" t="s">
        <v>74</v>
      </c>
      <c r="I803" t="s">
        <v>15278</v>
      </c>
      <c r="J803" t="s">
        <v>8131</v>
      </c>
      <c r="K803" t="s">
        <v>74</v>
      </c>
      <c r="L803" t="s">
        <v>74</v>
      </c>
      <c r="M803" t="s">
        <v>78</v>
      </c>
      <c r="N803" t="s">
        <v>79</v>
      </c>
      <c r="O803" t="s">
        <v>74</v>
      </c>
      <c r="P803" t="s">
        <v>74</v>
      </c>
      <c r="Q803" t="s">
        <v>74</v>
      </c>
      <c r="R803" t="s">
        <v>74</v>
      </c>
      <c r="S803" t="s">
        <v>74</v>
      </c>
      <c r="T803" t="s">
        <v>15279</v>
      </c>
      <c r="U803" t="s">
        <v>15280</v>
      </c>
      <c r="V803" t="s">
        <v>15281</v>
      </c>
      <c r="W803" t="s">
        <v>15282</v>
      </c>
      <c r="X803" t="s">
        <v>15283</v>
      </c>
      <c r="Y803" t="s">
        <v>15284</v>
      </c>
      <c r="Z803" t="s">
        <v>15285</v>
      </c>
      <c r="AA803" t="s">
        <v>74</v>
      </c>
      <c r="AB803" t="s">
        <v>74</v>
      </c>
      <c r="AC803" t="s">
        <v>15286</v>
      </c>
      <c r="AD803" t="s">
        <v>15286</v>
      </c>
      <c r="AE803" t="s">
        <v>9916</v>
      </c>
      <c r="AF803" t="s">
        <v>74</v>
      </c>
      <c r="AG803">
        <v>85</v>
      </c>
      <c r="AH803">
        <v>0</v>
      </c>
      <c r="AI803">
        <v>0</v>
      </c>
      <c r="AJ803">
        <v>0</v>
      </c>
      <c r="AK803">
        <v>0</v>
      </c>
      <c r="AL803" t="s">
        <v>504</v>
      </c>
      <c r="AM803" t="s">
        <v>505</v>
      </c>
      <c r="AN803" t="s">
        <v>506</v>
      </c>
      <c r="AO803" t="s">
        <v>8144</v>
      </c>
      <c r="AP803" t="s">
        <v>8145</v>
      </c>
      <c r="AQ803" t="s">
        <v>74</v>
      </c>
      <c r="AR803" t="s">
        <v>8146</v>
      </c>
      <c r="AS803" t="s">
        <v>8147</v>
      </c>
      <c r="AT803" t="s">
        <v>5493</v>
      </c>
      <c r="AU803">
        <v>2025</v>
      </c>
      <c r="AV803">
        <v>132</v>
      </c>
      <c r="AW803">
        <v>1</v>
      </c>
      <c r="AX803" t="s">
        <v>74</v>
      </c>
      <c r="AY803" t="s">
        <v>74</v>
      </c>
      <c r="AZ803" t="s">
        <v>74</v>
      </c>
      <c r="BA803" t="s">
        <v>74</v>
      </c>
      <c r="BB803" t="s">
        <v>74</v>
      </c>
      <c r="BC803" t="s">
        <v>74</v>
      </c>
      <c r="BD803">
        <v>4</v>
      </c>
      <c r="BE803" t="s">
        <v>15287</v>
      </c>
      <c r="BF803" t="str">
        <f>HYPERLINK("http://dx.doi.org/10.1007/s10705-025-10451-3","http://dx.doi.org/10.1007/s10705-025-10451-3")</f>
        <v>http://dx.doi.org/10.1007/s10705-025-10451-3</v>
      </c>
      <c r="BG803" t="s">
        <v>74</v>
      </c>
      <c r="BH803" t="s">
        <v>74</v>
      </c>
      <c r="BI803">
        <v>20</v>
      </c>
      <c r="BJ803" t="s">
        <v>256</v>
      </c>
      <c r="BK803" t="s">
        <v>102</v>
      </c>
      <c r="BL803" t="s">
        <v>103</v>
      </c>
      <c r="BM803" t="s">
        <v>15288</v>
      </c>
      <c r="BN803" t="s">
        <v>74</v>
      </c>
      <c r="BO803" t="s">
        <v>916</v>
      </c>
      <c r="BP803" t="s">
        <v>74</v>
      </c>
      <c r="BQ803" t="s">
        <v>74</v>
      </c>
      <c r="BR803" t="s">
        <v>106</v>
      </c>
      <c r="BS803" t="s">
        <v>15289</v>
      </c>
      <c r="BT803" t="str">
        <f>HYPERLINK("https%3A%2F%2Fwww.webofscience.com%2Fwos%2Fwoscc%2Ffull-record%2FWOS:001632139000002","View Full Record in Web of Science")</f>
        <v>View Full Record in Web of Science</v>
      </c>
    </row>
    <row r="804" spans="1:72" x14ac:dyDescent="0.2">
      <c r="A804" t="s">
        <v>72</v>
      </c>
      <c r="B804" t="s">
        <v>15290</v>
      </c>
      <c r="C804" t="s">
        <v>74</v>
      </c>
      <c r="D804" t="s">
        <v>74</v>
      </c>
      <c r="E804" t="s">
        <v>74</v>
      </c>
      <c r="F804" t="s">
        <v>15291</v>
      </c>
      <c r="G804" t="s">
        <v>74</v>
      </c>
      <c r="H804" t="s">
        <v>74</v>
      </c>
      <c r="I804" t="s">
        <v>15292</v>
      </c>
      <c r="J804" t="s">
        <v>15293</v>
      </c>
      <c r="K804" t="s">
        <v>74</v>
      </c>
      <c r="L804" t="s">
        <v>74</v>
      </c>
      <c r="M804" t="s">
        <v>78</v>
      </c>
      <c r="N804" t="s">
        <v>79</v>
      </c>
      <c r="O804" t="s">
        <v>74</v>
      </c>
      <c r="P804" t="s">
        <v>74</v>
      </c>
      <c r="Q804" t="s">
        <v>74</v>
      </c>
      <c r="R804" t="s">
        <v>74</v>
      </c>
      <c r="S804" t="s">
        <v>74</v>
      </c>
      <c r="T804" t="s">
        <v>15294</v>
      </c>
      <c r="U804" t="s">
        <v>15295</v>
      </c>
      <c r="V804" t="s">
        <v>15296</v>
      </c>
      <c r="W804" t="s">
        <v>15297</v>
      </c>
      <c r="X804" t="s">
        <v>15298</v>
      </c>
      <c r="Y804" t="s">
        <v>15299</v>
      </c>
      <c r="Z804" t="s">
        <v>15300</v>
      </c>
      <c r="AA804" t="s">
        <v>15301</v>
      </c>
      <c r="AB804" t="s">
        <v>74</v>
      </c>
      <c r="AC804" t="s">
        <v>15302</v>
      </c>
      <c r="AD804" t="s">
        <v>15303</v>
      </c>
      <c r="AE804" t="s">
        <v>15304</v>
      </c>
      <c r="AF804" t="s">
        <v>74</v>
      </c>
      <c r="AG804">
        <v>43</v>
      </c>
      <c r="AH804">
        <v>2</v>
      </c>
      <c r="AI804">
        <v>2</v>
      </c>
      <c r="AJ804">
        <v>1</v>
      </c>
      <c r="AK804">
        <v>29</v>
      </c>
      <c r="AL804" t="s">
        <v>15305</v>
      </c>
      <c r="AM804" t="s">
        <v>15306</v>
      </c>
      <c r="AN804" t="s">
        <v>15307</v>
      </c>
      <c r="AO804" t="s">
        <v>15308</v>
      </c>
      <c r="AP804" t="s">
        <v>15309</v>
      </c>
      <c r="AQ804" t="s">
        <v>74</v>
      </c>
      <c r="AR804" t="s">
        <v>15310</v>
      </c>
      <c r="AS804" t="s">
        <v>15311</v>
      </c>
      <c r="AT804" t="s">
        <v>74</v>
      </c>
      <c r="AU804">
        <v>2021</v>
      </c>
      <c r="AV804">
        <v>37</v>
      </c>
      <c r="AW804">
        <v>6</v>
      </c>
      <c r="AX804" t="s">
        <v>74</v>
      </c>
      <c r="AY804" t="s">
        <v>74</v>
      </c>
      <c r="AZ804" t="s">
        <v>74</v>
      </c>
      <c r="BA804" t="s">
        <v>74</v>
      </c>
      <c r="BB804">
        <v>1119</v>
      </c>
      <c r="BC804">
        <v>1130</v>
      </c>
      <c r="BD804" t="s">
        <v>74</v>
      </c>
      <c r="BE804" t="s">
        <v>15312</v>
      </c>
      <c r="BF804" t="str">
        <f>HYPERLINK("http://dx.doi.org/10.13031/aea.14427","http://dx.doi.org/10.13031/aea.14427")</f>
        <v>http://dx.doi.org/10.13031/aea.14427</v>
      </c>
      <c r="BG804" t="s">
        <v>74</v>
      </c>
      <c r="BH804" t="s">
        <v>74</v>
      </c>
      <c r="BI804">
        <v>12</v>
      </c>
      <c r="BJ804" t="s">
        <v>842</v>
      </c>
      <c r="BK804" t="s">
        <v>102</v>
      </c>
      <c r="BL804" t="s">
        <v>103</v>
      </c>
      <c r="BM804" t="s">
        <v>15313</v>
      </c>
      <c r="BN804" t="s">
        <v>74</v>
      </c>
      <c r="BO804" t="s">
        <v>74</v>
      </c>
      <c r="BP804" t="s">
        <v>74</v>
      </c>
      <c r="BQ804" t="s">
        <v>74</v>
      </c>
      <c r="BR804" t="s">
        <v>106</v>
      </c>
      <c r="BS804" t="s">
        <v>15314</v>
      </c>
      <c r="BT804" t="str">
        <f>HYPERLINK("https%3A%2F%2Fwww.webofscience.com%2Fwos%2Fwoscc%2Ffull-record%2FWOS:000748532200013","View Full Record in Web of Science")</f>
        <v>View Full Record in Web of Science</v>
      </c>
    </row>
    <row r="805" spans="1:72" x14ac:dyDescent="0.2">
      <c r="A805" t="s">
        <v>72</v>
      </c>
      <c r="B805" t="s">
        <v>15315</v>
      </c>
      <c r="C805" t="s">
        <v>74</v>
      </c>
      <c r="D805" t="s">
        <v>74</v>
      </c>
      <c r="E805" t="s">
        <v>74</v>
      </c>
      <c r="F805" t="s">
        <v>15316</v>
      </c>
      <c r="G805" t="s">
        <v>74</v>
      </c>
      <c r="H805" t="s">
        <v>74</v>
      </c>
      <c r="I805" t="s">
        <v>15317</v>
      </c>
      <c r="J805" t="s">
        <v>740</v>
      </c>
      <c r="K805" t="s">
        <v>74</v>
      </c>
      <c r="L805" t="s">
        <v>74</v>
      </c>
      <c r="M805" t="s">
        <v>78</v>
      </c>
      <c r="N805" t="s">
        <v>79</v>
      </c>
      <c r="O805" t="s">
        <v>74</v>
      </c>
      <c r="P805" t="s">
        <v>74</v>
      </c>
      <c r="Q805" t="s">
        <v>74</v>
      </c>
      <c r="R805" t="s">
        <v>74</v>
      </c>
      <c r="S805" t="s">
        <v>74</v>
      </c>
      <c r="T805" t="s">
        <v>15318</v>
      </c>
      <c r="U805" t="s">
        <v>15319</v>
      </c>
      <c r="V805" t="s">
        <v>15320</v>
      </c>
      <c r="W805" t="s">
        <v>15321</v>
      </c>
      <c r="X805" t="s">
        <v>15322</v>
      </c>
      <c r="Y805" t="s">
        <v>15323</v>
      </c>
      <c r="Z805" t="s">
        <v>15324</v>
      </c>
      <c r="AA805" t="s">
        <v>15325</v>
      </c>
      <c r="AB805" t="s">
        <v>15326</v>
      </c>
      <c r="AC805" t="s">
        <v>15327</v>
      </c>
      <c r="AD805" t="s">
        <v>15328</v>
      </c>
      <c r="AE805" t="s">
        <v>15329</v>
      </c>
      <c r="AF805" t="s">
        <v>74</v>
      </c>
      <c r="AG805">
        <v>126</v>
      </c>
      <c r="AH805">
        <v>308</v>
      </c>
      <c r="AI805">
        <v>359</v>
      </c>
      <c r="AJ805">
        <v>89</v>
      </c>
      <c r="AK805">
        <v>915</v>
      </c>
      <c r="AL805" t="s">
        <v>247</v>
      </c>
      <c r="AM805" t="s">
        <v>248</v>
      </c>
      <c r="AN805" t="s">
        <v>249</v>
      </c>
      <c r="AO805" t="s">
        <v>750</v>
      </c>
      <c r="AP805" t="s">
        <v>751</v>
      </c>
      <c r="AQ805" t="s">
        <v>74</v>
      </c>
      <c r="AR805" t="s">
        <v>752</v>
      </c>
      <c r="AS805" t="s">
        <v>753</v>
      </c>
      <c r="AT805" t="s">
        <v>1752</v>
      </c>
      <c r="AU805">
        <v>2019</v>
      </c>
      <c r="AV805">
        <v>25</v>
      </c>
      <c r="AW805">
        <v>8</v>
      </c>
      <c r="AX805" t="s">
        <v>74</v>
      </c>
      <c r="AY805" t="s">
        <v>74</v>
      </c>
      <c r="AZ805" t="s">
        <v>74</v>
      </c>
      <c r="BA805" t="s">
        <v>74</v>
      </c>
      <c r="BB805">
        <v>2591</v>
      </c>
      <c r="BC805">
        <v>2606</v>
      </c>
      <c r="BD805" t="s">
        <v>74</v>
      </c>
      <c r="BE805" t="s">
        <v>15330</v>
      </c>
      <c r="BF805" t="str">
        <f>HYPERLINK("http://dx.doi.org/10.1111/gcb.14658","http://dx.doi.org/10.1111/gcb.14658")</f>
        <v>http://dx.doi.org/10.1111/gcb.14658</v>
      </c>
      <c r="BG805" t="s">
        <v>74</v>
      </c>
      <c r="BH805" t="s">
        <v>74</v>
      </c>
      <c r="BI805">
        <v>16</v>
      </c>
      <c r="BJ805" t="s">
        <v>755</v>
      </c>
      <c r="BK805" t="s">
        <v>102</v>
      </c>
      <c r="BL805" t="s">
        <v>756</v>
      </c>
      <c r="BM805" t="s">
        <v>15331</v>
      </c>
      <c r="BN805">
        <v>31002465</v>
      </c>
      <c r="BO805" t="s">
        <v>3889</v>
      </c>
      <c r="BP805" t="s">
        <v>4815</v>
      </c>
      <c r="BQ805" t="s">
        <v>4816</v>
      </c>
      <c r="BR805" t="s">
        <v>106</v>
      </c>
      <c r="BS805" t="s">
        <v>15332</v>
      </c>
      <c r="BT805" t="str">
        <f>HYPERLINK("https%3A%2F%2Fwww.webofscience.com%2Fwos%2Fwoscc%2Ffull-record%2FWOS:000497502700008","View Full Record in Web of Science")</f>
        <v>View Full Record in Web of Science</v>
      </c>
    </row>
    <row r="806" spans="1:72" x14ac:dyDescent="0.2">
      <c r="A806" t="s">
        <v>72</v>
      </c>
      <c r="B806" t="s">
        <v>15333</v>
      </c>
      <c r="C806" t="s">
        <v>74</v>
      </c>
      <c r="D806" t="s">
        <v>74</v>
      </c>
      <c r="E806" t="s">
        <v>74</v>
      </c>
      <c r="F806" t="s">
        <v>15334</v>
      </c>
      <c r="G806" t="s">
        <v>74</v>
      </c>
      <c r="H806" t="s">
        <v>74</v>
      </c>
      <c r="I806" t="s">
        <v>15335</v>
      </c>
      <c r="J806" t="s">
        <v>468</v>
      </c>
      <c r="K806" t="s">
        <v>74</v>
      </c>
      <c r="L806" t="s">
        <v>74</v>
      </c>
      <c r="M806" t="s">
        <v>78</v>
      </c>
      <c r="N806" t="s">
        <v>79</v>
      </c>
      <c r="O806" t="s">
        <v>74</v>
      </c>
      <c r="P806" t="s">
        <v>74</v>
      </c>
      <c r="Q806" t="s">
        <v>74</v>
      </c>
      <c r="R806" t="s">
        <v>74</v>
      </c>
      <c r="S806" t="s">
        <v>74</v>
      </c>
      <c r="T806" t="s">
        <v>15336</v>
      </c>
      <c r="U806" t="s">
        <v>15337</v>
      </c>
      <c r="V806" t="s">
        <v>15338</v>
      </c>
      <c r="W806" t="s">
        <v>15339</v>
      </c>
      <c r="X806" t="s">
        <v>15340</v>
      </c>
      <c r="Y806" t="s">
        <v>15341</v>
      </c>
      <c r="Z806" t="s">
        <v>15342</v>
      </c>
      <c r="AA806" t="s">
        <v>15343</v>
      </c>
      <c r="AB806" t="s">
        <v>15344</v>
      </c>
      <c r="AC806" t="s">
        <v>15345</v>
      </c>
      <c r="AD806" t="s">
        <v>15345</v>
      </c>
      <c r="AE806" t="s">
        <v>456</v>
      </c>
      <c r="AF806" t="s">
        <v>74</v>
      </c>
      <c r="AG806">
        <v>33</v>
      </c>
      <c r="AH806">
        <v>4</v>
      </c>
      <c r="AI806">
        <v>5</v>
      </c>
      <c r="AJ806">
        <v>6</v>
      </c>
      <c r="AK806">
        <v>13</v>
      </c>
      <c r="AL806" t="s">
        <v>222</v>
      </c>
      <c r="AM806" t="s">
        <v>223</v>
      </c>
      <c r="AN806" t="s">
        <v>224</v>
      </c>
      <c r="AO806" t="s">
        <v>74</v>
      </c>
      <c r="AP806" t="s">
        <v>479</v>
      </c>
      <c r="AQ806" t="s">
        <v>74</v>
      </c>
      <c r="AR806" t="s">
        <v>480</v>
      </c>
      <c r="AS806" t="s">
        <v>481</v>
      </c>
      <c r="AT806" t="s">
        <v>281</v>
      </c>
      <c r="AU806">
        <v>2024</v>
      </c>
      <c r="AV806">
        <v>16</v>
      </c>
      <c r="AW806">
        <v>11</v>
      </c>
      <c r="AX806" t="s">
        <v>74</v>
      </c>
      <c r="AY806" t="s">
        <v>74</v>
      </c>
      <c r="AZ806" t="s">
        <v>74</v>
      </c>
      <c r="BA806" t="s">
        <v>74</v>
      </c>
      <c r="BB806" t="s">
        <v>74</v>
      </c>
      <c r="BC806" t="s">
        <v>74</v>
      </c>
      <c r="BD806">
        <v>4475</v>
      </c>
      <c r="BE806" t="s">
        <v>15346</v>
      </c>
      <c r="BF806" t="str">
        <f>HYPERLINK("http://dx.doi.org/10.3390/su16114475","http://dx.doi.org/10.3390/su16114475")</f>
        <v>http://dx.doi.org/10.3390/su16114475</v>
      </c>
      <c r="BG806" t="s">
        <v>74</v>
      </c>
      <c r="BH806" t="s">
        <v>74</v>
      </c>
      <c r="BI806">
        <v>15</v>
      </c>
      <c r="BJ806" t="s">
        <v>484</v>
      </c>
      <c r="BK806" t="s">
        <v>186</v>
      </c>
      <c r="BL806" t="s">
        <v>485</v>
      </c>
      <c r="BM806" t="s">
        <v>15347</v>
      </c>
      <c r="BN806" t="s">
        <v>74</v>
      </c>
      <c r="BO806" t="s">
        <v>231</v>
      </c>
      <c r="BP806" t="s">
        <v>74</v>
      </c>
      <c r="BQ806" t="s">
        <v>74</v>
      </c>
      <c r="BR806" t="s">
        <v>106</v>
      </c>
      <c r="BS806" t="s">
        <v>15348</v>
      </c>
      <c r="BT806" t="str">
        <f>HYPERLINK("https%3A%2F%2Fwww.webofscience.com%2Fwos%2Fwoscc%2Ffull-record%2FWOS:001245384900001","View Full Record in Web of Science")</f>
        <v>View Full Record in Web of Science</v>
      </c>
    </row>
    <row r="807" spans="1:72" x14ac:dyDescent="0.2">
      <c r="A807" t="s">
        <v>72</v>
      </c>
      <c r="B807" t="s">
        <v>15349</v>
      </c>
      <c r="C807" t="s">
        <v>74</v>
      </c>
      <c r="D807" t="s">
        <v>74</v>
      </c>
      <c r="E807" t="s">
        <v>74</v>
      </c>
      <c r="F807" t="s">
        <v>15350</v>
      </c>
      <c r="G807" t="s">
        <v>74</v>
      </c>
      <c r="H807" t="s">
        <v>74</v>
      </c>
      <c r="I807" t="s">
        <v>15351</v>
      </c>
      <c r="J807" t="s">
        <v>1526</v>
      </c>
      <c r="K807" t="s">
        <v>74</v>
      </c>
      <c r="L807" t="s">
        <v>74</v>
      </c>
      <c r="M807" t="s">
        <v>78</v>
      </c>
      <c r="N807" t="s">
        <v>79</v>
      </c>
      <c r="O807" t="s">
        <v>74</v>
      </c>
      <c r="P807" t="s">
        <v>74</v>
      </c>
      <c r="Q807" t="s">
        <v>74</v>
      </c>
      <c r="R807" t="s">
        <v>74</v>
      </c>
      <c r="S807" t="s">
        <v>74</v>
      </c>
      <c r="T807" t="s">
        <v>15352</v>
      </c>
      <c r="U807" t="s">
        <v>15353</v>
      </c>
      <c r="V807" t="s">
        <v>15354</v>
      </c>
      <c r="W807" t="s">
        <v>15355</v>
      </c>
      <c r="X807" t="s">
        <v>15356</v>
      </c>
      <c r="Y807" t="s">
        <v>15357</v>
      </c>
      <c r="Z807" t="s">
        <v>15358</v>
      </c>
      <c r="AA807" t="s">
        <v>15359</v>
      </c>
      <c r="AB807" t="s">
        <v>15360</v>
      </c>
      <c r="AC807" t="s">
        <v>74</v>
      </c>
      <c r="AD807" t="s">
        <v>74</v>
      </c>
      <c r="AE807" t="s">
        <v>74</v>
      </c>
      <c r="AF807" t="s">
        <v>74</v>
      </c>
      <c r="AG807">
        <v>47</v>
      </c>
      <c r="AH807">
        <v>2</v>
      </c>
      <c r="AI807">
        <v>3</v>
      </c>
      <c r="AJ807">
        <v>7</v>
      </c>
      <c r="AK807">
        <v>31</v>
      </c>
      <c r="AL807" t="s">
        <v>176</v>
      </c>
      <c r="AM807" t="s">
        <v>1610</v>
      </c>
      <c r="AN807" t="s">
        <v>1611</v>
      </c>
      <c r="AO807" t="s">
        <v>1538</v>
      </c>
      <c r="AP807" t="s">
        <v>1539</v>
      </c>
      <c r="AQ807" t="s">
        <v>74</v>
      </c>
      <c r="AR807" t="s">
        <v>1540</v>
      </c>
      <c r="AS807" t="s">
        <v>1541</v>
      </c>
      <c r="AT807" t="s">
        <v>5933</v>
      </c>
      <c r="AU807">
        <v>2024</v>
      </c>
      <c r="AV807">
        <v>445</v>
      </c>
      <c r="AW807" t="s">
        <v>74</v>
      </c>
      <c r="AX807" t="s">
        <v>74</v>
      </c>
      <c r="AY807" t="s">
        <v>74</v>
      </c>
      <c r="AZ807" t="s">
        <v>74</v>
      </c>
      <c r="BA807" t="s">
        <v>74</v>
      </c>
      <c r="BB807" t="s">
        <v>74</v>
      </c>
      <c r="BC807" t="s">
        <v>74</v>
      </c>
      <c r="BD807">
        <v>141330</v>
      </c>
      <c r="BE807" t="s">
        <v>15361</v>
      </c>
      <c r="BF807" t="str">
        <f>HYPERLINK("http://dx.doi.org/10.1016/j.jclepro.2024.141330","http://dx.doi.org/10.1016/j.jclepro.2024.141330")</f>
        <v>http://dx.doi.org/10.1016/j.jclepro.2024.141330</v>
      </c>
      <c r="BG807" t="s">
        <v>74</v>
      </c>
      <c r="BH807" t="s">
        <v>2430</v>
      </c>
      <c r="BI807">
        <v>12</v>
      </c>
      <c r="BJ807" t="s">
        <v>1543</v>
      </c>
      <c r="BK807" t="s">
        <v>102</v>
      </c>
      <c r="BL807" t="s">
        <v>1544</v>
      </c>
      <c r="BM807" t="s">
        <v>15362</v>
      </c>
      <c r="BN807" t="s">
        <v>74</v>
      </c>
      <c r="BO807" t="s">
        <v>74</v>
      </c>
      <c r="BP807" t="s">
        <v>74</v>
      </c>
      <c r="BQ807" t="s">
        <v>74</v>
      </c>
      <c r="BR807" t="s">
        <v>106</v>
      </c>
      <c r="BS807" t="s">
        <v>15363</v>
      </c>
      <c r="BT807" t="str">
        <f>HYPERLINK("https%3A%2F%2Fwww.webofscience.com%2Fwos%2Fwoscc%2Ffull-record%2FWOS:001202108100001","View Full Record in Web of Science")</f>
        <v>View Full Record in Web of Science</v>
      </c>
    </row>
    <row r="808" spans="1:72" x14ac:dyDescent="0.2">
      <c r="A808" t="s">
        <v>72</v>
      </c>
      <c r="B808" t="s">
        <v>15364</v>
      </c>
      <c r="C808" t="s">
        <v>74</v>
      </c>
      <c r="D808" t="s">
        <v>74</v>
      </c>
      <c r="E808" t="s">
        <v>74</v>
      </c>
      <c r="F808" t="s">
        <v>15365</v>
      </c>
      <c r="G808" t="s">
        <v>74</v>
      </c>
      <c r="H808" t="s">
        <v>74</v>
      </c>
      <c r="I808" t="s">
        <v>15366</v>
      </c>
      <c r="J808" t="s">
        <v>11390</v>
      </c>
      <c r="K808" t="s">
        <v>74</v>
      </c>
      <c r="L808" t="s">
        <v>74</v>
      </c>
      <c r="M808" t="s">
        <v>78</v>
      </c>
      <c r="N808" t="s">
        <v>79</v>
      </c>
      <c r="O808" t="s">
        <v>74</v>
      </c>
      <c r="P808" t="s">
        <v>74</v>
      </c>
      <c r="Q808" t="s">
        <v>74</v>
      </c>
      <c r="R808" t="s">
        <v>74</v>
      </c>
      <c r="S808" t="s">
        <v>74</v>
      </c>
      <c r="T808" t="s">
        <v>15367</v>
      </c>
      <c r="U808" t="s">
        <v>15368</v>
      </c>
      <c r="V808" t="s">
        <v>15369</v>
      </c>
      <c r="W808" t="s">
        <v>15370</v>
      </c>
      <c r="X808" t="s">
        <v>74</v>
      </c>
      <c r="Y808" t="s">
        <v>15371</v>
      </c>
      <c r="Z808" t="s">
        <v>15372</v>
      </c>
      <c r="AA808" t="s">
        <v>15373</v>
      </c>
      <c r="AB808" t="s">
        <v>74</v>
      </c>
      <c r="AC808" t="s">
        <v>74</v>
      </c>
      <c r="AD808" t="s">
        <v>74</v>
      </c>
      <c r="AE808" t="s">
        <v>74</v>
      </c>
      <c r="AF808" t="s">
        <v>74</v>
      </c>
      <c r="AG808">
        <v>87</v>
      </c>
      <c r="AH808">
        <v>11</v>
      </c>
      <c r="AI808">
        <v>13</v>
      </c>
      <c r="AJ808">
        <v>0</v>
      </c>
      <c r="AK808">
        <v>13</v>
      </c>
      <c r="AL808" t="s">
        <v>504</v>
      </c>
      <c r="AM808" t="s">
        <v>676</v>
      </c>
      <c r="AN808" t="s">
        <v>677</v>
      </c>
      <c r="AO808" t="s">
        <v>11402</v>
      </c>
      <c r="AP808" t="s">
        <v>11403</v>
      </c>
      <c r="AQ808" t="s">
        <v>74</v>
      </c>
      <c r="AR808" t="s">
        <v>11404</v>
      </c>
      <c r="AS808" t="s">
        <v>11405</v>
      </c>
      <c r="AT808" t="s">
        <v>2017</v>
      </c>
      <c r="AU808">
        <v>2023</v>
      </c>
      <c r="AV808">
        <v>20</v>
      </c>
      <c r="AW808">
        <v>10</v>
      </c>
      <c r="AX808" t="s">
        <v>74</v>
      </c>
      <c r="AY808" t="s">
        <v>74</v>
      </c>
      <c r="AZ808" t="s">
        <v>74</v>
      </c>
      <c r="BA808" t="s">
        <v>74</v>
      </c>
      <c r="BB808">
        <v>11121</v>
      </c>
      <c r="BC808">
        <v>11134</v>
      </c>
      <c r="BD808" t="s">
        <v>74</v>
      </c>
      <c r="BE808" t="s">
        <v>15374</v>
      </c>
      <c r="BF808" t="str">
        <f>HYPERLINK("http://dx.doi.org/10.1007/s13762-022-04721-8","http://dx.doi.org/10.1007/s13762-022-04721-8")</f>
        <v>http://dx.doi.org/10.1007/s13762-022-04721-8</v>
      </c>
      <c r="BG808" t="s">
        <v>74</v>
      </c>
      <c r="BH808" t="s">
        <v>9389</v>
      </c>
      <c r="BI808">
        <v>14</v>
      </c>
      <c r="BJ808" t="s">
        <v>567</v>
      </c>
      <c r="BK808" t="s">
        <v>102</v>
      </c>
      <c r="BL808" t="s">
        <v>568</v>
      </c>
      <c r="BM808" t="s">
        <v>15375</v>
      </c>
      <c r="BN808" t="s">
        <v>74</v>
      </c>
      <c r="BO808" t="s">
        <v>74</v>
      </c>
      <c r="BP808" t="s">
        <v>74</v>
      </c>
      <c r="BQ808" t="s">
        <v>74</v>
      </c>
      <c r="BR808" t="s">
        <v>106</v>
      </c>
      <c r="BS808" t="s">
        <v>15376</v>
      </c>
      <c r="BT808" t="str">
        <f>HYPERLINK("https%3A%2F%2Fwww.webofscience.com%2Fwos%2Fwoscc%2Ffull-record%2FWOS:000903814900001","View Full Record in Web of Science")</f>
        <v>View Full Record in Web of Science</v>
      </c>
    </row>
    <row r="809" spans="1:72" x14ac:dyDescent="0.2">
      <c r="A809" t="s">
        <v>72</v>
      </c>
      <c r="B809" t="s">
        <v>15377</v>
      </c>
      <c r="C809" t="s">
        <v>74</v>
      </c>
      <c r="D809" t="s">
        <v>74</v>
      </c>
      <c r="E809" t="s">
        <v>74</v>
      </c>
      <c r="F809" t="s">
        <v>15378</v>
      </c>
      <c r="G809" t="s">
        <v>74</v>
      </c>
      <c r="H809" t="s">
        <v>74</v>
      </c>
      <c r="I809" t="s">
        <v>15379</v>
      </c>
      <c r="J809" t="s">
        <v>740</v>
      </c>
      <c r="K809" t="s">
        <v>74</v>
      </c>
      <c r="L809" t="s">
        <v>74</v>
      </c>
      <c r="M809" t="s">
        <v>78</v>
      </c>
      <c r="N809" t="s">
        <v>79</v>
      </c>
      <c r="O809" t="s">
        <v>74</v>
      </c>
      <c r="P809" t="s">
        <v>74</v>
      </c>
      <c r="Q809" t="s">
        <v>74</v>
      </c>
      <c r="R809" t="s">
        <v>74</v>
      </c>
      <c r="S809" t="s">
        <v>74</v>
      </c>
      <c r="T809" t="s">
        <v>15380</v>
      </c>
      <c r="U809" t="s">
        <v>15381</v>
      </c>
      <c r="V809" t="s">
        <v>15382</v>
      </c>
      <c r="W809" t="s">
        <v>15383</v>
      </c>
      <c r="X809" t="s">
        <v>15384</v>
      </c>
      <c r="Y809" t="s">
        <v>15385</v>
      </c>
      <c r="Z809" t="s">
        <v>15386</v>
      </c>
      <c r="AA809" t="s">
        <v>74</v>
      </c>
      <c r="AB809" t="s">
        <v>15387</v>
      </c>
      <c r="AC809" t="s">
        <v>15388</v>
      </c>
      <c r="AD809" t="s">
        <v>1591</v>
      </c>
      <c r="AE809" t="s">
        <v>15389</v>
      </c>
      <c r="AF809" t="s">
        <v>74</v>
      </c>
      <c r="AG809">
        <v>64</v>
      </c>
      <c r="AH809">
        <v>96</v>
      </c>
      <c r="AI809">
        <v>112</v>
      </c>
      <c r="AJ809">
        <v>17</v>
      </c>
      <c r="AK809">
        <v>332</v>
      </c>
      <c r="AL809" t="s">
        <v>247</v>
      </c>
      <c r="AM809" t="s">
        <v>248</v>
      </c>
      <c r="AN809" t="s">
        <v>249</v>
      </c>
      <c r="AO809" t="s">
        <v>750</v>
      </c>
      <c r="AP809" t="s">
        <v>751</v>
      </c>
      <c r="AQ809" t="s">
        <v>74</v>
      </c>
      <c r="AR809" t="s">
        <v>752</v>
      </c>
      <c r="AS809" t="s">
        <v>753</v>
      </c>
      <c r="AT809" t="s">
        <v>2017</v>
      </c>
      <c r="AU809">
        <v>2021</v>
      </c>
      <c r="AV809">
        <v>27</v>
      </c>
      <c r="AW809">
        <v>20</v>
      </c>
      <c r="AX809" t="s">
        <v>74</v>
      </c>
      <c r="AY809" t="s">
        <v>74</v>
      </c>
      <c r="AZ809" t="s">
        <v>74</v>
      </c>
      <c r="BA809" t="s">
        <v>74</v>
      </c>
      <c r="BB809">
        <v>5356</v>
      </c>
      <c r="BC809">
        <v>5367</v>
      </c>
      <c r="BD809" t="s">
        <v>74</v>
      </c>
      <c r="BE809" t="s">
        <v>15390</v>
      </c>
      <c r="BF809" t="str">
        <f>HYPERLINK("http://dx.doi.org/10.1111/gcb.15731","http://dx.doi.org/10.1111/gcb.15731")</f>
        <v>http://dx.doi.org/10.1111/gcb.15731</v>
      </c>
      <c r="BG809" t="s">
        <v>74</v>
      </c>
      <c r="BH809" t="s">
        <v>1225</v>
      </c>
      <c r="BI809">
        <v>12</v>
      </c>
      <c r="BJ809" t="s">
        <v>755</v>
      </c>
      <c r="BK809" t="s">
        <v>102</v>
      </c>
      <c r="BL809" t="s">
        <v>756</v>
      </c>
      <c r="BM809" t="s">
        <v>15391</v>
      </c>
      <c r="BN809">
        <v>34089557</v>
      </c>
      <c r="BO809" t="s">
        <v>74</v>
      </c>
      <c r="BP809" t="s">
        <v>74</v>
      </c>
      <c r="BQ809" t="s">
        <v>74</v>
      </c>
      <c r="BR809" t="s">
        <v>106</v>
      </c>
      <c r="BS809" t="s">
        <v>15392</v>
      </c>
      <c r="BT809" t="str">
        <f>HYPERLINK("https%3A%2F%2Fwww.webofscience.com%2Fwos%2Fwoscc%2Ffull-record%2FWOS:000675595700001","View Full Record in Web of Science")</f>
        <v>View Full Record in Web of Science</v>
      </c>
    </row>
    <row r="810" spans="1:72" x14ac:dyDescent="0.2">
      <c r="A810" t="s">
        <v>72</v>
      </c>
      <c r="B810" t="s">
        <v>15393</v>
      </c>
      <c r="C810" t="s">
        <v>74</v>
      </c>
      <c r="D810" t="s">
        <v>74</v>
      </c>
      <c r="E810" t="s">
        <v>74</v>
      </c>
      <c r="F810" t="s">
        <v>15394</v>
      </c>
      <c r="G810" t="s">
        <v>74</v>
      </c>
      <c r="H810" t="s">
        <v>74</v>
      </c>
      <c r="I810" t="s">
        <v>15395</v>
      </c>
      <c r="J810" t="s">
        <v>1526</v>
      </c>
      <c r="K810" t="s">
        <v>74</v>
      </c>
      <c r="L810" t="s">
        <v>74</v>
      </c>
      <c r="M810" t="s">
        <v>78</v>
      </c>
      <c r="N810" t="s">
        <v>79</v>
      </c>
      <c r="O810" t="s">
        <v>74</v>
      </c>
      <c r="P810" t="s">
        <v>74</v>
      </c>
      <c r="Q810" t="s">
        <v>74</v>
      </c>
      <c r="R810" t="s">
        <v>74</v>
      </c>
      <c r="S810" t="s">
        <v>74</v>
      </c>
      <c r="T810" t="s">
        <v>15396</v>
      </c>
      <c r="U810" t="s">
        <v>15397</v>
      </c>
      <c r="V810" t="s">
        <v>15398</v>
      </c>
      <c r="W810" t="s">
        <v>15399</v>
      </c>
      <c r="X810" t="s">
        <v>15400</v>
      </c>
      <c r="Y810" t="s">
        <v>15401</v>
      </c>
      <c r="Z810" t="s">
        <v>15402</v>
      </c>
      <c r="AA810" t="s">
        <v>74</v>
      </c>
      <c r="AB810" t="s">
        <v>74</v>
      </c>
      <c r="AC810" t="s">
        <v>15403</v>
      </c>
      <c r="AD810" t="s">
        <v>15404</v>
      </c>
      <c r="AE810" t="s">
        <v>15405</v>
      </c>
      <c r="AF810" t="s">
        <v>74</v>
      </c>
      <c r="AG810">
        <v>63</v>
      </c>
      <c r="AH810">
        <v>22</v>
      </c>
      <c r="AI810">
        <v>24</v>
      </c>
      <c r="AJ810">
        <v>2</v>
      </c>
      <c r="AK810">
        <v>109</v>
      </c>
      <c r="AL810" t="s">
        <v>176</v>
      </c>
      <c r="AM810" t="s">
        <v>177</v>
      </c>
      <c r="AN810" t="s">
        <v>178</v>
      </c>
      <c r="AO810" t="s">
        <v>1538</v>
      </c>
      <c r="AP810" t="s">
        <v>1539</v>
      </c>
      <c r="AQ810" t="s">
        <v>74</v>
      </c>
      <c r="AR810" t="s">
        <v>1540</v>
      </c>
      <c r="AS810" t="s">
        <v>1541</v>
      </c>
      <c r="AT810" t="s">
        <v>9883</v>
      </c>
      <c r="AU810">
        <v>2019</v>
      </c>
      <c r="AV810">
        <v>228</v>
      </c>
      <c r="AW810" t="s">
        <v>74</v>
      </c>
      <c r="AX810" t="s">
        <v>74</v>
      </c>
      <c r="AY810" t="s">
        <v>74</v>
      </c>
      <c r="AZ810" t="s">
        <v>74</v>
      </c>
      <c r="BA810" t="s">
        <v>74</v>
      </c>
      <c r="BB810">
        <v>1552</v>
      </c>
      <c r="BC810">
        <v>1563</v>
      </c>
      <c r="BD810" t="s">
        <v>74</v>
      </c>
      <c r="BE810" t="s">
        <v>15406</v>
      </c>
      <c r="BF810" t="str">
        <f>HYPERLINK("http://dx.doi.org/10.1016/j.jclepro.2019.04.356","http://dx.doi.org/10.1016/j.jclepro.2019.04.356")</f>
        <v>http://dx.doi.org/10.1016/j.jclepro.2019.04.356</v>
      </c>
      <c r="BG810" t="s">
        <v>74</v>
      </c>
      <c r="BH810" t="s">
        <v>74</v>
      </c>
      <c r="BI810">
        <v>12</v>
      </c>
      <c r="BJ810" t="s">
        <v>1543</v>
      </c>
      <c r="BK810" t="s">
        <v>186</v>
      </c>
      <c r="BL810" t="s">
        <v>1544</v>
      </c>
      <c r="BM810" t="s">
        <v>15407</v>
      </c>
      <c r="BN810" t="s">
        <v>74</v>
      </c>
      <c r="BO810" t="s">
        <v>74</v>
      </c>
      <c r="BP810" t="s">
        <v>74</v>
      </c>
      <c r="BQ810" t="s">
        <v>74</v>
      </c>
      <c r="BR810" t="s">
        <v>106</v>
      </c>
      <c r="BS810" t="s">
        <v>15408</v>
      </c>
      <c r="BT810" t="str">
        <f>HYPERLINK("https%3A%2F%2Fwww.webofscience.com%2Fwos%2Fwoscc%2Ffull-record%2FWOS:000470947000129","View Full Record in Web of Science")</f>
        <v>View Full Record in Web of Science</v>
      </c>
    </row>
    <row r="811" spans="1:72" x14ac:dyDescent="0.2">
      <c r="A811" t="s">
        <v>72</v>
      </c>
      <c r="B811" t="s">
        <v>15409</v>
      </c>
      <c r="C811" t="s">
        <v>74</v>
      </c>
      <c r="D811" t="s">
        <v>74</v>
      </c>
      <c r="E811" t="s">
        <v>74</v>
      </c>
      <c r="F811" t="s">
        <v>15410</v>
      </c>
      <c r="G811" t="s">
        <v>74</v>
      </c>
      <c r="H811" t="s">
        <v>74</v>
      </c>
      <c r="I811" t="s">
        <v>15411</v>
      </c>
      <c r="J811" t="s">
        <v>211</v>
      </c>
      <c r="K811" t="s">
        <v>74</v>
      </c>
      <c r="L811" t="s">
        <v>74</v>
      </c>
      <c r="M811" t="s">
        <v>78</v>
      </c>
      <c r="N811" t="s">
        <v>79</v>
      </c>
      <c r="O811" t="s">
        <v>74</v>
      </c>
      <c r="P811" t="s">
        <v>74</v>
      </c>
      <c r="Q811" t="s">
        <v>74</v>
      </c>
      <c r="R811" t="s">
        <v>74</v>
      </c>
      <c r="S811" t="s">
        <v>74</v>
      </c>
      <c r="T811" t="s">
        <v>15412</v>
      </c>
      <c r="U811" t="s">
        <v>15413</v>
      </c>
      <c r="V811" t="s">
        <v>15414</v>
      </c>
      <c r="W811" t="s">
        <v>15415</v>
      </c>
      <c r="X811" t="s">
        <v>15416</v>
      </c>
      <c r="Y811" t="s">
        <v>15417</v>
      </c>
      <c r="Z811" t="s">
        <v>15418</v>
      </c>
      <c r="AA811" t="s">
        <v>15419</v>
      </c>
      <c r="AB811" t="s">
        <v>15420</v>
      </c>
      <c r="AC811" t="s">
        <v>15421</v>
      </c>
      <c r="AD811" t="s">
        <v>15421</v>
      </c>
      <c r="AE811" t="s">
        <v>15422</v>
      </c>
      <c r="AF811" t="s">
        <v>74</v>
      </c>
      <c r="AG811">
        <v>43</v>
      </c>
      <c r="AH811">
        <v>19</v>
      </c>
      <c r="AI811">
        <v>22</v>
      </c>
      <c r="AJ811">
        <v>1</v>
      </c>
      <c r="AK811">
        <v>22</v>
      </c>
      <c r="AL811" t="s">
        <v>222</v>
      </c>
      <c r="AM811" t="s">
        <v>223</v>
      </c>
      <c r="AN811" t="s">
        <v>224</v>
      </c>
      <c r="AO811" t="s">
        <v>74</v>
      </c>
      <c r="AP811" t="s">
        <v>225</v>
      </c>
      <c r="AQ811" t="s">
        <v>74</v>
      </c>
      <c r="AR811" t="s">
        <v>211</v>
      </c>
      <c r="AS811" t="s">
        <v>226</v>
      </c>
      <c r="AT811" t="s">
        <v>459</v>
      </c>
      <c r="AU811">
        <v>2018</v>
      </c>
      <c r="AV811">
        <v>11</v>
      </c>
      <c r="AW811">
        <v>2</v>
      </c>
      <c r="AX811" t="s">
        <v>74</v>
      </c>
      <c r="AY811" t="s">
        <v>74</v>
      </c>
      <c r="AZ811" t="s">
        <v>74</v>
      </c>
      <c r="BA811" t="s">
        <v>74</v>
      </c>
      <c r="BB811" t="s">
        <v>74</v>
      </c>
      <c r="BC811" t="s">
        <v>74</v>
      </c>
      <c r="BD811">
        <v>451</v>
      </c>
      <c r="BE811" t="s">
        <v>15423</v>
      </c>
      <c r="BF811" t="str">
        <f>HYPERLINK("http://dx.doi.org/10.3390/en11020451","http://dx.doi.org/10.3390/en11020451")</f>
        <v>http://dx.doi.org/10.3390/en11020451</v>
      </c>
      <c r="BG811" t="s">
        <v>74</v>
      </c>
      <c r="BH811" t="s">
        <v>74</v>
      </c>
      <c r="BI811">
        <v>14</v>
      </c>
      <c r="BJ811" t="s">
        <v>229</v>
      </c>
      <c r="BK811" t="s">
        <v>102</v>
      </c>
      <c r="BL811" t="s">
        <v>229</v>
      </c>
      <c r="BM811" t="s">
        <v>15424</v>
      </c>
      <c r="BN811" t="s">
        <v>74</v>
      </c>
      <c r="BO811" t="s">
        <v>161</v>
      </c>
      <c r="BP811" t="s">
        <v>74</v>
      </c>
      <c r="BQ811" t="s">
        <v>74</v>
      </c>
      <c r="BR811" t="s">
        <v>106</v>
      </c>
      <c r="BS811" t="s">
        <v>15425</v>
      </c>
      <c r="BT811" t="str">
        <f>HYPERLINK("https%3A%2F%2Fwww.webofscience.com%2Fwos%2Fwoscc%2Ffull-record%2FWOS:000426734600193","View Full Record in Web of Science")</f>
        <v>View Full Record in Web of Science</v>
      </c>
    </row>
    <row r="812" spans="1:72" x14ac:dyDescent="0.2">
      <c r="A812" t="s">
        <v>72</v>
      </c>
      <c r="B812" t="s">
        <v>15426</v>
      </c>
      <c r="C812" t="s">
        <v>74</v>
      </c>
      <c r="D812" t="s">
        <v>74</v>
      </c>
      <c r="E812" t="s">
        <v>74</v>
      </c>
      <c r="F812" t="s">
        <v>15427</v>
      </c>
      <c r="G812" t="s">
        <v>74</v>
      </c>
      <c r="H812" t="s">
        <v>74</v>
      </c>
      <c r="I812" t="s">
        <v>15428</v>
      </c>
      <c r="J812" t="s">
        <v>1891</v>
      </c>
      <c r="K812" t="s">
        <v>74</v>
      </c>
      <c r="L812" t="s">
        <v>74</v>
      </c>
      <c r="M812" t="s">
        <v>78</v>
      </c>
      <c r="N812" t="s">
        <v>79</v>
      </c>
      <c r="O812" t="s">
        <v>74</v>
      </c>
      <c r="P812" t="s">
        <v>74</v>
      </c>
      <c r="Q812" t="s">
        <v>74</v>
      </c>
      <c r="R812" t="s">
        <v>74</v>
      </c>
      <c r="S812" t="s">
        <v>74</v>
      </c>
      <c r="T812" t="s">
        <v>15429</v>
      </c>
      <c r="U812" t="s">
        <v>15430</v>
      </c>
      <c r="V812" t="s">
        <v>15431</v>
      </c>
      <c r="W812" t="s">
        <v>15432</v>
      </c>
      <c r="X812" t="s">
        <v>15433</v>
      </c>
      <c r="Y812" t="s">
        <v>15434</v>
      </c>
      <c r="Z812" t="s">
        <v>15435</v>
      </c>
      <c r="AA812" t="s">
        <v>15436</v>
      </c>
      <c r="AB812" t="s">
        <v>15437</v>
      </c>
      <c r="AC812" t="s">
        <v>15438</v>
      </c>
      <c r="AD812" t="s">
        <v>15439</v>
      </c>
      <c r="AE812" t="s">
        <v>15440</v>
      </c>
      <c r="AF812" t="s">
        <v>74</v>
      </c>
      <c r="AG812">
        <v>43</v>
      </c>
      <c r="AH812">
        <v>1</v>
      </c>
      <c r="AI812">
        <v>1</v>
      </c>
      <c r="AJ812">
        <v>5</v>
      </c>
      <c r="AK812">
        <v>28</v>
      </c>
      <c r="AL812" t="s">
        <v>222</v>
      </c>
      <c r="AM812" t="s">
        <v>223</v>
      </c>
      <c r="AN812" t="s">
        <v>224</v>
      </c>
      <c r="AO812" t="s">
        <v>74</v>
      </c>
      <c r="AP812" t="s">
        <v>1904</v>
      </c>
      <c r="AQ812" t="s">
        <v>74</v>
      </c>
      <c r="AR812" t="s">
        <v>1891</v>
      </c>
      <c r="AS812" t="s">
        <v>1905</v>
      </c>
      <c r="AT812" t="s">
        <v>1752</v>
      </c>
      <c r="AU812">
        <v>2024</v>
      </c>
      <c r="AV812">
        <v>15</v>
      </c>
      <c r="AW812">
        <v>8</v>
      </c>
      <c r="AX812" t="s">
        <v>74</v>
      </c>
      <c r="AY812" t="s">
        <v>74</v>
      </c>
      <c r="AZ812" t="s">
        <v>74</v>
      </c>
      <c r="BA812" t="s">
        <v>74</v>
      </c>
      <c r="BB812" t="s">
        <v>74</v>
      </c>
      <c r="BC812" t="s">
        <v>74</v>
      </c>
      <c r="BD812">
        <v>1292</v>
      </c>
      <c r="BE812" t="s">
        <v>15441</v>
      </c>
      <c r="BF812" t="str">
        <f>HYPERLINK("http://dx.doi.org/10.3390/f15081292","http://dx.doi.org/10.3390/f15081292")</f>
        <v>http://dx.doi.org/10.3390/f15081292</v>
      </c>
      <c r="BG812" t="s">
        <v>74</v>
      </c>
      <c r="BH812" t="s">
        <v>74</v>
      </c>
      <c r="BI812">
        <v>17</v>
      </c>
      <c r="BJ812" t="s">
        <v>132</v>
      </c>
      <c r="BK812" t="s">
        <v>102</v>
      </c>
      <c r="BL812" t="s">
        <v>132</v>
      </c>
      <c r="BM812" t="s">
        <v>15442</v>
      </c>
      <c r="BN812" t="s">
        <v>74</v>
      </c>
      <c r="BO812" t="s">
        <v>231</v>
      </c>
      <c r="BP812" t="s">
        <v>74</v>
      </c>
      <c r="BQ812" t="s">
        <v>74</v>
      </c>
      <c r="BR812" t="s">
        <v>106</v>
      </c>
      <c r="BS812" t="s">
        <v>15443</v>
      </c>
      <c r="BT812" t="str">
        <f>HYPERLINK("https%3A%2F%2Fwww.webofscience.com%2Fwos%2Fwoscc%2Ffull-record%2FWOS:001304708900001","View Full Record in Web of Science")</f>
        <v>View Full Record in Web of Science</v>
      </c>
    </row>
    <row r="813" spans="1:72" x14ac:dyDescent="0.2">
      <c r="A813" t="s">
        <v>72</v>
      </c>
      <c r="B813" t="s">
        <v>15444</v>
      </c>
      <c r="C813" t="s">
        <v>74</v>
      </c>
      <c r="D813" t="s">
        <v>74</v>
      </c>
      <c r="E813" t="s">
        <v>74</v>
      </c>
      <c r="F813" t="s">
        <v>15445</v>
      </c>
      <c r="G813" t="s">
        <v>74</v>
      </c>
      <c r="H813" t="s">
        <v>74</v>
      </c>
      <c r="I813" t="s">
        <v>15446</v>
      </c>
      <c r="J813" t="s">
        <v>347</v>
      </c>
      <c r="K813" t="s">
        <v>74</v>
      </c>
      <c r="L813" t="s">
        <v>74</v>
      </c>
      <c r="M813" t="s">
        <v>78</v>
      </c>
      <c r="N813" t="s">
        <v>79</v>
      </c>
      <c r="O813" t="s">
        <v>74</v>
      </c>
      <c r="P813" t="s">
        <v>74</v>
      </c>
      <c r="Q813" t="s">
        <v>74</v>
      </c>
      <c r="R813" t="s">
        <v>74</v>
      </c>
      <c r="S813" t="s">
        <v>74</v>
      </c>
      <c r="T813" t="s">
        <v>15447</v>
      </c>
      <c r="U813" t="s">
        <v>15448</v>
      </c>
      <c r="V813" t="s">
        <v>15449</v>
      </c>
      <c r="W813" t="s">
        <v>15450</v>
      </c>
      <c r="X813" t="s">
        <v>15451</v>
      </c>
      <c r="Y813" t="s">
        <v>15452</v>
      </c>
      <c r="Z813" t="s">
        <v>15453</v>
      </c>
      <c r="AA813" t="s">
        <v>15454</v>
      </c>
      <c r="AB813" t="s">
        <v>74</v>
      </c>
      <c r="AC813" t="s">
        <v>15455</v>
      </c>
      <c r="AD813" t="s">
        <v>15456</v>
      </c>
      <c r="AE813" t="s">
        <v>15457</v>
      </c>
      <c r="AF813" t="s">
        <v>74</v>
      </c>
      <c r="AG813">
        <v>60</v>
      </c>
      <c r="AH813">
        <v>0</v>
      </c>
      <c r="AI813">
        <v>0</v>
      </c>
      <c r="AJ813">
        <v>6</v>
      </c>
      <c r="AK813">
        <v>8</v>
      </c>
      <c r="AL813" t="s">
        <v>274</v>
      </c>
      <c r="AM813" t="s">
        <v>275</v>
      </c>
      <c r="AN813" t="s">
        <v>276</v>
      </c>
      <c r="AO813" t="s">
        <v>357</v>
      </c>
      <c r="AP813" t="s">
        <v>74</v>
      </c>
      <c r="AQ813" t="s">
        <v>74</v>
      </c>
      <c r="AR813" t="s">
        <v>358</v>
      </c>
      <c r="AS813" t="s">
        <v>359</v>
      </c>
      <c r="AT813" t="s">
        <v>15458</v>
      </c>
      <c r="AU813">
        <v>2025</v>
      </c>
      <c r="AV813">
        <v>15</v>
      </c>
      <c r="AW813">
        <v>1</v>
      </c>
      <c r="AX813" t="s">
        <v>74</v>
      </c>
      <c r="AY813" t="s">
        <v>74</v>
      </c>
      <c r="AZ813" t="s">
        <v>74</v>
      </c>
      <c r="BA813" t="s">
        <v>74</v>
      </c>
      <c r="BB813" t="s">
        <v>74</v>
      </c>
      <c r="BC813" t="s">
        <v>74</v>
      </c>
      <c r="BD813">
        <v>13842</v>
      </c>
      <c r="BE813" t="s">
        <v>15459</v>
      </c>
      <c r="BF813" t="str">
        <f>HYPERLINK("http://dx.doi.org/10.1038/s41598-025-98916-x","http://dx.doi.org/10.1038/s41598-025-98916-x")</f>
        <v>http://dx.doi.org/10.1038/s41598-025-98916-x</v>
      </c>
      <c r="BG813" t="s">
        <v>74</v>
      </c>
      <c r="BH813" t="s">
        <v>74</v>
      </c>
      <c r="BI813">
        <v>14</v>
      </c>
      <c r="BJ813" t="s">
        <v>158</v>
      </c>
      <c r="BK813" t="s">
        <v>102</v>
      </c>
      <c r="BL813" t="s">
        <v>159</v>
      </c>
      <c r="BM813" t="s">
        <v>15460</v>
      </c>
      <c r="BN813">
        <v>40263407</v>
      </c>
      <c r="BO813" t="s">
        <v>161</v>
      </c>
      <c r="BP813" t="s">
        <v>74</v>
      </c>
      <c r="BQ813" t="s">
        <v>74</v>
      </c>
      <c r="BR813" t="s">
        <v>106</v>
      </c>
      <c r="BS813" t="s">
        <v>15461</v>
      </c>
      <c r="BT813" t="str">
        <f>HYPERLINK("https%3A%2F%2Fwww.webofscience.com%2Fwos%2Fwoscc%2Ffull-record%2FWOS:001472869000013","View Full Record in Web of Science")</f>
        <v>View Full Record in Web of Science</v>
      </c>
    </row>
    <row r="814" spans="1:72" x14ac:dyDescent="0.2">
      <c r="A814" t="s">
        <v>72</v>
      </c>
      <c r="B814" t="s">
        <v>15462</v>
      </c>
      <c r="C814" t="s">
        <v>74</v>
      </c>
      <c r="D814" t="s">
        <v>74</v>
      </c>
      <c r="E814" t="s">
        <v>74</v>
      </c>
      <c r="F814" t="s">
        <v>15463</v>
      </c>
      <c r="G814" t="s">
        <v>74</v>
      </c>
      <c r="H814" t="s">
        <v>74</v>
      </c>
      <c r="I814" t="s">
        <v>15464</v>
      </c>
      <c r="J814" t="s">
        <v>347</v>
      </c>
      <c r="K814" t="s">
        <v>74</v>
      </c>
      <c r="L814" t="s">
        <v>74</v>
      </c>
      <c r="M814" t="s">
        <v>78</v>
      </c>
      <c r="N814" t="s">
        <v>79</v>
      </c>
      <c r="O814" t="s">
        <v>74</v>
      </c>
      <c r="P814" t="s">
        <v>74</v>
      </c>
      <c r="Q814" t="s">
        <v>74</v>
      </c>
      <c r="R814" t="s">
        <v>74</v>
      </c>
      <c r="S814" t="s">
        <v>74</v>
      </c>
      <c r="T814" t="s">
        <v>74</v>
      </c>
      <c r="U814" t="s">
        <v>15465</v>
      </c>
      <c r="V814" t="s">
        <v>15466</v>
      </c>
      <c r="W814" t="s">
        <v>15467</v>
      </c>
      <c r="X814" t="s">
        <v>15468</v>
      </c>
      <c r="Y814" t="s">
        <v>15469</v>
      </c>
      <c r="Z814" t="s">
        <v>15470</v>
      </c>
      <c r="AA814" t="s">
        <v>15471</v>
      </c>
      <c r="AB814" t="s">
        <v>74</v>
      </c>
      <c r="AC814" t="s">
        <v>15472</v>
      </c>
      <c r="AD814" t="s">
        <v>15473</v>
      </c>
      <c r="AE814" t="s">
        <v>15474</v>
      </c>
      <c r="AF814" t="s">
        <v>74</v>
      </c>
      <c r="AG814">
        <v>60</v>
      </c>
      <c r="AH814">
        <v>9</v>
      </c>
      <c r="AI814">
        <v>11</v>
      </c>
      <c r="AJ814">
        <v>3</v>
      </c>
      <c r="AK814">
        <v>65</v>
      </c>
      <c r="AL814" t="s">
        <v>274</v>
      </c>
      <c r="AM814" t="s">
        <v>275</v>
      </c>
      <c r="AN814" t="s">
        <v>276</v>
      </c>
      <c r="AO814" t="s">
        <v>357</v>
      </c>
      <c r="AP814" t="s">
        <v>74</v>
      </c>
      <c r="AQ814" t="s">
        <v>74</v>
      </c>
      <c r="AR814" t="s">
        <v>358</v>
      </c>
      <c r="AS814" t="s">
        <v>359</v>
      </c>
      <c r="AT814" t="s">
        <v>8087</v>
      </c>
      <c r="AU814">
        <v>2021</v>
      </c>
      <c r="AV814">
        <v>11</v>
      </c>
      <c r="AW814">
        <v>1</v>
      </c>
      <c r="AX814" t="s">
        <v>74</v>
      </c>
      <c r="AY814" t="s">
        <v>74</v>
      </c>
      <c r="AZ814" t="s">
        <v>74</v>
      </c>
      <c r="BA814" t="s">
        <v>74</v>
      </c>
      <c r="BB814" t="s">
        <v>74</v>
      </c>
      <c r="BC814" t="s">
        <v>74</v>
      </c>
      <c r="BD814">
        <v>9367</v>
      </c>
      <c r="BE814" t="s">
        <v>15475</v>
      </c>
      <c r="BF814" t="str">
        <f>HYPERLINK("http://dx.doi.org/10.1038/s41598-021-88717-3","http://dx.doi.org/10.1038/s41598-021-88717-3")</f>
        <v>http://dx.doi.org/10.1038/s41598-021-88717-3</v>
      </c>
      <c r="BG814" t="s">
        <v>74</v>
      </c>
      <c r="BH814" t="s">
        <v>74</v>
      </c>
      <c r="BI814">
        <v>12</v>
      </c>
      <c r="BJ814" t="s">
        <v>158</v>
      </c>
      <c r="BK814" t="s">
        <v>102</v>
      </c>
      <c r="BL814" t="s">
        <v>159</v>
      </c>
      <c r="BM814" t="s">
        <v>15476</v>
      </c>
      <c r="BN814">
        <v>33931679</v>
      </c>
      <c r="BO814" t="s">
        <v>161</v>
      </c>
      <c r="BP814" t="s">
        <v>74</v>
      </c>
      <c r="BQ814" t="s">
        <v>74</v>
      </c>
      <c r="BR814" t="s">
        <v>106</v>
      </c>
      <c r="BS814" t="s">
        <v>15477</v>
      </c>
      <c r="BT814" t="str">
        <f>HYPERLINK("https%3A%2F%2Fwww.webofscience.com%2Fwos%2Fwoscc%2Ffull-record%2FWOS:000656497500015","View Full Record in Web of Science")</f>
        <v>View Full Record in Web of Science</v>
      </c>
    </row>
    <row r="815" spans="1:72" x14ac:dyDescent="0.2">
      <c r="A815" t="s">
        <v>72</v>
      </c>
      <c r="B815" t="s">
        <v>15478</v>
      </c>
      <c r="C815" t="s">
        <v>74</v>
      </c>
      <c r="D815" t="s">
        <v>74</v>
      </c>
      <c r="E815" t="s">
        <v>74</v>
      </c>
      <c r="F815" t="s">
        <v>15479</v>
      </c>
      <c r="G815" t="s">
        <v>74</v>
      </c>
      <c r="H815" t="s">
        <v>74</v>
      </c>
      <c r="I815" t="s">
        <v>15480</v>
      </c>
      <c r="J815" t="s">
        <v>15481</v>
      </c>
      <c r="K815" t="s">
        <v>74</v>
      </c>
      <c r="L815" t="s">
        <v>74</v>
      </c>
      <c r="M815" t="s">
        <v>78</v>
      </c>
      <c r="N815" t="s">
        <v>79</v>
      </c>
      <c r="O815" t="s">
        <v>74</v>
      </c>
      <c r="P815" t="s">
        <v>74</v>
      </c>
      <c r="Q815" t="s">
        <v>74</v>
      </c>
      <c r="R815" t="s">
        <v>74</v>
      </c>
      <c r="S815" t="s">
        <v>74</v>
      </c>
      <c r="T815" t="s">
        <v>15482</v>
      </c>
      <c r="U815" t="s">
        <v>15483</v>
      </c>
      <c r="V815" t="s">
        <v>15484</v>
      </c>
      <c r="W815" t="s">
        <v>15485</v>
      </c>
      <c r="X815" t="s">
        <v>15486</v>
      </c>
      <c r="Y815" t="s">
        <v>15487</v>
      </c>
      <c r="Z815" t="s">
        <v>15488</v>
      </c>
      <c r="AA815" t="s">
        <v>15489</v>
      </c>
      <c r="AB815" t="s">
        <v>74</v>
      </c>
      <c r="AC815" t="s">
        <v>15490</v>
      </c>
      <c r="AD815" t="s">
        <v>15491</v>
      </c>
      <c r="AE815" t="s">
        <v>15492</v>
      </c>
      <c r="AF815" t="s">
        <v>74</v>
      </c>
      <c r="AG815">
        <v>67</v>
      </c>
      <c r="AH815">
        <v>0</v>
      </c>
      <c r="AI815">
        <v>0</v>
      </c>
      <c r="AJ815">
        <v>3</v>
      </c>
      <c r="AK815">
        <v>13</v>
      </c>
      <c r="AL815" t="s">
        <v>15493</v>
      </c>
      <c r="AM815" t="s">
        <v>15494</v>
      </c>
      <c r="AN815" t="s">
        <v>15495</v>
      </c>
      <c r="AO815" t="s">
        <v>15496</v>
      </c>
      <c r="AP815" t="s">
        <v>74</v>
      </c>
      <c r="AQ815" t="s">
        <v>74</v>
      </c>
      <c r="AR815" t="s">
        <v>15497</v>
      </c>
      <c r="AS815" t="s">
        <v>15498</v>
      </c>
      <c r="AT815" t="s">
        <v>459</v>
      </c>
      <c r="AU815">
        <v>2025</v>
      </c>
      <c r="AV815">
        <v>16</v>
      </c>
      <c r="AW815">
        <v>2</v>
      </c>
      <c r="AX815" t="s">
        <v>74</v>
      </c>
      <c r="AY815" t="s">
        <v>74</v>
      </c>
      <c r="AZ815" t="s">
        <v>74</v>
      </c>
      <c r="BA815" t="s">
        <v>74</v>
      </c>
      <c r="BB815" t="s">
        <v>74</v>
      </c>
      <c r="BC815" t="s">
        <v>74</v>
      </c>
      <c r="BD815">
        <v>102381</v>
      </c>
      <c r="BE815" t="s">
        <v>15499</v>
      </c>
      <c r="BF815" t="str">
        <f>HYPERLINK("http://dx.doi.org/10.1016/j.apr.2024.102381","http://dx.doi.org/10.1016/j.apr.2024.102381")</f>
        <v>http://dx.doi.org/10.1016/j.apr.2024.102381</v>
      </c>
      <c r="BG815" t="s">
        <v>74</v>
      </c>
      <c r="BH815" t="s">
        <v>3624</v>
      </c>
      <c r="BI815">
        <v>12</v>
      </c>
      <c r="BJ815" t="s">
        <v>567</v>
      </c>
      <c r="BK815" t="s">
        <v>102</v>
      </c>
      <c r="BL815" t="s">
        <v>568</v>
      </c>
      <c r="BM815" t="s">
        <v>15500</v>
      </c>
      <c r="BN815" t="s">
        <v>74</v>
      </c>
      <c r="BO815" t="s">
        <v>74</v>
      </c>
      <c r="BP815" t="s">
        <v>74</v>
      </c>
      <c r="BQ815" t="s">
        <v>74</v>
      </c>
      <c r="BR815" t="s">
        <v>106</v>
      </c>
      <c r="BS815" t="s">
        <v>15501</v>
      </c>
      <c r="BT815" t="str">
        <f>HYPERLINK("https%3A%2F%2Fwww.webofscience.com%2Fwos%2Fwoscc%2Ffull-record%2FWOS:001390785700001","View Full Record in Web of Science")</f>
        <v>View Full Record in Web of Science</v>
      </c>
    </row>
    <row r="816" spans="1:72" x14ac:dyDescent="0.2">
      <c r="A816" t="s">
        <v>72</v>
      </c>
      <c r="B816" t="s">
        <v>15502</v>
      </c>
      <c r="C816" t="s">
        <v>74</v>
      </c>
      <c r="D816" t="s">
        <v>74</v>
      </c>
      <c r="E816" t="s">
        <v>74</v>
      </c>
      <c r="F816" t="s">
        <v>15503</v>
      </c>
      <c r="G816" t="s">
        <v>74</v>
      </c>
      <c r="H816" t="s">
        <v>74</v>
      </c>
      <c r="I816" t="s">
        <v>15504</v>
      </c>
      <c r="J816" t="s">
        <v>15505</v>
      </c>
      <c r="K816" t="s">
        <v>74</v>
      </c>
      <c r="L816" t="s">
        <v>74</v>
      </c>
      <c r="M816" t="s">
        <v>78</v>
      </c>
      <c r="N816" t="s">
        <v>79</v>
      </c>
      <c r="O816" t="s">
        <v>74</v>
      </c>
      <c r="P816" t="s">
        <v>74</v>
      </c>
      <c r="Q816" t="s">
        <v>74</v>
      </c>
      <c r="R816" t="s">
        <v>74</v>
      </c>
      <c r="S816" t="s">
        <v>74</v>
      </c>
      <c r="T816" t="s">
        <v>15506</v>
      </c>
      <c r="U816" t="s">
        <v>15507</v>
      </c>
      <c r="V816" t="s">
        <v>15508</v>
      </c>
      <c r="W816" t="s">
        <v>15509</v>
      </c>
      <c r="X816" t="s">
        <v>15510</v>
      </c>
      <c r="Y816" t="s">
        <v>15511</v>
      </c>
      <c r="Z816" t="s">
        <v>15512</v>
      </c>
      <c r="AA816" t="s">
        <v>15513</v>
      </c>
      <c r="AB816" t="s">
        <v>15514</v>
      </c>
      <c r="AC816" t="s">
        <v>15515</v>
      </c>
      <c r="AD816" t="s">
        <v>15515</v>
      </c>
      <c r="AE816" t="s">
        <v>15516</v>
      </c>
      <c r="AF816" t="s">
        <v>74</v>
      </c>
      <c r="AG816">
        <v>33</v>
      </c>
      <c r="AH816">
        <v>2</v>
      </c>
      <c r="AI816">
        <v>2</v>
      </c>
      <c r="AJ816">
        <v>0</v>
      </c>
      <c r="AK816">
        <v>13</v>
      </c>
      <c r="AL816" t="s">
        <v>585</v>
      </c>
      <c r="AM816" t="s">
        <v>306</v>
      </c>
      <c r="AN816" t="s">
        <v>586</v>
      </c>
      <c r="AO816" t="s">
        <v>15517</v>
      </c>
      <c r="AP816" t="s">
        <v>15518</v>
      </c>
      <c r="AQ816" t="s">
        <v>74</v>
      </c>
      <c r="AR816" t="s">
        <v>15519</v>
      </c>
      <c r="AS816" t="s">
        <v>15520</v>
      </c>
      <c r="AT816" t="s">
        <v>74</v>
      </c>
      <c r="AU816">
        <v>2016</v>
      </c>
      <c r="AV816">
        <v>33</v>
      </c>
      <c r="AW816">
        <v>2</v>
      </c>
      <c r="AX816" t="s">
        <v>74</v>
      </c>
      <c r="AY816" t="s">
        <v>74</v>
      </c>
      <c r="AZ816" t="s">
        <v>74</v>
      </c>
      <c r="BA816" t="s">
        <v>74</v>
      </c>
      <c r="BB816">
        <v>111</v>
      </c>
      <c r="BC816">
        <v>118</v>
      </c>
      <c r="BD816" t="s">
        <v>74</v>
      </c>
      <c r="BE816" t="s">
        <v>15521</v>
      </c>
      <c r="BF816" t="str">
        <f>HYPERLINK("http://dx.doi.org/10.2989/10220119.2015.1088573","http://dx.doi.org/10.2989/10220119.2015.1088573")</f>
        <v>http://dx.doi.org/10.2989/10220119.2015.1088573</v>
      </c>
      <c r="BG816" t="s">
        <v>74</v>
      </c>
      <c r="BH816" t="s">
        <v>74</v>
      </c>
      <c r="BI816">
        <v>8</v>
      </c>
      <c r="BJ816" t="s">
        <v>5870</v>
      </c>
      <c r="BK816" t="s">
        <v>102</v>
      </c>
      <c r="BL816" t="s">
        <v>568</v>
      </c>
      <c r="BM816" t="s">
        <v>15522</v>
      </c>
      <c r="BN816" t="s">
        <v>74</v>
      </c>
      <c r="BO816" t="s">
        <v>74</v>
      </c>
      <c r="BP816" t="s">
        <v>74</v>
      </c>
      <c r="BQ816" t="s">
        <v>74</v>
      </c>
      <c r="BR816" t="s">
        <v>106</v>
      </c>
      <c r="BS816" t="s">
        <v>15523</v>
      </c>
      <c r="BT816" t="str">
        <f>HYPERLINK("https%3A%2F%2Fwww.webofscience.com%2Fwos%2Fwoscc%2Ffull-record%2FWOS:000378895200004","View Full Record in Web of Science")</f>
        <v>View Full Record in Web of Science</v>
      </c>
    </row>
    <row r="817" spans="1:72" x14ac:dyDescent="0.2">
      <c r="A817" t="s">
        <v>72</v>
      </c>
      <c r="B817" t="s">
        <v>15524</v>
      </c>
      <c r="C817" t="s">
        <v>74</v>
      </c>
      <c r="D817" t="s">
        <v>74</v>
      </c>
      <c r="E817" t="s">
        <v>74</v>
      </c>
      <c r="F817" t="s">
        <v>15525</v>
      </c>
      <c r="G817" t="s">
        <v>74</v>
      </c>
      <c r="H817" t="s">
        <v>74</v>
      </c>
      <c r="I817" t="s">
        <v>15526</v>
      </c>
      <c r="J817" t="s">
        <v>15527</v>
      </c>
      <c r="K817" t="s">
        <v>74</v>
      </c>
      <c r="L817" t="s">
        <v>74</v>
      </c>
      <c r="M817" t="s">
        <v>78</v>
      </c>
      <c r="N817" t="s">
        <v>79</v>
      </c>
      <c r="O817" t="s">
        <v>74</v>
      </c>
      <c r="P817" t="s">
        <v>74</v>
      </c>
      <c r="Q817" t="s">
        <v>74</v>
      </c>
      <c r="R817" t="s">
        <v>74</v>
      </c>
      <c r="S817" t="s">
        <v>74</v>
      </c>
      <c r="T817" t="s">
        <v>15528</v>
      </c>
      <c r="U817" t="s">
        <v>74</v>
      </c>
      <c r="V817" t="s">
        <v>15529</v>
      </c>
      <c r="W817" t="s">
        <v>15530</v>
      </c>
      <c r="X817" t="s">
        <v>15531</v>
      </c>
      <c r="Y817" t="s">
        <v>15532</v>
      </c>
      <c r="Z817" t="s">
        <v>15533</v>
      </c>
      <c r="AA817" t="s">
        <v>74</v>
      </c>
      <c r="AB817" t="s">
        <v>74</v>
      </c>
      <c r="AC817" t="s">
        <v>74</v>
      </c>
      <c r="AD817" t="s">
        <v>74</v>
      </c>
      <c r="AE817" t="s">
        <v>74</v>
      </c>
      <c r="AF817" t="s">
        <v>74</v>
      </c>
      <c r="AG817">
        <v>59</v>
      </c>
      <c r="AH817">
        <v>0</v>
      </c>
      <c r="AI817">
        <v>0</v>
      </c>
      <c r="AJ817">
        <v>17</v>
      </c>
      <c r="AK817">
        <v>17</v>
      </c>
      <c r="AL817" t="s">
        <v>10469</v>
      </c>
      <c r="AM817" t="s">
        <v>177</v>
      </c>
      <c r="AN817" t="s">
        <v>10470</v>
      </c>
      <c r="AO817" t="s">
        <v>15534</v>
      </c>
      <c r="AP817" t="s">
        <v>15535</v>
      </c>
      <c r="AQ817" t="s">
        <v>74</v>
      </c>
      <c r="AR817" t="s">
        <v>15536</v>
      </c>
      <c r="AS817" t="s">
        <v>15537</v>
      </c>
      <c r="AT817" t="s">
        <v>74</v>
      </c>
      <c r="AU817">
        <v>2025</v>
      </c>
      <c r="AV817">
        <v>20</v>
      </c>
      <c r="AW817" t="s">
        <v>74</v>
      </c>
      <c r="AX817" t="s">
        <v>74</v>
      </c>
      <c r="AY817" t="s">
        <v>74</v>
      </c>
      <c r="AZ817" t="s">
        <v>74</v>
      </c>
      <c r="BA817" t="s">
        <v>74</v>
      </c>
      <c r="BB817">
        <v>1495</v>
      </c>
      <c r="BC817">
        <v>1508</v>
      </c>
      <c r="BD817" t="s">
        <v>74</v>
      </c>
      <c r="BE817" t="s">
        <v>15538</v>
      </c>
      <c r="BF817" t="str">
        <f>HYPERLINK("http://dx.doi.org/10.1093/ijlct/ctae247","http://dx.doi.org/10.1093/ijlct/ctae247")</f>
        <v>http://dx.doi.org/10.1093/ijlct/ctae247</v>
      </c>
      <c r="BG817" t="s">
        <v>74</v>
      </c>
      <c r="BH817" t="s">
        <v>74</v>
      </c>
      <c r="BI817">
        <v>14</v>
      </c>
      <c r="BJ817" t="s">
        <v>11796</v>
      </c>
      <c r="BK817" t="s">
        <v>102</v>
      </c>
      <c r="BL817" t="s">
        <v>11796</v>
      </c>
      <c r="BM817" t="s">
        <v>15539</v>
      </c>
      <c r="BN817" t="s">
        <v>74</v>
      </c>
      <c r="BO817" t="s">
        <v>231</v>
      </c>
      <c r="BP817" t="s">
        <v>74</v>
      </c>
      <c r="BQ817" t="s">
        <v>74</v>
      </c>
      <c r="BR817" t="s">
        <v>106</v>
      </c>
      <c r="BS817" t="s">
        <v>15540</v>
      </c>
      <c r="BT817" t="str">
        <f>HYPERLINK("https%3A%2F%2Fwww.webofscience.com%2Fwos%2Fwoscc%2Ffull-record%2FWOS:001548919400001","View Full Record in Web of Science")</f>
        <v>View Full Record in Web of Science</v>
      </c>
    </row>
    <row r="818" spans="1:72" x14ac:dyDescent="0.2">
      <c r="A818" t="s">
        <v>72</v>
      </c>
      <c r="B818" t="s">
        <v>15541</v>
      </c>
      <c r="C818" t="s">
        <v>74</v>
      </c>
      <c r="D818" t="s">
        <v>74</v>
      </c>
      <c r="E818" t="s">
        <v>74</v>
      </c>
      <c r="F818" t="s">
        <v>15542</v>
      </c>
      <c r="G818" t="s">
        <v>74</v>
      </c>
      <c r="H818" t="s">
        <v>74</v>
      </c>
      <c r="I818" t="s">
        <v>15543</v>
      </c>
      <c r="J818" t="s">
        <v>995</v>
      </c>
      <c r="K818" t="s">
        <v>74</v>
      </c>
      <c r="L818" t="s">
        <v>74</v>
      </c>
      <c r="M818" t="s">
        <v>78</v>
      </c>
      <c r="N818" t="s">
        <v>79</v>
      </c>
      <c r="O818" t="s">
        <v>74</v>
      </c>
      <c r="P818" t="s">
        <v>74</v>
      </c>
      <c r="Q818" t="s">
        <v>74</v>
      </c>
      <c r="R818" t="s">
        <v>74</v>
      </c>
      <c r="S818" t="s">
        <v>74</v>
      </c>
      <c r="T818" t="s">
        <v>15544</v>
      </c>
      <c r="U818" t="s">
        <v>15545</v>
      </c>
      <c r="V818" t="s">
        <v>15546</v>
      </c>
      <c r="W818" t="s">
        <v>15547</v>
      </c>
      <c r="X818" t="s">
        <v>2652</v>
      </c>
      <c r="Y818" t="s">
        <v>15548</v>
      </c>
      <c r="Z818" t="s">
        <v>15549</v>
      </c>
      <c r="AA818" t="s">
        <v>15550</v>
      </c>
      <c r="AB818" t="s">
        <v>15551</v>
      </c>
      <c r="AC818" t="s">
        <v>15552</v>
      </c>
      <c r="AD818" t="s">
        <v>10529</v>
      </c>
      <c r="AE818" t="s">
        <v>15553</v>
      </c>
      <c r="AF818" t="s">
        <v>74</v>
      </c>
      <c r="AG818">
        <v>72</v>
      </c>
      <c r="AH818">
        <v>30</v>
      </c>
      <c r="AI818">
        <v>31</v>
      </c>
      <c r="AJ818">
        <v>11</v>
      </c>
      <c r="AK818">
        <v>149</v>
      </c>
      <c r="AL818" t="s">
        <v>123</v>
      </c>
      <c r="AM818" t="s">
        <v>124</v>
      </c>
      <c r="AN818" t="s">
        <v>125</v>
      </c>
      <c r="AO818" t="s">
        <v>1008</v>
      </c>
      <c r="AP818" t="s">
        <v>1009</v>
      </c>
      <c r="AQ818" t="s">
        <v>74</v>
      </c>
      <c r="AR818" t="s">
        <v>1010</v>
      </c>
      <c r="AS818" t="s">
        <v>1011</v>
      </c>
      <c r="AT818" t="s">
        <v>1632</v>
      </c>
      <c r="AU818">
        <v>2024</v>
      </c>
      <c r="AV818">
        <v>906</v>
      </c>
      <c r="AW818" t="s">
        <v>74</v>
      </c>
      <c r="AX818" t="s">
        <v>74</v>
      </c>
      <c r="AY818" t="s">
        <v>74</v>
      </c>
      <c r="AZ818" t="s">
        <v>74</v>
      </c>
      <c r="BA818" t="s">
        <v>74</v>
      </c>
      <c r="BB818" t="s">
        <v>74</v>
      </c>
      <c r="BC818" t="s">
        <v>74</v>
      </c>
      <c r="BD818">
        <v>167604</v>
      </c>
      <c r="BE818" t="s">
        <v>15554</v>
      </c>
      <c r="BF818" t="str">
        <f>HYPERLINK("http://dx.doi.org/10.1016/j.scitotenv.2023.167604","http://dx.doi.org/10.1016/j.scitotenv.2023.167604")</f>
        <v>http://dx.doi.org/10.1016/j.scitotenv.2023.167604</v>
      </c>
      <c r="BG818" t="s">
        <v>74</v>
      </c>
      <c r="BH818" t="s">
        <v>1688</v>
      </c>
      <c r="BI818">
        <v>14</v>
      </c>
      <c r="BJ818" t="s">
        <v>567</v>
      </c>
      <c r="BK818" t="s">
        <v>102</v>
      </c>
      <c r="BL818" t="s">
        <v>568</v>
      </c>
      <c r="BM818" t="s">
        <v>15555</v>
      </c>
      <c r="BN818">
        <v>37858831</v>
      </c>
      <c r="BO818" t="s">
        <v>74</v>
      </c>
      <c r="BP818" t="s">
        <v>74</v>
      </c>
      <c r="BQ818" t="s">
        <v>74</v>
      </c>
      <c r="BR818" t="s">
        <v>106</v>
      </c>
      <c r="BS818" t="s">
        <v>15556</v>
      </c>
      <c r="BT818" t="str">
        <f>HYPERLINK("https%3A%2F%2Fwww.webofscience.com%2Fwos%2Fwoscc%2Ffull-record%2FWOS:001102883400001","View Full Record in Web of Science")</f>
        <v>View Full Record in Web of Science</v>
      </c>
    </row>
    <row r="819" spans="1:72" x14ac:dyDescent="0.2">
      <c r="A819" t="s">
        <v>72</v>
      </c>
      <c r="B819" t="s">
        <v>15557</v>
      </c>
      <c r="C819" t="s">
        <v>74</v>
      </c>
      <c r="D819" t="s">
        <v>74</v>
      </c>
      <c r="E819" t="s">
        <v>74</v>
      </c>
      <c r="F819" t="s">
        <v>15558</v>
      </c>
      <c r="G819" t="s">
        <v>74</v>
      </c>
      <c r="H819" t="s">
        <v>74</v>
      </c>
      <c r="I819" t="s">
        <v>15559</v>
      </c>
      <c r="J819" t="s">
        <v>1231</v>
      </c>
      <c r="K819" t="s">
        <v>74</v>
      </c>
      <c r="L819" t="s">
        <v>74</v>
      </c>
      <c r="M819" t="s">
        <v>78</v>
      </c>
      <c r="N819" t="s">
        <v>79</v>
      </c>
      <c r="O819" t="s">
        <v>74</v>
      </c>
      <c r="P819" t="s">
        <v>74</v>
      </c>
      <c r="Q819" t="s">
        <v>74</v>
      </c>
      <c r="R819" t="s">
        <v>74</v>
      </c>
      <c r="S819" t="s">
        <v>74</v>
      </c>
      <c r="T819" t="s">
        <v>15560</v>
      </c>
      <c r="U819" t="s">
        <v>15561</v>
      </c>
      <c r="V819" t="s">
        <v>15562</v>
      </c>
      <c r="W819" t="s">
        <v>15563</v>
      </c>
      <c r="X819" t="s">
        <v>15564</v>
      </c>
      <c r="Y819" t="s">
        <v>15565</v>
      </c>
      <c r="Z819" t="s">
        <v>15566</v>
      </c>
      <c r="AA819" t="s">
        <v>15567</v>
      </c>
      <c r="AB819" t="s">
        <v>15568</v>
      </c>
      <c r="AC819" t="s">
        <v>15569</v>
      </c>
      <c r="AD819" t="s">
        <v>15570</v>
      </c>
      <c r="AE819" t="s">
        <v>15571</v>
      </c>
      <c r="AF819" t="s">
        <v>74</v>
      </c>
      <c r="AG819">
        <v>70</v>
      </c>
      <c r="AH819">
        <v>38</v>
      </c>
      <c r="AI819">
        <v>49</v>
      </c>
      <c r="AJ819">
        <v>1</v>
      </c>
      <c r="AK819">
        <v>126</v>
      </c>
      <c r="AL819" t="s">
        <v>1242</v>
      </c>
      <c r="AM819" t="s">
        <v>1243</v>
      </c>
      <c r="AN819" t="s">
        <v>1244</v>
      </c>
      <c r="AO819" t="s">
        <v>1245</v>
      </c>
      <c r="AP819" t="s">
        <v>1246</v>
      </c>
      <c r="AQ819" t="s">
        <v>74</v>
      </c>
      <c r="AR819" t="s">
        <v>1247</v>
      </c>
      <c r="AS819" t="s">
        <v>1248</v>
      </c>
      <c r="AT819" t="s">
        <v>636</v>
      </c>
      <c r="AU819">
        <v>2016</v>
      </c>
      <c r="AV819">
        <v>23</v>
      </c>
      <c r="AW819">
        <v>8</v>
      </c>
      <c r="AX819" t="s">
        <v>74</v>
      </c>
      <c r="AY819" t="s">
        <v>74</v>
      </c>
      <c r="AZ819" t="s">
        <v>74</v>
      </c>
      <c r="BA819" t="s">
        <v>74</v>
      </c>
      <c r="BB819">
        <v>7899</v>
      </c>
      <c r="BC819">
        <v>7910</v>
      </c>
      <c r="BD819" t="s">
        <v>74</v>
      </c>
      <c r="BE819" t="s">
        <v>15572</v>
      </c>
      <c r="BF819" t="str">
        <f>HYPERLINK("http://dx.doi.org/10.1007/s11356-015-6030-1","http://dx.doi.org/10.1007/s11356-015-6030-1")</f>
        <v>http://dx.doi.org/10.1007/s11356-015-6030-1</v>
      </c>
      <c r="BG819" t="s">
        <v>74</v>
      </c>
      <c r="BH819" t="s">
        <v>74</v>
      </c>
      <c r="BI819">
        <v>12</v>
      </c>
      <c r="BJ819" t="s">
        <v>567</v>
      </c>
      <c r="BK819" t="s">
        <v>102</v>
      </c>
      <c r="BL819" t="s">
        <v>568</v>
      </c>
      <c r="BM819" t="s">
        <v>15573</v>
      </c>
      <c r="BN819">
        <v>26762934</v>
      </c>
      <c r="BO819" t="s">
        <v>74</v>
      </c>
      <c r="BP819" t="s">
        <v>74</v>
      </c>
      <c r="BQ819" t="s">
        <v>74</v>
      </c>
      <c r="BR819" t="s">
        <v>106</v>
      </c>
      <c r="BS819" t="s">
        <v>15574</v>
      </c>
      <c r="BT819" t="str">
        <f>HYPERLINK("https%3A%2F%2Fwww.webofscience.com%2Fwos%2Fwoscc%2Ffull-record%2FWOS:000374994600081","View Full Record in Web of Science")</f>
        <v>View Full Record in Web of Science</v>
      </c>
    </row>
    <row r="820" spans="1:72" x14ac:dyDescent="0.2">
      <c r="A820" t="s">
        <v>72</v>
      </c>
      <c r="B820" t="s">
        <v>15575</v>
      </c>
      <c r="C820" t="s">
        <v>74</v>
      </c>
      <c r="D820" t="s">
        <v>74</v>
      </c>
      <c r="E820" t="s">
        <v>74</v>
      </c>
      <c r="F820" t="s">
        <v>15576</v>
      </c>
      <c r="G820" t="s">
        <v>74</v>
      </c>
      <c r="H820" t="s">
        <v>74</v>
      </c>
      <c r="I820" t="s">
        <v>15577</v>
      </c>
      <c r="J820" t="s">
        <v>546</v>
      </c>
      <c r="K820" t="s">
        <v>74</v>
      </c>
      <c r="L820" t="s">
        <v>74</v>
      </c>
      <c r="M820" t="s">
        <v>78</v>
      </c>
      <c r="N820" t="s">
        <v>79</v>
      </c>
      <c r="O820" t="s">
        <v>74</v>
      </c>
      <c r="P820" t="s">
        <v>74</v>
      </c>
      <c r="Q820" t="s">
        <v>74</v>
      </c>
      <c r="R820" t="s">
        <v>74</v>
      </c>
      <c r="S820" t="s">
        <v>74</v>
      </c>
      <c r="T820" t="s">
        <v>15578</v>
      </c>
      <c r="U820" t="s">
        <v>15579</v>
      </c>
      <c r="V820" t="s">
        <v>15580</v>
      </c>
      <c r="W820" t="s">
        <v>15581</v>
      </c>
      <c r="X820" t="s">
        <v>15582</v>
      </c>
      <c r="Y820" t="s">
        <v>15583</v>
      </c>
      <c r="Z820" t="s">
        <v>6176</v>
      </c>
      <c r="AA820" t="s">
        <v>15584</v>
      </c>
      <c r="AB820" t="s">
        <v>74</v>
      </c>
      <c r="AC820" t="s">
        <v>15585</v>
      </c>
      <c r="AD820" t="s">
        <v>15586</v>
      </c>
      <c r="AE820" t="s">
        <v>15587</v>
      </c>
      <c r="AF820" t="s">
        <v>74</v>
      </c>
      <c r="AG820">
        <v>100</v>
      </c>
      <c r="AH820">
        <v>21</v>
      </c>
      <c r="AI820">
        <v>24</v>
      </c>
      <c r="AJ820">
        <v>4</v>
      </c>
      <c r="AK820">
        <v>81</v>
      </c>
      <c r="AL820" t="s">
        <v>559</v>
      </c>
      <c r="AM820" t="s">
        <v>93</v>
      </c>
      <c r="AN820" t="s">
        <v>560</v>
      </c>
      <c r="AO820" t="s">
        <v>561</v>
      </c>
      <c r="AP820" t="s">
        <v>562</v>
      </c>
      <c r="AQ820" t="s">
        <v>74</v>
      </c>
      <c r="AR820" t="s">
        <v>563</v>
      </c>
      <c r="AS820" t="s">
        <v>564</v>
      </c>
      <c r="AT820" t="s">
        <v>960</v>
      </c>
      <c r="AU820">
        <v>2022</v>
      </c>
      <c r="AV820">
        <v>303</v>
      </c>
      <c r="AW820" t="s">
        <v>74</v>
      </c>
      <c r="AX820" t="s">
        <v>74</v>
      </c>
      <c r="AY820" t="s">
        <v>74</v>
      </c>
      <c r="AZ820" t="s">
        <v>74</v>
      </c>
      <c r="BA820" t="s">
        <v>74</v>
      </c>
      <c r="BB820" t="s">
        <v>74</v>
      </c>
      <c r="BC820" t="s">
        <v>74</v>
      </c>
      <c r="BD820">
        <v>114129</v>
      </c>
      <c r="BE820" t="s">
        <v>15588</v>
      </c>
      <c r="BF820" t="str">
        <f>HYPERLINK("http://dx.doi.org/10.1016/j.jenvman.2021.114129","http://dx.doi.org/10.1016/j.jenvman.2021.114129")</f>
        <v>http://dx.doi.org/10.1016/j.jenvman.2021.114129</v>
      </c>
      <c r="BG820" t="s">
        <v>74</v>
      </c>
      <c r="BH820" t="s">
        <v>7616</v>
      </c>
      <c r="BI820">
        <v>10</v>
      </c>
      <c r="BJ820" t="s">
        <v>567</v>
      </c>
      <c r="BK820" t="s">
        <v>102</v>
      </c>
      <c r="BL820" t="s">
        <v>568</v>
      </c>
      <c r="BM820" t="s">
        <v>15589</v>
      </c>
      <c r="BN820">
        <v>34838380</v>
      </c>
      <c r="BO820" t="s">
        <v>74</v>
      </c>
      <c r="BP820" t="s">
        <v>74</v>
      </c>
      <c r="BQ820" t="s">
        <v>74</v>
      </c>
      <c r="BR820" t="s">
        <v>106</v>
      </c>
      <c r="BS820" t="s">
        <v>15590</v>
      </c>
      <c r="BT820" t="str">
        <f>HYPERLINK("https%3A%2F%2Fwww.webofscience.com%2Fwos%2Fwoscc%2Ffull-record%2FWOS:000742129700004","View Full Record in Web of Science")</f>
        <v>View Full Record in Web of Science</v>
      </c>
    </row>
    <row r="821" spans="1:72" x14ac:dyDescent="0.2">
      <c r="A821" t="s">
        <v>72</v>
      </c>
      <c r="B821" t="s">
        <v>15591</v>
      </c>
      <c r="C821" t="s">
        <v>74</v>
      </c>
      <c r="D821" t="s">
        <v>74</v>
      </c>
      <c r="E821" t="s">
        <v>74</v>
      </c>
      <c r="F821" t="s">
        <v>15592</v>
      </c>
      <c r="G821" t="s">
        <v>74</v>
      </c>
      <c r="H821" t="s">
        <v>74</v>
      </c>
      <c r="I821" t="s">
        <v>15593</v>
      </c>
      <c r="J821" t="s">
        <v>2327</v>
      </c>
      <c r="K821" t="s">
        <v>74</v>
      </c>
      <c r="L821" t="s">
        <v>74</v>
      </c>
      <c r="M821" t="s">
        <v>78</v>
      </c>
      <c r="N821" t="s">
        <v>79</v>
      </c>
      <c r="O821" t="s">
        <v>74</v>
      </c>
      <c r="P821" t="s">
        <v>74</v>
      </c>
      <c r="Q821" t="s">
        <v>74</v>
      </c>
      <c r="R821" t="s">
        <v>74</v>
      </c>
      <c r="S821" t="s">
        <v>74</v>
      </c>
      <c r="T821" t="s">
        <v>15594</v>
      </c>
      <c r="U821" t="s">
        <v>15595</v>
      </c>
      <c r="V821" t="s">
        <v>15596</v>
      </c>
      <c r="W821" t="s">
        <v>15597</v>
      </c>
      <c r="X821" t="s">
        <v>15598</v>
      </c>
      <c r="Y821" t="s">
        <v>15599</v>
      </c>
      <c r="Z821" t="s">
        <v>15600</v>
      </c>
      <c r="AA821" t="s">
        <v>74</v>
      </c>
      <c r="AB821" t="s">
        <v>15601</v>
      </c>
      <c r="AC821" t="s">
        <v>74</v>
      </c>
      <c r="AD821" t="s">
        <v>74</v>
      </c>
      <c r="AE821" t="s">
        <v>74</v>
      </c>
      <c r="AF821" t="s">
        <v>74</v>
      </c>
      <c r="AG821">
        <v>75</v>
      </c>
      <c r="AH821">
        <v>3</v>
      </c>
      <c r="AI821">
        <v>3</v>
      </c>
      <c r="AJ821">
        <v>11</v>
      </c>
      <c r="AK821">
        <v>30</v>
      </c>
      <c r="AL821" t="s">
        <v>222</v>
      </c>
      <c r="AM821" t="s">
        <v>223</v>
      </c>
      <c r="AN821" t="s">
        <v>224</v>
      </c>
      <c r="AO821" t="s">
        <v>74</v>
      </c>
      <c r="AP821" t="s">
        <v>2339</v>
      </c>
      <c r="AQ821" t="s">
        <v>74</v>
      </c>
      <c r="AR821" t="s">
        <v>2340</v>
      </c>
      <c r="AS821" t="s">
        <v>2341</v>
      </c>
      <c r="AT821" t="s">
        <v>281</v>
      </c>
      <c r="AU821">
        <v>2024</v>
      </c>
      <c r="AV821">
        <v>16</v>
      </c>
      <c r="AW821">
        <v>12</v>
      </c>
      <c r="AX821" t="s">
        <v>74</v>
      </c>
      <c r="AY821" t="s">
        <v>74</v>
      </c>
      <c r="AZ821" t="s">
        <v>74</v>
      </c>
      <c r="BA821" t="s">
        <v>74</v>
      </c>
      <c r="BB821" t="s">
        <v>74</v>
      </c>
      <c r="BC821" t="s">
        <v>74</v>
      </c>
      <c r="BD821">
        <v>1733</v>
      </c>
      <c r="BE821" t="s">
        <v>15602</v>
      </c>
      <c r="BF821" t="str">
        <f>HYPERLINK("http://dx.doi.org/10.3390/w16121733","http://dx.doi.org/10.3390/w16121733")</f>
        <v>http://dx.doi.org/10.3390/w16121733</v>
      </c>
      <c r="BG821" t="s">
        <v>74</v>
      </c>
      <c r="BH821" t="s">
        <v>74</v>
      </c>
      <c r="BI821">
        <v>21</v>
      </c>
      <c r="BJ821" t="s">
        <v>2343</v>
      </c>
      <c r="BK821" t="s">
        <v>102</v>
      </c>
      <c r="BL821" t="s">
        <v>2344</v>
      </c>
      <c r="BM821" t="s">
        <v>15603</v>
      </c>
      <c r="BN821" t="s">
        <v>74</v>
      </c>
      <c r="BO821" t="s">
        <v>231</v>
      </c>
      <c r="BP821" t="s">
        <v>74</v>
      </c>
      <c r="BQ821" t="s">
        <v>74</v>
      </c>
      <c r="BR821" t="s">
        <v>106</v>
      </c>
      <c r="BS821" t="s">
        <v>15604</v>
      </c>
      <c r="BT821" t="str">
        <f>HYPERLINK("https%3A%2F%2Fwww.webofscience.com%2Fwos%2Fwoscc%2Ffull-record%2FWOS:001256361000001","View Full Record in Web of Science")</f>
        <v>View Full Record in Web of Science</v>
      </c>
    </row>
    <row r="822" spans="1:72" x14ac:dyDescent="0.2">
      <c r="A822" t="s">
        <v>72</v>
      </c>
      <c r="B822" t="s">
        <v>15605</v>
      </c>
      <c r="C822" t="s">
        <v>74</v>
      </c>
      <c r="D822" t="s">
        <v>74</v>
      </c>
      <c r="E822" t="s">
        <v>74</v>
      </c>
      <c r="F822" t="s">
        <v>15606</v>
      </c>
      <c r="G822" t="s">
        <v>74</v>
      </c>
      <c r="H822" t="s">
        <v>74</v>
      </c>
      <c r="I822" t="s">
        <v>15607</v>
      </c>
      <c r="J822" t="s">
        <v>1526</v>
      </c>
      <c r="K822" t="s">
        <v>74</v>
      </c>
      <c r="L822" t="s">
        <v>74</v>
      </c>
      <c r="M822" t="s">
        <v>78</v>
      </c>
      <c r="N822" t="s">
        <v>79</v>
      </c>
      <c r="O822" t="s">
        <v>74</v>
      </c>
      <c r="P822" t="s">
        <v>74</v>
      </c>
      <c r="Q822" t="s">
        <v>74</v>
      </c>
      <c r="R822" t="s">
        <v>74</v>
      </c>
      <c r="S822" t="s">
        <v>74</v>
      </c>
      <c r="T822" t="s">
        <v>15608</v>
      </c>
      <c r="U822" t="s">
        <v>15609</v>
      </c>
      <c r="V822" t="s">
        <v>15610</v>
      </c>
      <c r="W822" t="s">
        <v>15611</v>
      </c>
      <c r="X822" t="s">
        <v>14809</v>
      </c>
      <c r="Y822" t="s">
        <v>15612</v>
      </c>
      <c r="Z822" t="s">
        <v>15613</v>
      </c>
      <c r="AA822" t="s">
        <v>15614</v>
      </c>
      <c r="AB822" t="s">
        <v>74</v>
      </c>
      <c r="AC822" t="s">
        <v>15615</v>
      </c>
      <c r="AD822" t="s">
        <v>15616</v>
      </c>
      <c r="AE822" t="s">
        <v>15617</v>
      </c>
      <c r="AF822" t="s">
        <v>74</v>
      </c>
      <c r="AG822">
        <v>54</v>
      </c>
      <c r="AH822">
        <v>0</v>
      </c>
      <c r="AI822">
        <v>0</v>
      </c>
      <c r="AJ822">
        <v>12</v>
      </c>
      <c r="AK822">
        <v>12</v>
      </c>
      <c r="AL822" t="s">
        <v>176</v>
      </c>
      <c r="AM822" t="s">
        <v>1610</v>
      </c>
      <c r="AN822" t="s">
        <v>1611</v>
      </c>
      <c r="AO822" t="s">
        <v>1538</v>
      </c>
      <c r="AP822" t="s">
        <v>1539</v>
      </c>
      <c r="AQ822" t="s">
        <v>74</v>
      </c>
      <c r="AR822" t="s">
        <v>1540</v>
      </c>
      <c r="AS822" t="s">
        <v>1541</v>
      </c>
      <c r="AT822" t="s">
        <v>4711</v>
      </c>
      <c r="AU822">
        <v>2025</v>
      </c>
      <c r="AV822">
        <v>528</v>
      </c>
      <c r="AW822" t="s">
        <v>74</v>
      </c>
      <c r="AX822" t="s">
        <v>74</v>
      </c>
      <c r="AY822" t="s">
        <v>74</v>
      </c>
      <c r="AZ822" t="s">
        <v>74</v>
      </c>
      <c r="BA822" t="s">
        <v>74</v>
      </c>
      <c r="BB822" t="s">
        <v>74</v>
      </c>
      <c r="BC822" t="s">
        <v>74</v>
      </c>
      <c r="BD822">
        <v>146754</v>
      </c>
      <c r="BE822" t="s">
        <v>15618</v>
      </c>
      <c r="BF822" t="str">
        <f>HYPERLINK("http://dx.doi.org/10.1016/j.jclepro.2025.146754","http://dx.doi.org/10.1016/j.jclepro.2025.146754")</f>
        <v>http://dx.doi.org/10.1016/j.jclepro.2025.146754</v>
      </c>
      <c r="BG822" t="s">
        <v>74</v>
      </c>
      <c r="BH822" t="s">
        <v>2319</v>
      </c>
      <c r="BI822">
        <v>21</v>
      </c>
      <c r="BJ822" t="s">
        <v>1543</v>
      </c>
      <c r="BK822" t="s">
        <v>102</v>
      </c>
      <c r="BL822" t="s">
        <v>1544</v>
      </c>
      <c r="BM822" t="s">
        <v>15619</v>
      </c>
      <c r="BN822" t="s">
        <v>74</v>
      </c>
      <c r="BO822" t="s">
        <v>916</v>
      </c>
      <c r="BP822" t="s">
        <v>74</v>
      </c>
      <c r="BQ822" t="s">
        <v>74</v>
      </c>
      <c r="BR822" t="s">
        <v>106</v>
      </c>
      <c r="BS822" t="s">
        <v>15620</v>
      </c>
      <c r="BT822" t="str">
        <f>HYPERLINK("https%3A%2F%2Fwww.webofscience.com%2Fwos%2Fwoscc%2Ffull-record%2FWOS:001591402300001","View Full Record in Web of Science")</f>
        <v>View Full Record in Web of Science</v>
      </c>
    </row>
    <row r="823" spans="1:72" x14ac:dyDescent="0.2">
      <c r="A823" t="s">
        <v>72</v>
      </c>
      <c r="B823" t="s">
        <v>15621</v>
      </c>
      <c r="C823" t="s">
        <v>74</v>
      </c>
      <c r="D823" t="s">
        <v>74</v>
      </c>
      <c r="E823" t="s">
        <v>74</v>
      </c>
      <c r="F823" t="s">
        <v>15622</v>
      </c>
      <c r="G823" t="s">
        <v>74</v>
      </c>
      <c r="H823" t="s">
        <v>74</v>
      </c>
      <c r="I823" t="s">
        <v>15623</v>
      </c>
      <c r="J823" t="s">
        <v>468</v>
      </c>
      <c r="K823" t="s">
        <v>74</v>
      </c>
      <c r="L823" t="s">
        <v>74</v>
      </c>
      <c r="M823" t="s">
        <v>78</v>
      </c>
      <c r="N823" t="s">
        <v>79</v>
      </c>
      <c r="O823" t="s">
        <v>74</v>
      </c>
      <c r="P823" t="s">
        <v>74</v>
      </c>
      <c r="Q823" t="s">
        <v>74</v>
      </c>
      <c r="R823" t="s">
        <v>74</v>
      </c>
      <c r="S823" t="s">
        <v>74</v>
      </c>
      <c r="T823" t="s">
        <v>15624</v>
      </c>
      <c r="U823" t="s">
        <v>15625</v>
      </c>
      <c r="V823" t="s">
        <v>15626</v>
      </c>
      <c r="W823" t="s">
        <v>15627</v>
      </c>
      <c r="X823" t="s">
        <v>15628</v>
      </c>
      <c r="Y823" t="s">
        <v>15629</v>
      </c>
      <c r="Z823" t="s">
        <v>15630</v>
      </c>
      <c r="AA823" t="s">
        <v>15631</v>
      </c>
      <c r="AB823" t="s">
        <v>15632</v>
      </c>
      <c r="AC823" t="s">
        <v>15633</v>
      </c>
      <c r="AD823" t="s">
        <v>15634</v>
      </c>
      <c r="AE823" t="s">
        <v>15635</v>
      </c>
      <c r="AF823" t="s">
        <v>74</v>
      </c>
      <c r="AG823">
        <v>48</v>
      </c>
      <c r="AH823">
        <v>1</v>
      </c>
      <c r="AI823">
        <v>1</v>
      </c>
      <c r="AJ823">
        <v>22</v>
      </c>
      <c r="AK823">
        <v>27</v>
      </c>
      <c r="AL823" t="s">
        <v>222</v>
      </c>
      <c r="AM823" t="s">
        <v>223</v>
      </c>
      <c r="AN823" t="s">
        <v>478</v>
      </c>
      <c r="AO823" t="s">
        <v>74</v>
      </c>
      <c r="AP823" t="s">
        <v>479</v>
      </c>
      <c r="AQ823" t="s">
        <v>74</v>
      </c>
      <c r="AR823" t="s">
        <v>480</v>
      </c>
      <c r="AS823" t="s">
        <v>481</v>
      </c>
      <c r="AT823" t="s">
        <v>1288</v>
      </c>
      <c r="AU823">
        <v>2025</v>
      </c>
      <c r="AV823">
        <v>17</v>
      </c>
      <c r="AW823">
        <v>6</v>
      </c>
      <c r="AX823" t="s">
        <v>74</v>
      </c>
      <c r="AY823" t="s">
        <v>74</v>
      </c>
      <c r="AZ823" t="s">
        <v>74</v>
      </c>
      <c r="BA823" t="s">
        <v>74</v>
      </c>
      <c r="BB823" t="s">
        <v>74</v>
      </c>
      <c r="BC823" t="s">
        <v>74</v>
      </c>
      <c r="BD823">
        <v>2439</v>
      </c>
      <c r="BE823" t="s">
        <v>15636</v>
      </c>
      <c r="BF823" t="str">
        <f>HYPERLINK("http://dx.doi.org/10.3390/su17062439","http://dx.doi.org/10.3390/su17062439")</f>
        <v>http://dx.doi.org/10.3390/su17062439</v>
      </c>
      <c r="BG823" t="s">
        <v>74</v>
      </c>
      <c r="BH823" t="s">
        <v>74</v>
      </c>
      <c r="BI823">
        <v>16</v>
      </c>
      <c r="BJ823" t="s">
        <v>484</v>
      </c>
      <c r="BK823" t="s">
        <v>186</v>
      </c>
      <c r="BL823" t="s">
        <v>485</v>
      </c>
      <c r="BM823" t="s">
        <v>15637</v>
      </c>
      <c r="BN823" t="s">
        <v>74</v>
      </c>
      <c r="BO823" t="s">
        <v>231</v>
      </c>
      <c r="BP823" t="s">
        <v>74</v>
      </c>
      <c r="BQ823" t="s">
        <v>74</v>
      </c>
      <c r="BR823" t="s">
        <v>106</v>
      </c>
      <c r="BS823" t="s">
        <v>15638</v>
      </c>
      <c r="BT823" t="str">
        <f>HYPERLINK("https%3A%2F%2Fwww.webofscience.com%2Fwos%2Fwoscc%2Ffull-record%2FWOS:001453775400001","View Full Record in Web of Science")</f>
        <v>View Full Record in Web of Science</v>
      </c>
    </row>
    <row r="824" spans="1:72" x14ac:dyDescent="0.2">
      <c r="A824" t="s">
        <v>72</v>
      </c>
      <c r="B824" t="s">
        <v>15639</v>
      </c>
      <c r="C824" t="s">
        <v>74</v>
      </c>
      <c r="D824" t="s">
        <v>74</v>
      </c>
      <c r="E824" t="s">
        <v>74</v>
      </c>
      <c r="F824" t="s">
        <v>15640</v>
      </c>
      <c r="G824" t="s">
        <v>74</v>
      </c>
      <c r="H824" t="s">
        <v>74</v>
      </c>
      <c r="I824" t="s">
        <v>15641</v>
      </c>
      <c r="J824" t="s">
        <v>1477</v>
      </c>
      <c r="K824" t="s">
        <v>74</v>
      </c>
      <c r="L824" t="s">
        <v>74</v>
      </c>
      <c r="M824" t="s">
        <v>78</v>
      </c>
      <c r="N824" t="s">
        <v>79</v>
      </c>
      <c r="O824" t="s">
        <v>74</v>
      </c>
      <c r="P824" t="s">
        <v>74</v>
      </c>
      <c r="Q824" t="s">
        <v>74</v>
      </c>
      <c r="R824" t="s">
        <v>74</v>
      </c>
      <c r="S824" t="s">
        <v>74</v>
      </c>
      <c r="T824" t="s">
        <v>15642</v>
      </c>
      <c r="U824" t="s">
        <v>15643</v>
      </c>
      <c r="V824" t="s">
        <v>15644</v>
      </c>
      <c r="W824" t="s">
        <v>15645</v>
      </c>
      <c r="X824" t="s">
        <v>15646</v>
      </c>
      <c r="Y824" t="s">
        <v>15647</v>
      </c>
      <c r="Z824" t="s">
        <v>15648</v>
      </c>
      <c r="AA824" t="s">
        <v>15649</v>
      </c>
      <c r="AB824" t="s">
        <v>15650</v>
      </c>
      <c r="AC824" t="s">
        <v>15651</v>
      </c>
      <c r="AD824" t="s">
        <v>15652</v>
      </c>
      <c r="AE824" t="s">
        <v>15653</v>
      </c>
      <c r="AF824" t="s">
        <v>74</v>
      </c>
      <c r="AG824">
        <v>90</v>
      </c>
      <c r="AH824">
        <v>36</v>
      </c>
      <c r="AI824">
        <v>39</v>
      </c>
      <c r="AJ824">
        <v>0</v>
      </c>
      <c r="AK824">
        <v>42</v>
      </c>
      <c r="AL824" t="s">
        <v>934</v>
      </c>
      <c r="AM824" t="s">
        <v>177</v>
      </c>
      <c r="AN824" t="s">
        <v>935</v>
      </c>
      <c r="AO824" t="s">
        <v>1490</v>
      </c>
      <c r="AP824" t="s">
        <v>1491</v>
      </c>
      <c r="AQ824" t="s">
        <v>74</v>
      </c>
      <c r="AR824" t="s">
        <v>1492</v>
      </c>
      <c r="AS824" t="s">
        <v>1493</v>
      </c>
      <c r="AT824" t="s">
        <v>227</v>
      </c>
      <c r="AU824">
        <v>2020</v>
      </c>
      <c r="AV824">
        <v>117</v>
      </c>
      <c r="AW824" t="s">
        <v>74</v>
      </c>
      <c r="AX824" t="s">
        <v>74</v>
      </c>
      <c r="AY824" t="s">
        <v>74</v>
      </c>
      <c r="AZ824" t="s">
        <v>74</v>
      </c>
      <c r="BA824" t="s">
        <v>74</v>
      </c>
      <c r="BB824" t="s">
        <v>74</v>
      </c>
      <c r="BC824" t="s">
        <v>74</v>
      </c>
      <c r="BD824">
        <v>109514</v>
      </c>
      <c r="BE824" t="s">
        <v>15654</v>
      </c>
      <c r="BF824" t="str">
        <f>HYPERLINK("http://dx.doi.org/10.1016/j.rser.2019.109514","http://dx.doi.org/10.1016/j.rser.2019.109514")</f>
        <v>http://dx.doi.org/10.1016/j.rser.2019.109514</v>
      </c>
      <c r="BG824" t="s">
        <v>74</v>
      </c>
      <c r="BH824" t="s">
        <v>74</v>
      </c>
      <c r="BI824">
        <v>16</v>
      </c>
      <c r="BJ824" t="s">
        <v>1496</v>
      </c>
      <c r="BK824" t="s">
        <v>102</v>
      </c>
      <c r="BL824" t="s">
        <v>1497</v>
      </c>
      <c r="BM824" t="s">
        <v>15655</v>
      </c>
      <c r="BN824" t="s">
        <v>74</v>
      </c>
      <c r="BO824" t="s">
        <v>74</v>
      </c>
      <c r="BP824" t="s">
        <v>74</v>
      </c>
      <c r="BQ824" t="s">
        <v>74</v>
      </c>
      <c r="BR824" t="s">
        <v>106</v>
      </c>
      <c r="BS824" t="s">
        <v>15656</v>
      </c>
      <c r="BT824" t="str">
        <f>HYPERLINK("https%3A%2F%2Fwww.webofscience.com%2Fwos%2Fwoscc%2Ffull-record%2FWOS:000501608500037","View Full Record in Web of Science")</f>
        <v>View Full Record in Web of Science</v>
      </c>
    </row>
    <row r="825" spans="1:72" x14ac:dyDescent="0.2">
      <c r="A825" t="s">
        <v>72</v>
      </c>
      <c r="B825" t="s">
        <v>15657</v>
      </c>
      <c r="C825" t="s">
        <v>74</v>
      </c>
      <c r="D825" t="s">
        <v>74</v>
      </c>
      <c r="E825" t="s">
        <v>74</v>
      </c>
      <c r="F825" t="s">
        <v>15658</v>
      </c>
      <c r="G825" t="s">
        <v>74</v>
      </c>
      <c r="H825" t="s">
        <v>74</v>
      </c>
      <c r="I825" t="s">
        <v>15659</v>
      </c>
      <c r="J825" t="s">
        <v>15660</v>
      </c>
      <c r="K825" t="s">
        <v>74</v>
      </c>
      <c r="L825" t="s">
        <v>74</v>
      </c>
      <c r="M825" t="s">
        <v>78</v>
      </c>
      <c r="N825" t="s">
        <v>79</v>
      </c>
      <c r="O825" t="s">
        <v>74</v>
      </c>
      <c r="P825" t="s">
        <v>74</v>
      </c>
      <c r="Q825" t="s">
        <v>74</v>
      </c>
      <c r="R825" t="s">
        <v>74</v>
      </c>
      <c r="S825" t="s">
        <v>74</v>
      </c>
      <c r="T825" t="s">
        <v>15661</v>
      </c>
      <c r="U825" t="s">
        <v>15662</v>
      </c>
      <c r="V825" t="s">
        <v>15663</v>
      </c>
      <c r="W825" t="s">
        <v>15664</v>
      </c>
      <c r="X825" t="s">
        <v>7133</v>
      </c>
      <c r="Y825" t="s">
        <v>15665</v>
      </c>
      <c r="Z825" t="s">
        <v>15666</v>
      </c>
      <c r="AA825" t="s">
        <v>15667</v>
      </c>
      <c r="AB825" t="s">
        <v>15668</v>
      </c>
      <c r="AC825" t="s">
        <v>15669</v>
      </c>
      <c r="AD825" t="s">
        <v>15669</v>
      </c>
      <c r="AE825" t="s">
        <v>15670</v>
      </c>
      <c r="AF825" t="s">
        <v>74</v>
      </c>
      <c r="AG825">
        <v>45</v>
      </c>
      <c r="AH825">
        <v>1</v>
      </c>
      <c r="AI825">
        <v>1</v>
      </c>
      <c r="AJ825">
        <v>0</v>
      </c>
      <c r="AK825">
        <v>19</v>
      </c>
      <c r="AL825" t="s">
        <v>15671</v>
      </c>
      <c r="AM825" t="s">
        <v>15672</v>
      </c>
      <c r="AN825" t="s">
        <v>15673</v>
      </c>
      <c r="AO825" t="s">
        <v>15674</v>
      </c>
      <c r="AP825" t="s">
        <v>74</v>
      </c>
      <c r="AQ825" t="s">
        <v>74</v>
      </c>
      <c r="AR825" t="s">
        <v>15675</v>
      </c>
      <c r="AS825" t="s">
        <v>15676</v>
      </c>
      <c r="AT825" t="s">
        <v>74</v>
      </c>
      <c r="AU825">
        <v>2018</v>
      </c>
      <c r="AV825">
        <v>21</v>
      </c>
      <c r="AW825">
        <v>7</v>
      </c>
      <c r="AX825" t="s">
        <v>74</v>
      </c>
      <c r="AY825" t="s">
        <v>74</v>
      </c>
      <c r="AZ825" t="s">
        <v>74</v>
      </c>
      <c r="BA825" t="s">
        <v>74</v>
      </c>
      <c r="BB825">
        <v>895</v>
      </c>
      <c r="BC825">
        <v>913</v>
      </c>
      <c r="BD825" t="s">
        <v>74</v>
      </c>
      <c r="BE825" t="s">
        <v>15677</v>
      </c>
      <c r="BF825" t="str">
        <f>HYPERLINK("http://dx.doi.org/10.22434/IFAMR2017.0085","http://dx.doi.org/10.22434/IFAMR2017.0085")</f>
        <v>http://dx.doi.org/10.22434/IFAMR2017.0085</v>
      </c>
      <c r="BG825" t="s">
        <v>74</v>
      </c>
      <c r="BH825" t="s">
        <v>74</v>
      </c>
      <c r="BI825">
        <v>19</v>
      </c>
      <c r="BJ825" t="s">
        <v>314</v>
      </c>
      <c r="BK825" t="s">
        <v>186</v>
      </c>
      <c r="BL825" t="s">
        <v>103</v>
      </c>
      <c r="BM825" t="s">
        <v>15678</v>
      </c>
      <c r="BN825" t="s">
        <v>74</v>
      </c>
      <c r="BO825" t="s">
        <v>892</v>
      </c>
      <c r="BP825" t="s">
        <v>74</v>
      </c>
      <c r="BQ825" t="s">
        <v>74</v>
      </c>
      <c r="BR825" t="s">
        <v>106</v>
      </c>
      <c r="BS825" t="s">
        <v>15679</v>
      </c>
      <c r="BT825" t="str">
        <f>HYPERLINK("https%3A%2F%2Fwww.webofscience.com%2Fwos%2Fwoscc%2Ffull-record%2FWOS:000444717200004","View Full Record in Web of Science")</f>
        <v>View Full Record in Web of Science</v>
      </c>
    </row>
    <row r="826" spans="1:72" x14ac:dyDescent="0.2">
      <c r="A826" t="s">
        <v>72</v>
      </c>
      <c r="B826" t="s">
        <v>15680</v>
      </c>
      <c r="C826" t="s">
        <v>74</v>
      </c>
      <c r="D826" t="s">
        <v>74</v>
      </c>
      <c r="E826" t="s">
        <v>74</v>
      </c>
      <c r="F826" t="s">
        <v>15681</v>
      </c>
      <c r="G826" t="s">
        <v>74</v>
      </c>
      <c r="H826" t="s">
        <v>74</v>
      </c>
      <c r="I826" t="s">
        <v>15682</v>
      </c>
      <c r="J826" t="s">
        <v>1526</v>
      </c>
      <c r="K826" t="s">
        <v>74</v>
      </c>
      <c r="L826" t="s">
        <v>74</v>
      </c>
      <c r="M826" t="s">
        <v>78</v>
      </c>
      <c r="N826" t="s">
        <v>79</v>
      </c>
      <c r="O826" t="s">
        <v>74</v>
      </c>
      <c r="P826" t="s">
        <v>74</v>
      </c>
      <c r="Q826" t="s">
        <v>74</v>
      </c>
      <c r="R826" t="s">
        <v>74</v>
      </c>
      <c r="S826" t="s">
        <v>74</v>
      </c>
      <c r="T826" t="s">
        <v>15683</v>
      </c>
      <c r="U826" t="s">
        <v>15684</v>
      </c>
      <c r="V826" t="s">
        <v>15685</v>
      </c>
      <c r="W826" t="s">
        <v>15686</v>
      </c>
      <c r="X826" t="s">
        <v>15687</v>
      </c>
      <c r="Y826" t="s">
        <v>15688</v>
      </c>
      <c r="Z826" t="s">
        <v>15689</v>
      </c>
      <c r="AA826" t="s">
        <v>15690</v>
      </c>
      <c r="AB826" t="s">
        <v>15691</v>
      </c>
      <c r="AC826" t="s">
        <v>74</v>
      </c>
      <c r="AD826" t="s">
        <v>74</v>
      </c>
      <c r="AE826" t="s">
        <v>74</v>
      </c>
      <c r="AF826" t="s">
        <v>74</v>
      </c>
      <c r="AG826">
        <v>43</v>
      </c>
      <c r="AH826">
        <v>74</v>
      </c>
      <c r="AI826">
        <v>92</v>
      </c>
      <c r="AJ826">
        <v>8</v>
      </c>
      <c r="AK826">
        <v>114</v>
      </c>
      <c r="AL826" t="s">
        <v>176</v>
      </c>
      <c r="AM826" t="s">
        <v>177</v>
      </c>
      <c r="AN826" t="s">
        <v>178</v>
      </c>
      <c r="AO826" t="s">
        <v>1538</v>
      </c>
      <c r="AP826" t="s">
        <v>1539</v>
      </c>
      <c r="AQ826" t="s">
        <v>74</v>
      </c>
      <c r="AR826" t="s">
        <v>1540</v>
      </c>
      <c r="AS826" t="s">
        <v>1541</v>
      </c>
      <c r="AT826" t="s">
        <v>10317</v>
      </c>
      <c r="AU826">
        <v>2016</v>
      </c>
      <c r="AV826">
        <v>112</v>
      </c>
      <c r="AW826" t="s">
        <v>74</v>
      </c>
      <c r="AX826">
        <v>4</v>
      </c>
      <c r="AY826" t="s">
        <v>74</v>
      </c>
      <c r="AZ826" t="s">
        <v>74</v>
      </c>
      <c r="BA826" t="s">
        <v>74</v>
      </c>
      <c r="BB826">
        <v>2593</v>
      </c>
      <c r="BC826">
        <v>2600</v>
      </c>
      <c r="BD826" t="s">
        <v>74</v>
      </c>
      <c r="BE826" t="s">
        <v>15692</v>
      </c>
      <c r="BF826" t="str">
        <f>HYPERLINK("http://dx.doi.org/10.1016/j.jclepro.2015.10.072","http://dx.doi.org/10.1016/j.jclepro.2015.10.072")</f>
        <v>http://dx.doi.org/10.1016/j.jclepro.2015.10.072</v>
      </c>
      <c r="BG826" t="s">
        <v>74</v>
      </c>
      <c r="BH826" t="s">
        <v>74</v>
      </c>
      <c r="BI826">
        <v>8</v>
      </c>
      <c r="BJ826" t="s">
        <v>1543</v>
      </c>
      <c r="BK826" t="s">
        <v>102</v>
      </c>
      <c r="BL826" t="s">
        <v>1544</v>
      </c>
      <c r="BM826" t="s">
        <v>10748</v>
      </c>
      <c r="BN826" t="s">
        <v>74</v>
      </c>
      <c r="BO826" t="s">
        <v>74</v>
      </c>
      <c r="BP826" t="s">
        <v>74</v>
      </c>
      <c r="BQ826" t="s">
        <v>74</v>
      </c>
      <c r="BR826" t="s">
        <v>106</v>
      </c>
      <c r="BS826" t="s">
        <v>15693</v>
      </c>
      <c r="BT826" t="str">
        <f>HYPERLINK("https%3A%2F%2Fwww.webofscience.com%2Fwos%2Fwoscc%2Ffull-record%2FWOS:000368207400042","View Full Record in Web of Science")</f>
        <v>View Full Record in Web of Science</v>
      </c>
    </row>
    <row r="827" spans="1:72" x14ac:dyDescent="0.2">
      <c r="A827" t="s">
        <v>72</v>
      </c>
      <c r="B827" t="s">
        <v>15694</v>
      </c>
      <c r="C827" t="s">
        <v>74</v>
      </c>
      <c r="D827" t="s">
        <v>74</v>
      </c>
      <c r="E827" t="s">
        <v>74</v>
      </c>
      <c r="F827" t="s">
        <v>15695</v>
      </c>
      <c r="G827" t="s">
        <v>74</v>
      </c>
      <c r="H827" t="s">
        <v>74</v>
      </c>
      <c r="I827" t="s">
        <v>15696</v>
      </c>
      <c r="J827" t="s">
        <v>347</v>
      </c>
      <c r="K827" t="s">
        <v>74</v>
      </c>
      <c r="L827" t="s">
        <v>74</v>
      </c>
      <c r="M827" t="s">
        <v>78</v>
      </c>
      <c r="N827" t="s">
        <v>79</v>
      </c>
      <c r="O827" t="s">
        <v>74</v>
      </c>
      <c r="P827" t="s">
        <v>74</v>
      </c>
      <c r="Q827" t="s">
        <v>74</v>
      </c>
      <c r="R827" t="s">
        <v>74</v>
      </c>
      <c r="S827" t="s">
        <v>74</v>
      </c>
      <c r="T827" t="s">
        <v>74</v>
      </c>
      <c r="U827" t="s">
        <v>15697</v>
      </c>
      <c r="V827" t="s">
        <v>15698</v>
      </c>
      <c r="W827" t="s">
        <v>15699</v>
      </c>
      <c r="X827" t="s">
        <v>9755</v>
      </c>
      <c r="Y827" t="s">
        <v>15700</v>
      </c>
      <c r="Z827" t="s">
        <v>15701</v>
      </c>
      <c r="AA827" t="s">
        <v>15702</v>
      </c>
      <c r="AB827" t="s">
        <v>74</v>
      </c>
      <c r="AC827" t="s">
        <v>74</v>
      </c>
      <c r="AD827" t="s">
        <v>74</v>
      </c>
      <c r="AE827" t="s">
        <v>74</v>
      </c>
      <c r="AF827" t="s">
        <v>74</v>
      </c>
      <c r="AG827">
        <v>56</v>
      </c>
      <c r="AH827">
        <v>5</v>
      </c>
      <c r="AI827">
        <v>6</v>
      </c>
      <c r="AJ827">
        <v>7</v>
      </c>
      <c r="AK827">
        <v>18</v>
      </c>
      <c r="AL827" t="s">
        <v>274</v>
      </c>
      <c r="AM827" t="s">
        <v>275</v>
      </c>
      <c r="AN827" t="s">
        <v>276</v>
      </c>
      <c r="AO827" t="s">
        <v>357</v>
      </c>
      <c r="AP827" t="s">
        <v>74</v>
      </c>
      <c r="AQ827" t="s">
        <v>74</v>
      </c>
      <c r="AR827" t="s">
        <v>358</v>
      </c>
      <c r="AS827" t="s">
        <v>359</v>
      </c>
      <c r="AT827" t="s">
        <v>15703</v>
      </c>
      <c r="AU827">
        <v>2024</v>
      </c>
      <c r="AV827">
        <v>14</v>
      </c>
      <c r="AW827">
        <v>1</v>
      </c>
      <c r="AX827" t="s">
        <v>74</v>
      </c>
      <c r="AY827" t="s">
        <v>74</v>
      </c>
      <c r="AZ827" t="s">
        <v>74</v>
      </c>
      <c r="BA827" t="s">
        <v>74</v>
      </c>
      <c r="BB827" t="s">
        <v>74</v>
      </c>
      <c r="BC827" t="s">
        <v>74</v>
      </c>
      <c r="BD827">
        <v>13554</v>
      </c>
      <c r="BE827" t="s">
        <v>15704</v>
      </c>
      <c r="BF827" t="str">
        <f>HYPERLINK("http://dx.doi.org/10.1038/s41598-024-64100-w","http://dx.doi.org/10.1038/s41598-024-64100-w")</f>
        <v>http://dx.doi.org/10.1038/s41598-024-64100-w</v>
      </c>
      <c r="BG827" t="s">
        <v>74</v>
      </c>
      <c r="BH827" t="s">
        <v>74</v>
      </c>
      <c r="BI827">
        <v>14</v>
      </c>
      <c r="BJ827" t="s">
        <v>158</v>
      </c>
      <c r="BK827" t="s">
        <v>102</v>
      </c>
      <c r="BL827" t="s">
        <v>159</v>
      </c>
      <c r="BM827" t="s">
        <v>15705</v>
      </c>
      <c r="BN827">
        <v>38867078</v>
      </c>
      <c r="BO827" t="s">
        <v>161</v>
      </c>
      <c r="BP827" t="s">
        <v>74</v>
      </c>
      <c r="BQ827" t="s">
        <v>74</v>
      </c>
      <c r="BR827" t="s">
        <v>106</v>
      </c>
      <c r="BS827" t="s">
        <v>15706</v>
      </c>
      <c r="BT827" t="str">
        <f>HYPERLINK("https%3A%2F%2Fwww.webofscience.com%2Fwos%2Fwoscc%2Ffull-record%2FWOS:001260828000114","View Full Record in Web of Science")</f>
        <v>View Full Record in Web of Science</v>
      </c>
    </row>
    <row r="828" spans="1:72" x14ac:dyDescent="0.2">
      <c r="A828" t="s">
        <v>72</v>
      </c>
      <c r="B828" t="s">
        <v>15707</v>
      </c>
      <c r="C828" t="s">
        <v>74</v>
      </c>
      <c r="D828" t="s">
        <v>74</v>
      </c>
      <c r="E828" t="s">
        <v>74</v>
      </c>
      <c r="F828" t="s">
        <v>15708</v>
      </c>
      <c r="G828" t="s">
        <v>74</v>
      </c>
      <c r="H828" t="s">
        <v>74</v>
      </c>
      <c r="I828" t="s">
        <v>15709</v>
      </c>
      <c r="J828" t="s">
        <v>10568</v>
      </c>
      <c r="K828" t="s">
        <v>74</v>
      </c>
      <c r="L828" t="s">
        <v>74</v>
      </c>
      <c r="M828" t="s">
        <v>78</v>
      </c>
      <c r="N828" t="s">
        <v>79</v>
      </c>
      <c r="O828" t="s">
        <v>74</v>
      </c>
      <c r="P828" t="s">
        <v>74</v>
      </c>
      <c r="Q828" t="s">
        <v>74</v>
      </c>
      <c r="R828" t="s">
        <v>74</v>
      </c>
      <c r="S828" t="s">
        <v>74</v>
      </c>
      <c r="T828" t="s">
        <v>15710</v>
      </c>
      <c r="U828" t="s">
        <v>15711</v>
      </c>
      <c r="V828" t="s">
        <v>15712</v>
      </c>
      <c r="W828" t="s">
        <v>15713</v>
      </c>
      <c r="X828" t="s">
        <v>15714</v>
      </c>
      <c r="Y828" t="s">
        <v>15715</v>
      </c>
      <c r="Z828" t="s">
        <v>15716</v>
      </c>
      <c r="AA828" t="s">
        <v>15717</v>
      </c>
      <c r="AB828" t="s">
        <v>15718</v>
      </c>
      <c r="AC828" t="s">
        <v>15719</v>
      </c>
      <c r="AD828" t="s">
        <v>15720</v>
      </c>
      <c r="AE828" t="s">
        <v>15721</v>
      </c>
      <c r="AF828" t="s">
        <v>74</v>
      </c>
      <c r="AG828">
        <v>83</v>
      </c>
      <c r="AH828">
        <v>7</v>
      </c>
      <c r="AI828">
        <v>7</v>
      </c>
      <c r="AJ828">
        <v>1</v>
      </c>
      <c r="AK828">
        <v>9</v>
      </c>
      <c r="AL828" t="s">
        <v>176</v>
      </c>
      <c r="AM828" t="s">
        <v>1610</v>
      </c>
      <c r="AN828" t="s">
        <v>1611</v>
      </c>
      <c r="AO828" t="s">
        <v>10580</v>
      </c>
      <c r="AP828" t="s">
        <v>74</v>
      </c>
      <c r="AQ828" t="s">
        <v>74</v>
      </c>
      <c r="AR828" t="s">
        <v>10568</v>
      </c>
      <c r="AS828" t="s">
        <v>10581</v>
      </c>
      <c r="AT828" t="s">
        <v>1109</v>
      </c>
      <c r="AU828">
        <v>2023</v>
      </c>
      <c r="AV828">
        <v>44</v>
      </c>
      <c r="AW828" t="s">
        <v>74</v>
      </c>
      <c r="AX828" t="s">
        <v>74</v>
      </c>
      <c r="AY828" t="s">
        <v>74</v>
      </c>
      <c r="AZ828" t="s">
        <v>74</v>
      </c>
      <c r="BA828" t="s">
        <v>74</v>
      </c>
      <c r="BB828" t="s">
        <v>74</v>
      </c>
      <c r="BC828" t="s">
        <v>74</v>
      </c>
      <c r="BD828">
        <v>100416</v>
      </c>
      <c r="BE828" t="s">
        <v>15722</v>
      </c>
      <c r="BF828" t="str">
        <f>HYPERLINK("http://dx.doi.org/10.1016/j.ancene.2023.100416","http://dx.doi.org/10.1016/j.ancene.2023.100416")</f>
        <v>http://dx.doi.org/10.1016/j.ancene.2023.100416</v>
      </c>
      <c r="BG828" t="s">
        <v>74</v>
      </c>
      <c r="BH828" t="s">
        <v>4584</v>
      </c>
      <c r="BI828">
        <v>12</v>
      </c>
      <c r="BJ828" t="s">
        <v>10583</v>
      </c>
      <c r="BK828" t="s">
        <v>102</v>
      </c>
      <c r="BL828" t="s">
        <v>10584</v>
      </c>
      <c r="BM828" t="s">
        <v>15723</v>
      </c>
      <c r="BN828" t="s">
        <v>74</v>
      </c>
      <c r="BO828" t="s">
        <v>2296</v>
      </c>
      <c r="BP828" t="s">
        <v>74</v>
      </c>
      <c r="BQ828" t="s">
        <v>74</v>
      </c>
      <c r="BR828" t="s">
        <v>106</v>
      </c>
      <c r="BS828" t="s">
        <v>15724</v>
      </c>
      <c r="BT828" t="str">
        <f>HYPERLINK("https%3A%2F%2Fwww.webofscience.com%2Fwos%2Fwoscc%2Ffull-record%2FWOS:001112852900001","View Full Record in Web of Science")</f>
        <v>View Full Record in Web of Science</v>
      </c>
    </row>
    <row r="829" spans="1:72" x14ac:dyDescent="0.2">
      <c r="A829" t="s">
        <v>72</v>
      </c>
      <c r="B829" t="s">
        <v>15725</v>
      </c>
      <c r="C829" t="s">
        <v>74</v>
      </c>
      <c r="D829" t="s">
        <v>74</v>
      </c>
      <c r="E829" t="s">
        <v>74</v>
      </c>
      <c r="F829" t="s">
        <v>15726</v>
      </c>
      <c r="G829" t="s">
        <v>74</v>
      </c>
      <c r="H829" t="s">
        <v>74</v>
      </c>
      <c r="I829" t="s">
        <v>15727</v>
      </c>
      <c r="J829" t="s">
        <v>4219</v>
      </c>
      <c r="K829" t="s">
        <v>74</v>
      </c>
      <c r="L829" t="s">
        <v>74</v>
      </c>
      <c r="M829" t="s">
        <v>78</v>
      </c>
      <c r="N829" t="s">
        <v>79</v>
      </c>
      <c r="O829" t="s">
        <v>74</v>
      </c>
      <c r="P829" t="s">
        <v>74</v>
      </c>
      <c r="Q829" t="s">
        <v>74</v>
      </c>
      <c r="R829" t="s">
        <v>74</v>
      </c>
      <c r="S829" t="s">
        <v>74</v>
      </c>
      <c r="T829" t="s">
        <v>74</v>
      </c>
      <c r="U829" t="s">
        <v>15728</v>
      </c>
      <c r="V829" t="s">
        <v>15729</v>
      </c>
      <c r="W829" t="s">
        <v>15730</v>
      </c>
      <c r="X829" t="s">
        <v>15731</v>
      </c>
      <c r="Y829" t="s">
        <v>15732</v>
      </c>
      <c r="Z829" t="s">
        <v>15733</v>
      </c>
      <c r="AA829" t="s">
        <v>15734</v>
      </c>
      <c r="AB829" t="s">
        <v>15735</v>
      </c>
      <c r="AC829" t="s">
        <v>15736</v>
      </c>
      <c r="AD829" t="s">
        <v>15737</v>
      </c>
      <c r="AE829" t="s">
        <v>15738</v>
      </c>
      <c r="AF829" t="s">
        <v>74</v>
      </c>
      <c r="AG829">
        <v>41</v>
      </c>
      <c r="AH829">
        <v>153</v>
      </c>
      <c r="AI829">
        <v>164</v>
      </c>
      <c r="AJ829">
        <v>5</v>
      </c>
      <c r="AK829">
        <v>238</v>
      </c>
      <c r="AL829" t="s">
        <v>274</v>
      </c>
      <c r="AM829" t="s">
        <v>275</v>
      </c>
      <c r="AN829" t="s">
        <v>276</v>
      </c>
      <c r="AO829" t="s">
        <v>4231</v>
      </c>
      <c r="AP829" t="s">
        <v>4232</v>
      </c>
      <c r="AQ829" t="s">
        <v>74</v>
      </c>
      <c r="AR829" t="s">
        <v>4233</v>
      </c>
      <c r="AS829" t="s">
        <v>4234</v>
      </c>
      <c r="AT829" t="s">
        <v>912</v>
      </c>
      <c r="AU829">
        <v>2017</v>
      </c>
      <c r="AV829">
        <v>7</v>
      </c>
      <c r="AW829">
        <v>5</v>
      </c>
      <c r="AX829" t="s">
        <v>74</v>
      </c>
      <c r="AY829" t="s">
        <v>74</v>
      </c>
      <c r="AZ829" t="s">
        <v>74</v>
      </c>
      <c r="BA829" t="s">
        <v>74</v>
      </c>
      <c r="BB829">
        <v>345</v>
      </c>
      <c r="BC829" t="s">
        <v>282</v>
      </c>
      <c r="BD829" t="s">
        <v>74</v>
      </c>
      <c r="BE829" t="s">
        <v>15739</v>
      </c>
      <c r="BF829" t="str">
        <f>HYPERLINK("http://dx.doi.org/10.1038/NCLIMATE3263","http://dx.doi.org/10.1038/NCLIMATE3263")</f>
        <v>http://dx.doi.org/10.1038/NCLIMATE3263</v>
      </c>
      <c r="BG829" t="s">
        <v>74</v>
      </c>
      <c r="BH829" t="s">
        <v>74</v>
      </c>
      <c r="BI829">
        <v>6</v>
      </c>
      <c r="BJ829" t="s">
        <v>4237</v>
      </c>
      <c r="BK829" t="s">
        <v>186</v>
      </c>
      <c r="BL829" t="s">
        <v>783</v>
      </c>
      <c r="BM829" t="s">
        <v>15740</v>
      </c>
      <c r="BN829" t="s">
        <v>74</v>
      </c>
      <c r="BO829" t="s">
        <v>74</v>
      </c>
      <c r="BP829" t="s">
        <v>74</v>
      </c>
      <c r="BQ829" t="s">
        <v>74</v>
      </c>
      <c r="BR829" t="s">
        <v>106</v>
      </c>
      <c r="BS829" t="s">
        <v>15741</v>
      </c>
      <c r="BT829" t="str">
        <f>HYPERLINK("https%3A%2F%2Fwww.webofscience.com%2Fwos%2Fwoscc%2Ffull-record%2FWOS:000400373500014","View Full Record in Web of Science")</f>
        <v>View Full Record in Web of Science</v>
      </c>
    </row>
    <row r="830" spans="1:72" x14ac:dyDescent="0.2">
      <c r="A830" t="s">
        <v>72</v>
      </c>
      <c r="B830" t="s">
        <v>15742</v>
      </c>
      <c r="C830" t="s">
        <v>74</v>
      </c>
      <c r="D830" t="s">
        <v>74</v>
      </c>
      <c r="E830" t="s">
        <v>74</v>
      </c>
      <c r="F830" t="s">
        <v>15743</v>
      </c>
      <c r="G830" t="s">
        <v>74</v>
      </c>
      <c r="H830" t="s">
        <v>74</v>
      </c>
      <c r="I830" t="s">
        <v>15744</v>
      </c>
      <c r="J830" t="s">
        <v>15745</v>
      </c>
      <c r="K830" t="s">
        <v>74</v>
      </c>
      <c r="L830" t="s">
        <v>74</v>
      </c>
      <c r="M830" t="s">
        <v>78</v>
      </c>
      <c r="N830" t="s">
        <v>79</v>
      </c>
      <c r="O830" t="s">
        <v>74</v>
      </c>
      <c r="P830" t="s">
        <v>74</v>
      </c>
      <c r="Q830" t="s">
        <v>74</v>
      </c>
      <c r="R830" t="s">
        <v>74</v>
      </c>
      <c r="S830" t="s">
        <v>74</v>
      </c>
      <c r="T830" t="s">
        <v>15746</v>
      </c>
      <c r="U830" t="s">
        <v>15747</v>
      </c>
      <c r="V830" t="s">
        <v>15748</v>
      </c>
      <c r="W830" t="s">
        <v>15749</v>
      </c>
      <c r="X830" t="s">
        <v>15750</v>
      </c>
      <c r="Y830" t="s">
        <v>15751</v>
      </c>
      <c r="Z830" t="s">
        <v>15752</v>
      </c>
      <c r="AA830" t="s">
        <v>15753</v>
      </c>
      <c r="AB830" t="s">
        <v>15754</v>
      </c>
      <c r="AC830" t="s">
        <v>15755</v>
      </c>
      <c r="AD830" t="s">
        <v>15756</v>
      </c>
      <c r="AE830" t="s">
        <v>15757</v>
      </c>
      <c r="AF830" t="s">
        <v>74</v>
      </c>
      <c r="AG830">
        <v>67</v>
      </c>
      <c r="AH830">
        <v>32</v>
      </c>
      <c r="AI830">
        <v>35</v>
      </c>
      <c r="AJ830">
        <v>1</v>
      </c>
      <c r="AK830">
        <v>22</v>
      </c>
      <c r="AL830" t="s">
        <v>123</v>
      </c>
      <c r="AM830" t="s">
        <v>124</v>
      </c>
      <c r="AN830" t="s">
        <v>125</v>
      </c>
      <c r="AO830" t="s">
        <v>74</v>
      </c>
      <c r="AP830" t="s">
        <v>15758</v>
      </c>
      <c r="AQ830" t="s">
        <v>74</v>
      </c>
      <c r="AR830" t="s">
        <v>15759</v>
      </c>
      <c r="AS830" t="s">
        <v>15760</v>
      </c>
      <c r="AT830" t="s">
        <v>99</v>
      </c>
      <c r="AU830">
        <v>2020</v>
      </c>
      <c r="AV830">
        <v>21</v>
      </c>
      <c r="AW830" t="s">
        <v>74</v>
      </c>
      <c r="AX830" t="s">
        <v>74</v>
      </c>
      <c r="AY830" t="s">
        <v>74</v>
      </c>
      <c r="AZ830" t="s">
        <v>74</v>
      </c>
      <c r="BA830" t="s">
        <v>74</v>
      </c>
      <c r="BB830" t="s">
        <v>74</v>
      </c>
      <c r="BC830" t="s">
        <v>74</v>
      </c>
      <c r="BD830" t="s">
        <v>15761</v>
      </c>
      <c r="BE830" t="s">
        <v>15762</v>
      </c>
      <c r="BF830" t="str">
        <f>HYPERLINK("http://dx.doi.org/10.1016/j.gecco.2019.e00875","http://dx.doi.org/10.1016/j.gecco.2019.e00875")</f>
        <v>http://dx.doi.org/10.1016/j.gecco.2019.e00875</v>
      </c>
      <c r="BG830" t="s">
        <v>74</v>
      </c>
      <c r="BH830" t="s">
        <v>74</v>
      </c>
      <c r="BI830">
        <v>15</v>
      </c>
      <c r="BJ830" t="s">
        <v>13561</v>
      </c>
      <c r="BK830" t="s">
        <v>102</v>
      </c>
      <c r="BL830" t="s">
        <v>756</v>
      </c>
      <c r="BM830" t="s">
        <v>15763</v>
      </c>
      <c r="BN830" t="s">
        <v>74</v>
      </c>
      <c r="BO830" t="s">
        <v>231</v>
      </c>
      <c r="BP830" t="s">
        <v>74</v>
      </c>
      <c r="BQ830" t="s">
        <v>74</v>
      </c>
      <c r="BR830" t="s">
        <v>106</v>
      </c>
      <c r="BS830" t="s">
        <v>15764</v>
      </c>
      <c r="BT830" t="str">
        <f>HYPERLINK("https%3A%2F%2Fwww.webofscience.com%2Fwos%2Fwoscc%2Ffull-record%2FWOS:000517814100084","View Full Record in Web of Science")</f>
        <v>View Full Record in Web of Science</v>
      </c>
    </row>
    <row r="831" spans="1:72" x14ac:dyDescent="0.2">
      <c r="A831" t="s">
        <v>72</v>
      </c>
      <c r="B831" t="s">
        <v>15765</v>
      </c>
      <c r="C831" t="s">
        <v>74</v>
      </c>
      <c r="D831" t="s">
        <v>74</v>
      </c>
      <c r="E831" t="s">
        <v>74</v>
      </c>
      <c r="F831" t="s">
        <v>15766</v>
      </c>
      <c r="G831" t="s">
        <v>74</v>
      </c>
      <c r="H831" t="s">
        <v>74</v>
      </c>
      <c r="I831" t="s">
        <v>15767</v>
      </c>
      <c r="J831" t="s">
        <v>15768</v>
      </c>
      <c r="K831" t="s">
        <v>74</v>
      </c>
      <c r="L831" t="s">
        <v>74</v>
      </c>
      <c r="M831" t="s">
        <v>78</v>
      </c>
      <c r="N831" t="s">
        <v>79</v>
      </c>
      <c r="O831" t="s">
        <v>74</v>
      </c>
      <c r="P831" t="s">
        <v>74</v>
      </c>
      <c r="Q831" t="s">
        <v>74</v>
      </c>
      <c r="R831" t="s">
        <v>74</v>
      </c>
      <c r="S831" t="s">
        <v>74</v>
      </c>
      <c r="T831" t="s">
        <v>15769</v>
      </c>
      <c r="U831" t="s">
        <v>15770</v>
      </c>
      <c r="V831" t="s">
        <v>15771</v>
      </c>
      <c r="W831" t="s">
        <v>15772</v>
      </c>
      <c r="X831" t="s">
        <v>15773</v>
      </c>
      <c r="Y831" t="s">
        <v>15774</v>
      </c>
      <c r="Z831" t="s">
        <v>15775</v>
      </c>
      <c r="AA831" t="s">
        <v>74</v>
      </c>
      <c r="AB831" t="s">
        <v>74</v>
      </c>
      <c r="AC831" t="s">
        <v>15776</v>
      </c>
      <c r="AD831" t="s">
        <v>15777</v>
      </c>
      <c r="AE831" t="s">
        <v>15778</v>
      </c>
      <c r="AF831" t="s">
        <v>74</v>
      </c>
      <c r="AG831">
        <v>52</v>
      </c>
      <c r="AH831">
        <v>24</v>
      </c>
      <c r="AI831">
        <v>27</v>
      </c>
      <c r="AJ831">
        <v>16</v>
      </c>
      <c r="AK831">
        <v>133</v>
      </c>
      <c r="AL831" t="s">
        <v>123</v>
      </c>
      <c r="AM831" t="s">
        <v>124</v>
      </c>
      <c r="AN831" t="s">
        <v>125</v>
      </c>
      <c r="AO831" t="s">
        <v>15779</v>
      </c>
      <c r="AP831" t="s">
        <v>15780</v>
      </c>
      <c r="AQ831" t="s">
        <v>74</v>
      </c>
      <c r="AR831" t="s">
        <v>15781</v>
      </c>
      <c r="AS831" t="s">
        <v>15782</v>
      </c>
      <c r="AT831" t="s">
        <v>912</v>
      </c>
      <c r="AU831">
        <v>2022</v>
      </c>
      <c r="AV831">
        <v>29</v>
      </c>
      <c r="AW831">
        <v>3</v>
      </c>
      <c r="AX831" t="s">
        <v>74</v>
      </c>
      <c r="AY831" t="s">
        <v>74</v>
      </c>
      <c r="AZ831" t="s">
        <v>74</v>
      </c>
      <c r="BA831" t="s">
        <v>74</v>
      </c>
      <c r="BB831">
        <v>288</v>
      </c>
      <c r="BC831">
        <v>298</v>
      </c>
      <c r="BD831" t="s">
        <v>74</v>
      </c>
      <c r="BE831" t="s">
        <v>15783</v>
      </c>
      <c r="BF831" t="str">
        <f>HYPERLINK("http://dx.doi.org/10.1016/j.rsci.2021.11.003","http://dx.doi.org/10.1016/j.rsci.2021.11.003")</f>
        <v>http://dx.doi.org/10.1016/j.rsci.2021.11.003</v>
      </c>
      <c r="BG831" t="s">
        <v>74</v>
      </c>
      <c r="BH831" t="s">
        <v>3987</v>
      </c>
      <c r="BI831">
        <v>11</v>
      </c>
      <c r="BJ831" t="s">
        <v>461</v>
      </c>
      <c r="BK831" t="s">
        <v>102</v>
      </c>
      <c r="BL831" t="s">
        <v>462</v>
      </c>
      <c r="BM831" t="s">
        <v>15784</v>
      </c>
      <c r="BN831" t="s">
        <v>74</v>
      </c>
      <c r="BO831" t="s">
        <v>231</v>
      </c>
      <c r="BP831" t="s">
        <v>74</v>
      </c>
      <c r="BQ831" t="s">
        <v>74</v>
      </c>
      <c r="BR831" t="s">
        <v>106</v>
      </c>
      <c r="BS831" t="s">
        <v>15785</v>
      </c>
      <c r="BT831" t="str">
        <f>HYPERLINK("https%3A%2F%2Fwww.webofscience.com%2Fwos%2Fwoscc%2Ffull-record%2FWOS:000874338300008","View Full Record in Web of Science")</f>
        <v>View Full Record in Web of Science</v>
      </c>
    </row>
    <row r="832" spans="1:72" x14ac:dyDescent="0.2">
      <c r="A832" t="s">
        <v>72</v>
      </c>
      <c r="B832" t="s">
        <v>15786</v>
      </c>
      <c r="C832" t="s">
        <v>74</v>
      </c>
      <c r="D832" t="s">
        <v>74</v>
      </c>
      <c r="E832" t="s">
        <v>74</v>
      </c>
      <c r="F832" t="s">
        <v>15787</v>
      </c>
      <c r="G832" t="s">
        <v>74</v>
      </c>
      <c r="H832" t="s">
        <v>74</v>
      </c>
      <c r="I832" t="s">
        <v>15788</v>
      </c>
      <c r="J832" t="s">
        <v>828</v>
      </c>
      <c r="K832" t="s">
        <v>74</v>
      </c>
      <c r="L832" t="s">
        <v>74</v>
      </c>
      <c r="M832" t="s">
        <v>78</v>
      </c>
      <c r="N832" t="s">
        <v>79</v>
      </c>
      <c r="O832" t="s">
        <v>74</v>
      </c>
      <c r="P832" t="s">
        <v>74</v>
      </c>
      <c r="Q832" t="s">
        <v>74</v>
      </c>
      <c r="R832" t="s">
        <v>74</v>
      </c>
      <c r="S832" t="s">
        <v>74</v>
      </c>
      <c r="T832" t="s">
        <v>74</v>
      </c>
      <c r="U832" t="s">
        <v>74</v>
      </c>
      <c r="V832" t="s">
        <v>15789</v>
      </c>
      <c r="W832" t="s">
        <v>15790</v>
      </c>
      <c r="X832" t="s">
        <v>15791</v>
      </c>
      <c r="Y832" t="s">
        <v>15792</v>
      </c>
      <c r="Z832" t="s">
        <v>74</v>
      </c>
      <c r="AA832" t="s">
        <v>74</v>
      </c>
      <c r="AB832" t="s">
        <v>74</v>
      </c>
      <c r="AC832" t="s">
        <v>74</v>
      </c>
      <c r="AD832" t="s">
        <v>74</v>
      </c>
      <c r="AE832" t="s">
        <v>74</v>
      </c>
      <c r="AF832" t="s">
        <v>74</v>
      </c>
      <c r="AG832">
        <v>16</v>
      </c>
      <c r="AH832">
        <v>3</v>
      </c>
      <c r="AI832">
        <v>3</v>
      </c>
      <c r="AJ832">
        <v>0</v>
      </c>
      <c r="AK832">
        <v>12</v>
      </c>
      <c r="AL832" t="s">
        <v>835</v>
      </c>
      <c r="AM832" t="s">
        <v>836</v>
      </c>
      <c r="AN832" t="s">
        <v>3254</v>
      </c>
      <c r="AO832" t="s">
        <v>838</v>
      </c>
      <c r="AP832" t="s">
        <v>74</v>
      </c>
      <c r="AQ832" t="s">
        <v>74</v>
      </c>
      <c r="AR832" t="s">
        <v>839</v>
      </c>
      <c r="AS832" t="s">
        <v>840</v>
      </c>
      <c r="AT832" t="s">
        <v>3255</v>
      </c>
      <c r="AU832">
        <v>2016</v>
      </c>
      <c r="AV832">
        <v>47</v>
      </c>
      <c r="AW832">
        <v>2</v>
      </c>
      <c r="AX832" t="s">
        <v>74</v>
      </c>
      <c r="AY832" t="s">
        <v>74</v>
      </c>
      <c r="AZ832" t="s">
        <v>1070</v>
      </c>
      <c r="BA832" t="s">
        <v>74</v>
      </c>
      <c r="BB832">
        <v>87</v>
      </c>
      <c r="BC832">
        <v>108</v>
      </c>
      <c r="BD832" t="s">
        <v>74</v>
      </c>
      <c r="BE832" t="s">
        <v>74</v>
      </c>
      <c r="BF832" t="s">
        <v>74</v>
      </c>
      <c r="BG832" t="s">
        <v>74</v>
      </c>
      <c r="BH832" t="s">
        <v>74</v>
      </c>
      <c r="BI832">
        <v>22</v>
      </c>
      <c r="BJ832" t="s">
        <v>842</v>
      </c>
      <c r="BK832" t="s">
        <v>102</v>
      </c>
      <c r="BL832" t="s">
        <v>103</v>
      </c>
      <c r="BM832" t="s">
        <v>14477</v>
      </c>
      <c r="BN832" t="s">
        <v>74</v>
      </c>
      <c r="BO832" t="s">
        <v>74</v>
      </c>
      <c r="BP832" t="s">
        <v>74</v>
      </c>
      <c r="BQ832" t="s">
        <v>74</v>
      </c>
      <c r="BR832" t="s">
        <v>106</v>
      </c>
      <c r="BS832" t="s">
        <v>15793</v>
      </c>
      <c r="BT832" t="str">
        <f>HYPERLINK("https%3A%2F%2Fwww.webofscience.com%2Fwos%2Fwoscc%2Ffull-record%2FWOS:000376227000014","View Full Record in Web of Science")</f>
        <v>View Full Record in Web of Science</v>
      </c>
    </row>
    <row r="833" spans="1:72" x14ac:dyDescent="0.2">
      <c r="A833" t="s">
        <v>72</v>
      </c>
      <c r="B833" t="s">
        <v>15794</v>
      </c>
      <c r="C833" t="s">
        <v>74</v>
      </c>
      <c r="D833" t="s">
        <v>74</v>
      </c>
      <c r="E833" t="s">
        <v>74</v>
      </c>
      <c r="F833" t="s">
        <v>15795</v>
      </c>
      <c r="G833" t="s">
        <v>74</v>
      </c>
      <c r="H833" t="s">
        <v>74</v>
      </c>
      <c r="I833" t="s">
        <v>15796</v>
      </c>
      <c r="J833" t="s">
        <v>1231</v>
      </c>
      <c r="K833" t="s">
        <v>74</v>
      </c>
      <c r="L833" t="s">
        <v>74</v>
      </c>
      <c r="M833" t="s">
        <v>78</v>
      </c>
      <c r="N833" t="s">
        <v>79</v>
      </c>
      <c r="O833" t="s">
        <v>74</v>
      </c>
      <c r="P833" t="s">
        <v>74</v>
      </c>
      <c r="Q833" t="s">
        <v>74</v>
      </c>
      <c r="R833" t="s">
        <v>74</v>
      </c>
      <c r="S833" t="s">
        <v>74</v>
      </c>
      <c r="T833" t="s">
        <v>15797</v>
      </c>
      <c r="U833" t="s">
        <v>15798</v>
      </c>
      <c r="V833" t="s">
        <v>15799</v>
      </c>
      <c r="W833" t="s">
        <v>15800</v>
      </c>
      <c r="X833" t="s">
        <v>15801</v>
      </c>
      <c r="Y833" t="s">
        <v>15802</v>
      </c>
      <c r="Z833" t="s">
        <v>15803</v>
      </c>
      <c r="AA833" t="s">
        <v>15804</v>
      </c>
      <c r="AB833" t="s">
        <v>74</v>
      </c>
      <c r="AC833" t="s">
        <v>15805</v>
      </c>
      <c r="AD833" t="s">
        <v>15806</v>
      </c>
      <c r="AE833" t="s">
        <v>15807</v>
      </c>
      <c r="AF833" t="s">
        <v>74</v>
      </c>
      <c r="AG833">
        <v>82</v>
      </c>
      <c r="AH833">
        <v>3</v>
      </c>
      <c r="AI833">
        <v>6</v>
      </c>
      <c r="AJ833">
        <v>0</v>
      </c>
      <c r="AK833">
        <v>49</v>
      </c>
      <c r="AL833" t="s">
        <v>1242</v>
      </c>
      <c r="AM833" t="s">
        <v>1243</v>
      </c>
      <c r="AN833" t="s">
        <v>1244</v>
      </c>
      <c r="AO833" t="s">
        <v>1245</v>
      </c>
      <c r="AP833" t="s">
        <v>1246</v>
      </c>
      <c r="AQ833" t="s">
        <v>74</v>
      </c>
      <c r="AR833" t="s">
        <v>1247</v>
      </c>
      <c r="AS833" t="s">
        <v>1248</v>
      </c>
      <c r="AT833" t="s">
        <v>459</v>
      </c>
      <c r="AU833">
        <v>2023</v>
      </c>
      <c r="AV833">
        <v>30</v>
      </c>
      <c r="AW833">
        <v>8</v>
      </c>
      <c r="AX833" t="s">
        <v>74</v>
      </c>
      <c r="AY833" t="s">
        <v>74</v>
      </c>
      <c r="AZ833" t="s">
        <v>74</v>
      </c>
      <c r="BA833" t="s">
        <v>74</v>
      </c>
      <c r="BB833">
        <v>21092</v>
      </c>
      <c r="BC833">
        <v>21103</v>
      </c>
      <c r="BD833" t="s">
        <v>74</v>
      </c>
      <c r="BE833" t="s">
        <v>15808</v>
      </c>
      <c r="BF833" t="str">
        <f>HYPERLINK("http://dx.doi.org/10.1007/s11356-022-23713-2","http://dx.doi.org/10.1007/s11356-022-23713-2")</f>
        <v>http://dx.doi.org/10.1007/s11356-022-23713-2</v>
      </c>
      <c r="BG833" t="s">
        <v>74</v>
      </c>
      <c r="BH833" t="s">
        <v>11795</v>
      </c>
      <c r="BI833">
        <v>12</v>
      </c>
      <c r="BJ833" t="s">
        <v>567</v>
      </c>
      <c r="BK833" t="s">
        <v>102</v>
      </c>
      <c r="BL833" t="s">
        <v>568</v>
      </c>
      <c r="BM833" t="s">
        <v>15809</v>
      </c>
      <c r="BN833">
        <v>36264471</v>
      </c>
      <c r="BO833" t="s">
        <v>74</v>
      </c>
      <c r="BP833" t="s">
        <v>74</v>
      </c>
      <c r="BQ833" t="s">
        <v>74</v>
      </c>
      <c r="BR833" t="s">
        <v>106</v>
      </c>
      <c r="BS833" t="s">
        <v>15810</v>
      </c>
      <c r="BT833" t="str">
        <f>HYPERLINK("https%3A%2F%2Fwww.webofscience.com%2Fwos%2Fwoscc%2Ffull-record%2FWOS:000870637200003","View Full Record in Web of Science")</f>
        <v>View Full Record in Web of Science</v>
      </c>
    </row>
    <row r="834" spans="1:72" x14ac:dyDescent="0.2">
      <c r="A834" t="s">
        <v>72</v>
      </c>
      <c r="B834" t="s">
        <v>15811</v>
      </c>
      <c r="C834" t="s">
        <v>74</v>
      </c>
      <c r="D834" t="s">
        <v>74</v>
      </c>
      <c r="E834" t="s">
        <v>74</v>
      </c>
      <c r="F834" t="s">
        <v>15812</v>
      </c>
      <c r="G834" t="s">
        <v>74</v>
      </c>
      <c r="H834" t="s">
        <v>74</v>
      </c>
      <c r="I834" t="s">
        <v>15813</v>
      </c>
      <c r="J834" t="s">
        <v>15814</v>
      </c>
      <c r="K834" t="s">
        <v>74</v>
      </c>
      <c r="L834" t="s">
        <v>74</v>
      </c>
      <c r="M834" t="s">
        <v>78</v>
      </c>
      <c r="N834" t="s">
        <v>79</v>
      </c>
      <c r="O834" t="s">
        <v>74</v>
      </c>
      <c r="P834" t="s">
        <v>74</v>
      </c>
      <c r="Q834" t="s">
        <v>74</v>
      </c>
      <c r="R834" t="s">
        <v>74</v>
      </c>
      <c r="S834" t="s">
        <v>74</v>
      </c>
      <c r="T834" t="s">
        <v>15815</v>
      </c>
      <c r="U834" t="s">
        <v>15816</v>
      </c>
      <c r="V834" t="s">
        <v>15817</v>
      </c>
      <c r="W834" t="s">
        <v>15818</v>
      </c>
      <c r="X834" t="s">
        <v>15819</v>
      </c>
      <c r="Y834" t="s">
        <v>15820</v>
      </c>
      <c r="Z834" t="s">
        <v>15821</v>
      </c>
      <c r="AA834" t="s">
        <v>15822</v>
      </c>
      <c r="AB834" t="s">
        <v>15823</v>
      </c>
      <c r="AC834" t="s">
        <v>15824</v>
      </c>
      <c r="AD834" t="s">
        <v>15825</v>
      </c>
      <c r="AE834" t="s">
        <v>15826</v>
      </c>
      <c r="AF834" t="s">
        <v>74</v>
      </c>
      <c r="AG834">
        <v>50</v>
      </c>
      <c r="AH834">
        <v>0</v>
      </c>
      <c r="AI834">
        <v>0</v>
      </c>
      <c r="AJ834">
        <v>2</v>
      </c>
      <c r="AK834">
        <v>12</v>
      </c>
      <c r="AL834" t="s">
        <v>247</v>
      </c>
      <c r="AM834" t="s">
        <v>248</v>
      </c>
      <c r="AN834" t="s">
        <v>249</v>
      </c>
      <c r="AO834" t="s">
        <v>74</v>
      </c>
      <c r="AP834" t="s">
        <v>15827</v>
      </c>
      <c r="AQ834" t="s">
        <v>74</v>
      </c>
      <c r="AR834" t="s">
        <v>15814</v>
      </c>
      <c r="AS834" t="s">
        <v>15828</v>
      </c>
      <c r="AT834" t="s">
        <v>183</v>
      </c>
      <c r="AU834">
        <v>2025</v>
      </c>
      <c r="AV834">
        <v>7</v>
      </c>
      <c r="AW834">
        <v>4</v>
      </c>
      <c r="AX834" t="s">
        <v>74</v>
      </c>
      <c r="AY834" t="s">
        <v>74</v>
      </c>
      <c r="AZ834" t="s">
        <v>74</v>
      </c>
      <c r="BA834" t="s">
        <v>74</v>
      </c>
      <c r="BB834">
        <v>1070</v>
      </c>
      <c r="BC834">
        <v>1079</v>
      </c>
      <c r="BD834" t="s">
        <v>74</v>
      </c>
      <c r="BE834" t="s">
        <v>15829</v>
      </c>
      <c r="BF834" t="str">
        <f>HYPERLINK("http://dx.doi.org/10.1002/ppp3.10612","http://dx.doi.org/10.1002/ppp3.10612")</f>
        <v>http://dx.doi.org/10.1002/ppp3.10612</v>
      </c>
      <c r="BG834" t="s">
        <v>74</v>
      </c>
      <c r="BH834" t="s">
        <v>1594</v>
      </c>
      <c r="BI834">
        <v>10</v>
      </c>
      <c r="BJ834" t="s">
        <v>15830</v>
      </c>
      <c r="BK834" t="s">
        <v>102</v>
      </c>
      <c r="BL834" t="s">
        <v>15831</v>
      </c>
      <c r="BM834" t="s">
        <v>15832</v>
      </c>
      <c r="BN834" t="s">
        <v>74</v>
      </c>
      <c r="BO834" t="s">
        <v>161</v>
      </c>
      <c r="BP834" t="s">
        <v>74</v>
      </c>
      <c r="BQ834" t="s">
        <v>74</v>
      </c>
      <c r="BR834" t="s">
        <v>106</v>
      </c>
      <c r="BS834" t="s">
        <v>15833</v>
      </c>
      <c r="BT834" t="str">
        <f>HYPERLINK("https%3A%2F%2Fwww.webofscience.com%2Fwos%2Fwoscc%2Ffull-record%2FWOS:001362418700001","View Full Record in Web of Science")</f>
        <v>View Full Record in Web of Science</v>
      </c>
    </row>
    <row r="835" spans="1:72" x14ac:dyDescent="0.2">
      <c r="A835" t="s">
        <v>72</v>
      </c>
      <c r="B835" t="s">
        <v>15834</v>
      </c>
      <c r="C835" t="s">
        <v>74</v>
      </c>
      <c r="D835" t="s">
        <v>74</v>
      </c>
      <c r="E835" t="s">
        <v>74</v>
      </c>
      <c r="F835" t="s">
        <v>15835</v>
      </c>
      <c r="G835" t="s">
        <v>74</v>
      </c>
      <c r="H835" t="s">
        <v>74</v>
      </c>
      <c r="I835" t="s">
        <v>15836</v>
      </c>
      <c r="J835" t="s">
        <v>1526</v>
      </c>
      <c r="K835" t="s">
        <v>74</v>
      </c>
      <c r="L835" t="s">
        <v>74</v>
      </c>
      <c r="M835" t="s">
        <v>78</v>
      </c>
      <c r="N835" t="s">
        <v>79</v>
      </c>
      <c r="O835" t="s">
        <v>74</v>
      </c>
      <c r="P835" t="s">
        <v>74</v>
      </c>
      <c r="Q835" t="s">
        <v>74</v>
      </c>
      <c r="R835" t="s">
        <v>74</v>
      </c>
      <c r="S835" t="s">
        <v>74</v>
      </c>
      <c r="T835" t="s">
        <v>15837</v>
      </c>
      <c r="U835" t="s">
        <v>15838</v>
      </c>
      <c r="V835" t="s">
        <v>15839</v>
      </c>
      <c r="W835" t="s">
        <v>15840</v>
      </c>
      <c r="X835" t="s">
        <v>15841</v>
      </c>
      <c r="Y835" t="s">
        <v>15842</v>
      </c>
      <c r="Z835" t="s">
        <v>15843</v>
      </c>
      <c r="AA835" t="s">
        <v>15844</v>
      </c>
      <c r="AB835" t="s">
        <v>15845</v>
      </c>
      <c r="AC835" t="s">
        <v>15846</v>
      </c>
      <c r="AD835" t="s">
        <v>15847</v>
      </c>
      <c r="AE835" t="s">
        <v>15848</v>
      </c>
      <c r="AF835" t="s">
        <v>74</v>
      </c>
      <c r="AG835">
        <v>124</v>
      </c>
      <c r="AH835">
        <v>73</v>
      </c>
      <c r="AI835">
        <v>88</v>
      </c>
      <c r="AJ835">
        <v>13</v>
      </c>
      <c r="AK835">
        <v>348</v>
      </c>
      <c r="AL835" t="s">
        <v>176</v>
      </c>
      <c r="AM835" t="s">
        <v>177</v>
      </c>
      <c r="AN835" t="s">
        <v>178</v>
      </c>
      <c r="AO835" t="s">
        <v>1538</v>
      </c>
      <c r="AP835" t="s">
        <v>1539</v>
      </c>
      <c r="AQ835" t="s">
        <v>74</v>
      </c>
      <c r="AR835" t="s">
        <v>1540</v>
      </c>
      <c r="AS835" t="s">
        <v>1541</v>
      </c>
      <c r="AT835" t="s">
        <v>15849</v>
      </c>
      <c r="AU835">
        <v>2020</v>
      </c>
      <c r="AV835">
        <v>277</v>
      </c>
      <c r="AW835" t="s">
        <v>74</v>
      </c>
      <c r="AX835" t="s">
        <v>74</v>
      </c>
      <c r="AY835" t="s">
        <v>74</v>
      </c>
      <c r="AZ835" t="s">
        <v>74</v>
      </c>
      <c r="BA835" t="s">
        <v>74</v>
      </c>
      <c r="BB835" t="s">
        <v>74</v>
      </c>
      <c r="BC835" t="s">
        <v>74</v>
      </c>
      <c r="BD835">
        <v>124041</v>
      </c>
      <c r="BE835" t="s">
        <v>15850</v>
      </c>
      <c r="BF835" t="str">
        <f>HYPERLINK("http://dx.doi.org/10.1016/j.jclepro.2020.124041","http://dx.doi.org/10.1016/j.jclepro.2020.124041")</f>
        <v>http://dx.doi.org/10.1016/j.jclepro.2020.124041</v>
      </c>
      <c r="BG835" t="s">
        <v>74</v>
      </c>
      <c r="BH835" t="s">
        <v>74</v>
      </c>
      <c r="BI835">
        <v>13</v>
      </c>
      <c r="BJ835" t="s">
        <v>1543</v>
      </c>
      <c r="BK835" t="s">
        <v>102</v>
      </c>
      <c r="BL835" t="s">
        <v>1544</v>
      </c>
      <c r="BM835" t="s">
        <v>15851</v>
      </c>
      <c r="BN835" t="s">
        <v>74</v>
      </c>
      <c r="BO835" t="s">
        <v>74</v>
      </c>
      <c r="BP835" t="s">
        <v>74</v>
      </c>
      <c r="BQ835" t="s">
        <v>74</v>
      </c>
      <c r="BR835" t="s">
        <v>106</v>
      </c>
      <c r="BS835" t="s">
        <v>15852</v>
      </c>
      <c r="BT835" t="str">
        <f>HYPERLINK("https%3A%2F%2Fwww.webofscience.com%2Fwos%2Fwoscc%2Ffull-record%2FWOS:000586917600177","View Full Record in Web of Science")</f>
        <v>View Full Record in Web of Science</v>
      </c>
    </row>
    <row r="836" spans="1:72" x14ac:dyDescent="0.2">
      <c r="A836" t="s">
        <v>72</v>
      </c>
      <c r="B836" t="s">
        <v>15853</v>
      </c>
      <c r="C836" t="s">
        <v>74</v>
      </c>
      <c r="D836" t="s">
        <v>74</v>
      </c>
      <c r="E836" t="s">
        <v>74</v>
      </c>
      <c r="F836" t="s">
        <v>15854</v>
      </c>
      <c r="G836" t="s">
        <v>74</v>
      </c>
      <c r="H836" t="s">
        <v>74</v>
      </c>
      <c r="I836" t="s">
        <v>15855</v>
      </c>
      <c r="J836" t="s">
        <v>15856</v>
      </c>
      <c r="K836" t="s">
        <v>74</v>
      </c>
      <c r="L836" t="s">
        <v>74</v>
      </c>
      <c r="M836" t="s">
        <v>78</v>
      </c>
      <c r="N836" t="s">
        <v>79</v>
      </c>
      <c r="O836" t="s">
        <v>74</v>
      </c>
      <c r="P836" t="s">
        <v>74</v>
      </c>
      <c r="Q836" t="s">
        <v>74</v>
      </c>
      <c r="R836" t="s">
        <v>74</v>
      </c>
      <c r="S836" t="s">
        <v>74</v>
      </c>
      <c r="T836" t="s">
        <v>15857</v>
      </c>
      <c r="U836" t="s">
        <v>15858</v>
      </c>
      <c r="V836" t="s">
        <v>15859</v>
      </c>
      <c r="W836" t="s">
        <v>15860</v>
      </c>
      <c r="X836" t="s">
        <v>15861</v>
      </c>
      <c r="Y836" t="s">
        <v>15862</v>
      </c>
      <c r="Z836" t="s">
        <v>15863</v>
      </c>
      <c r="AA836" t="s">
        <v>74</v>
      </c>
      <c r="AB836" t="s">
        <v>74</v>
      </c>
      <c r="AC836" t="s">
        <v>74</v>
      </c>
      <c r="AD836" t="s">
        <v>74</v>
      </c>
      <c r="AE836" t="s">
        <v>74</v>
      </c>
      <c r="AF836" t="s">
        <v>74</v>
      </c>
      <c r="AG836">
        <v>101</v>
      </c>
      <c r="AH836">
        <v>1</v>
      </c>
      <c r="AI836">
        <v>1</v>
      </c>
      <c r="AJ836">
        <v>7</v>
      </c>
      <c r="AK836">
        <v>7</v>
      </c>
      <c r="AL836" t="s">
        <v>176</v>
      </c>
      <c r="AM836" t="s">
        <v>1610</v>
      </c>
      <c r="AN836" t="s">
        <v>1611</v>
      </c>
      <c r="AO836" t="s">
        <v>15864</v>
      </c>
      <c r="AP836" t="s">
        <v>15865</v>
      </c>
      <c r="AQ836" t="s">
        <v>74</v>
      </c>
      <c r="AR836" t="s">
        <v>15866</v>
      </c>
      <c r="AS836" t="s">
        <v>15867</v>
      </c>
      <c r="AT836" t="s">
        <v>2017</v>
      </c>
      <c r="AU836">
        <v>2025</v>
      </c>
      <c r="AV836">
        <v>13</v>
      </c>
      <c r="AW836">
        <v>5</v>
      </c>
      <c r="AX836" t="s">
        <v>74</v>
      </c>
      <c r="AY836" t="s">
        <v>74</v>
      </c>
      <c r="AZ836" t="s">
        <v>74</v>
      </c>
      <c r="BA836" t="s">
        <v>74</v>
      </c>
      <c r="BB836" t="s">
        <v>74</v>
      </c>
      <c r="BC836" t="s">
        <v>74</v>
      </c>
      <c r="BD836">
        <v>118880</v>
      </c>
      <c r="BE836" t="s">
        <v>15868</v>
      </c>
      <c r="BF836" t="str">
        <f>HYPERLINK("http://dx.doi.org/10.1016/j.jece.2025.118880","http://dx.doi.org/10.1016/j.jece.2025.118880")</f>
        <v>http://dx.doi.org/10.1016/j.jece.2025.118880</v>
      </c>
      <c r="BG836" t="s">
        <v>74</v>
      </c>
      <c r="BH836" t="s">
        <v>513</v>
      </c>
      <c r="BI836">
        <v>14</v>
      </c>
      <c r="BJ836" t="s">
        <v>3590</v>
      </c>
      <c r="BK836" t="s">
        <v>102</v>
      </c>
      <c r="BL836" t="s">
        <v>2743</v>
      </c>
      <c r="BM836" t="s">
        <v>15869</v>
      </c>
      <c r="BN836" t="s">
        <v>74</v>
      </c>
      <c r="BO836" t="s">
        <v>74</v>
      </c>
      <c r="BP836" t="s">
        <v>74</v>
      </c>
      <c r="BQ836" t="s">
        <v>74</v>
      </c>
      <c r="BR836" t="s">
        <v>106</v>
      </c>
      <c r="BS836" t="s">
        <v>15870</v>
      </c>
      <c r="BT836" t="str">
        <f>HYPERLINK("https%3A%2F%2Fwww.webofscience.com%2Fwos%2Fwoscc%2Ffull-record%2FWOS:001565681300012","View Full Record in Web of Science")</f>
        <v>View Full Record in Web of Science</v>
      </c>
    </row>
    <row r="837" spans="1:72" x14ac:dyDescent="0.2">
      <c r="A837" t="s">
        <v>72</v>
      </c>
      <c r="B837" t="s">
        <v>15871</v>
      </c>
      <c r="C837" t="s">
        <v>74</v>
      </c>
      <c r="D837" t="s">
        <v>74</v>
      </c>
      <c r="E837" t="s">
        <v>74</v>
      </c>
      <c r="F837" t="s">
        <v>15872</v>
      </c>
      <c r="G837" t="s">
        <v>74</v>
      </c>
      <c r="H837" t="s">
        <v>74</v>
      </c>
      <c r="I837" t="s">
        <v>15873</v>
      </c>
      <c r="J837" t="s">
        <v>2647</v>
      </c>
      <c r="K837" t="s">
        <v>74</v>
      </c>
      <c r="L837" t="s">
        <v>74</v>
      </c>
      <c r="M837" t="s">
        <v>78</v>
      </c>
      <c r="N837" t="s">
        <v>79</v>
      </c>
      <c r="O837" t="s">
        <v>74</v>
      </c>
      <c r="P837" t="s">
        <v>74</v>
      </c>
      <c r="Q837" t="s">
        <v>74</v>
      </c>
      <c r="R837" t="s">
        <v>74</v>
      </c>
      <c r="S837" t="s">
        <v>74</v>
      </c>
      <c r="T837" t="s">
        <v>15874</v>
      </c>
      <c r="U837" t="s">
        <v>15875</v>
      </c>
      <c r="V837" t="s">
        <v>15876</v>
      </c>
      <c r="W837" t="s">
        <v>15877</v>
      </c>
      <c r="X837" t="s">
        <v>15878</v>
      </c>
      <c r="Y837" t="s">
        <v>15879</v>
      </c>
      <c r="Z837" t="s">
        <v>15880</v>
      </c>
      <c r="AA837" t="s">
        <v>15881</v>
      </c>
      <c r="AB837" t="s">
        <v>74</v>
      </c>
      <c r="AC837" t="s">
        <v>15882</v>
      </c>
      <c r="AD837" t="s">
        <v>15883</v>
      </c>
      <c r="AE837" t="s">
        <v>15884</v>
      </c>
      <c r="AF837" t="s">
        <v>74</v>
      </c>
      <c r="AG837">
        <v>54</v>
      </c>
      <c r="AH837">
        <v>12</v>
      </c>
      <c r="AI837">
        <v>14</v>
      </c>
      <c r="AJ837">
        <v>19</v>
      </c>
      <c r="AK837">
        <v>155</v>
      </c>
      <c r="AL837" t="s">
        <v>123</v>
      </c>
      <c r="AM837" t="s">
        <v>124</v>
      </c>
      <c r="AN837" t="s">
        <v>125</v>
      </c>
      <c r="AO837" t="s">
        <v>2660</v>
      </c>
      <c r="AP837" t="s">
        <v>2661</v>
      </c>
      <c r="AQ837" t="s">
        <v>74</v>
      </c>
      <c r="AR837" t="s">
        <v>2662</v>
      </c>
      <c r="AS837" t="s">
        <v>2663</v>
      </c>
      <c r="AT837" t="s">
        <v>15885</v>
      </c>
      <c r="AU837">
        <v>2022</v>
      </c>
      <c r="AV837">
        <v>262</v>
      </c>
      <c r="AW837" t="s">
        <v>74</v>
      </c>
      <c r="AX837" t="s">
        <v>74</v>
      </c>
      <c r="AY837" t="s">
        <v>74</v>
      </c>
      <c r="AZ837" t="s">
        <v>74</v>
      </c>
      <c r="BA837" t="s">
        <v>74</v>
      </c>
      <c r="BB837" t="s">
        <v>74</v>
      </c>
      <c r="BC837" t="s">
        <v>74</v>
      </c>
      <c r="BD837">
        <v>107403</v>
      </c>
      <c r="BE837" t="s">
        <v>15886</v>
      </c>
      <c r="BF837" t="str">
        <f>HYPERLINK("http://dx.doi.org/10.1016/j.agwat.2021.107403","http://dx.doi.org/10.1016/j.agwat.2021.107403")</f>
        <v>http://dx.doi.org/10.1016/j.agwat.2021.107403</v>
      </c>
      <c r="BG837" t="s">
        <v>74</v>
      </c>
      <c r="BH837" t="s">
        <v>74</v>
      </c>
      <c r="BI837">
        <v>13</v>
      </c>
      <c r="BJ837" t="s">
        <v>2665</v>
      </c>
      <c r="BK837" t="s">
        <v>102</v>
      </c>
      <c r="BL837" t="s">
        <v>2666</v>
      </c>
      <c r="BM837" t="s">
        <v>15887</v>
      </c>
      <c r="BN837" t="s">
        <v>74</v>
      </c>
      <c r="BO837" t="s">
        <v>74</v>
      </c>
      <c r="BP837" t="s">
        <v>74</v>
      </c>
      <c r="BQ837" t="s">
        <v>74</v>
      </c>
      <c r="BR837" t="s">
        <v>106</v>
      </c>
      <c r="BS837" t="s">
        <v>15888</v>
      </c>
      <c r="BT837" t="str">
        <f>HYPERLINK("https%3A%2F%2Fwww.webofscience.com%2Fwos%2Fwoscc%2Ffull-record%2FWOS:000788796200001","View Full Record in Web of Science")</f>
        <v>View Full Record in Web of Science</v>
      </c>
    </row>
    <row r="838" spans="1:72" x14ac:dyDescent="0.2">
      <c r="A838" t="s">
        <v>72</v>
      </c>
      <c r="B838" t="s">
        <v>15889</v>
      </c>
      <c r="C838" t="s">
        <v>74</v>
      </c>
      <c r="D838" t="s">
        <v>74</v>
      </c>
      <c r="E838" t="s">
        <v>74</v>
      </c>
      <c r="F838" t="s">
        <v>15890</v>
      </c>
      <c r="G838" t="s">
        <v>74</v>
      </c>
      <c r="H838" t="s">
        <v>74</v>
      </c>
      <c r="I838" t="s">
        <v>15891</v>
      </c>
      <c r="J838" t="s">
        <v>15892</v>
      </c>
      <c r="K838" t="s">
        <v>74</v>
      </c>
      <c r="L838" t="s">
        <v>74</v>
      </c>
      <c r="M838" t="s">
        <v>78</v>
      </c>
      <c r="N838" t="s">
        <v>79</v>
      </c>
      <c r="O838" t="s">
        <v>74</v>
      </c>
      <c r="P838" t="s">
        <v>74</v>
      </c>
      <c r="Q838" t="s">
        <v>74</v>
      </c>
      <c r="R838" t="s">
        <v>74</v>
      </c>
      <c r="S838" t="s">
        <v>74</v>
      </c>
      <c r="T838" t="s">
        <v>15893</v>
      </c>
      <c r="U838" t="s">
        <v>15894</v>
      </c>
      <c r="V838" t="s">
        <v>15895</v>
      </c>
      <c r="W838" t="s">
        <v>15896</v>
      </c>
      <c r="X838" t="s">
        <v>15897</v>
      </c>
      <c r="Y838" t="s">
        <v>15898</v>
      </c>
      <c r="Z838" t="s">
        <v>15899</v>
      </c>
      <c r="AA838" t="s">
        <v>15900</v>
      </c>
      <c r="AB838" t="s">
        <v>74</v>
      </c>
      <c r="AC838" t="s">
        <v>15901</v>
      </c>
      <c r="AD838" t="s">
        <v>15902</v>
      </c>
      <c r="AE838" t="s">
        <v>15903</v>
      </c>
      <c r="AF838" t="s">
        <v>74</v>
      </c>
      <c r="AG838">
        <v>56</v>
      </c>
      <c r="AH838">
        <v>5</v>
      </c>
      <c r="AI838">
        <v>6</v>
      </c>
      <c r="AJ838">
        <v>1</v>
      </c>
      <c r="AK838">
        <v>6</v>
      </c>
      <c r="AL838" t="s">
        <v>123</v>
      </c>
      <c r="AM838" t="s">
        <v>124</v>
      </c>
      <c r="AN838" t="s">
        <v>125</v>
      </c>
      <c r="AO838" t="s">
        <v>15904</v>
      </c>
      <c r="AP838" t="s">
        <v>15905</v>
      </c>
      <c r="AQ838" t="s">
        <v>74</v>
      </c>
      <c r="AR838" t="s">
        <v>15906</v>
      </c>
      <c r="AS838" t="s">
        <v>15907</v>
      </c>
      <c r="AT838" t="s">
        <v>1109</v>
      </c>
      <c r="AU838">
        <v>2024</v>
      </c>
      <c r="AV838">
        <v>170</v>
      </c>
      <c r="AW838" t="s">
        <v>74</v>
      </c>
      <c r="AX838">
        <v>3</v>
      </c>
      <c r="AY838" t="s">
        <v>74</v>
      </c>
      <c r="AZ838" t="s">
        <v>74</v>
      </c>
      <c r="BA838" t="s">
        <v>74</v>
      </c>
      <c r="BB838" t="s">
        <v>74</v>
      </c>
      <c r="BC838" t="s">
        <v>74</v>
      </c>
      <c r="BD838">
        <v>113357</v>
      </c>
      <c r="BE838" t="s">
        <v>15908</v>
      </c>
      <c r="BF838" t="str">
        <f>HYPERLINK("http://dx.doi.org/10.1016/j.inoche.2024.113357","http://dx.doi.org/10.1016/j.inoche.2024.113357")</f>
        <v>http://dx.doi.org/10.1016/j.inoche.2024.113357</v>
      </c>
      <c r="BG838" t="s">
        <v>74</v>
      </c>
      <c r="BH838" t="s">
        <v>3407</v>
      </c>
      <c r="BI838">
        <v>13</v>
      </c>
      <c r="BJ838" t="s">
        <v>15909</v>
      </c>
      <c r="BK838" t="s">
        <v>102</v>
      </c>
      <c r="BL838" t="s">
        <v>2499</v>
      </c>
      <c r="BM838" t="s">
        <v>15910</v>
      </c>
      <c r="BN838" t="s">
        <v>74</v>
      </c>
      <c r="BO838" t="s">
        <v>74</v>
      </c>
      <c r="BP838" t="s">
        <v>74</v>
      </c>
      <c r="BQ838" t="s">
        <v>74</v>
      </c>
      <c r="BR838" t="s">
        <v>106</v>
      </c>
      <c r="BS838" t="s">
        <v>15911</v>
      </c>
      <c r="BT838" t="str">
        <f>HYPERLINK("https%3A%2F%2Fwww.webofscience.com%2Fwos%2Fwoscc%2Ffull-record%2FWOS:001348711100001","View Full Record in Web of Science")</f>
        <v>View Full Record in Web of Science</v>
      </c>
    </row>
    <row r="839" spans="1:72" x14ac:dyDescent="0.2">
      <c r="A839" t="s">
        <v>72</v>
      </c>
      <c r="B839" t="s">
        <v>15912</v>
      </c>
      <c r="C839" t="s">
        <v>74</v>
      </c>
      <c r="D839" t="s">
        <v>74</v>
      </c>
      <c r="E839" t="s">
        <v>74</v>
      </c>
      <c r="F839" t="s">
        <v>15913</v>
      </c>
      <c r="G839" t="s">
        <v>74</v>
      </c>
      <c r="H839" t="s">
        <v>74</v>
      </c>
      <c r="I839" t="s">
        <v>15914</v>
      </c>
      <c r="J839" t="s">
        <v>995</v>
      </c>
      <c r="K839" t="s">
        <v>74</v>
      </c>
      <c r="L839" t="s">
        <v>74</v>
      </c>
      <c r="M839" t="s">
        <v>78</v>
      </c>
      <c r="N839" t="s">
        <v>79</v>
      </c>
      <c r="O839" t="s">
        <v>74</v>
      </c>
      <c r="P839" t="s">
        <v>74</v>
      </c>
      <c r="Q839" t="s">
        <v>74</v>
      </c>
      <c r="R839" t="s">
        <v>74</v>
      </c>
      <c r="S839" t="s">
        <v>74</v>
      </c>
      <c r="T839" t="s">
        <v>15915</v>
      </c>
      <c r="U839" t="s">
        <v>15916</v>
      </c>
      <c r="V839" t="s">
        <v>15917</v>
      </c>
      <c r="W839" t="s">
        <v>15918</v>
      </c>
      <c r="X839" t="s">
        <v>15919</v>
      </c>
      <c r="Y839" t="s">
        <v>15920</v>
      </c>
      <c r="Z839" t="s">
        <v>15921</v>
      </c>
      <c r="AA839" t="s">
        <v>15922</v>
      </c>
      <c r="AB839" t="s">
        <v>15923</v>
      </c>
      <c r="AC839" t="s">
        <v>15924</v>
      </c>
      <c r="AD839" t="s">
        <v>15925</v>
      </c>
      <c r="AE839" t="s">
        <v>15926</v>
      </c>
      <c r="AF839" t="s">
        <v>74</v>
      </c>
      <c r="AG839">
        <v>82</v>
      </c>
      <c r="AH839">
        <v>44</v>
      </c>
      <c r="AI839">
        <v>48</v>
      </c>
      <c r="AJ839">
        <v>0</v>
      </c>
      <c r="AK839">
        <v>136</v>
      </c>
      <c r="AL839" t="s">
        <v>123</v>
      </c>
      <c r="AM839" t="s">
        <v>124</v>
      </c>
      <c r="AN839" t="s">
        <v>125</v>
      </c>
      <c r="AO839" t="s">
        <v>1008</v>
      </c>
      <c r="AP839" t="s">
        <v>1009</v>
      </c>
      <c r="AQ839" t="s">
        <v>74</v>
      </c>
      <c r="AR839" t="s">
        <v>1010</v>
      </c>
      <c r="AS839" t="s">
        <v>1011</v>
      </c>
      <c r="AT839" t="s">
        <v>130</v>
      </c>
      <c r="AU839">
        <v>2018</v>
      </c>
      <c r="AV839">
        <v>619</v>
      </c>
      <c r="AW839" t="s">
        <v>74</v>
      </c>
      <c r="AX839" t="s">
        <v>74</v>
      </c>
      <c r="AY839" t="s">
        <v>74</v>
      </c>
      <c r="AZ839" t="s">
        <v>74</v>
      </c>
      <c r="BA839" t="s">
        <v>74</v>
      </c>
      <c r="BB839">
        <v>18</v>
      </c>
      <c r="BC839">
        <v>27</v>
      </c>
      <c r="BD839" t="s">
        <v>74</v>
      </c>
      <c r="BE839" t="s">
        <v>15927</v>
      </c>
      <c r="BF839" t="str">
        <f>HYPERLINK("http://dx.doi.org/10.1016/j.scitotenv.2017.11.116","http://dx.doi.org/10.1016/j.scitotenv.2017.11.116")</f>
        <v>http://dx.doi.org/10.1016/j.scitotenv.2017.11.116</v>
      </c>
      <c r="BG839" t="s">
        <v>74</v>
      </c>
      <c r="BH839" t="s">
        <v>74</v>
      </c>
      <c r="BI839">
        <v>10</v>
      </c>
      <c r="BJ839" t="s">
        <v>567</v>
      </c>
      <c r="BK839" t="s">
        <v>102</v>
      </c>
      <c r="BL839" t="s">
        <v>568</v>
      </c>
      <c r="BM839" t="s">
        <v>15928</v>
      </c>
      <c r="BN839">
        <v>29136531</v>
      </c>
      <c r="BO839" t="s">
        <v>74</v>
      </c>
      <c r="BP839" t="s">
        <v>74</v>
      </c>
      <c r="BQ839" t="s">
        <v>74</v>
      </c>
      <c r="BR839" t="s">
        <v>106</v>
      </c>
      <c r="BS839" t="s">
        <v>15929</v>
      </c>
      <c r="BT839" t="str">
        <f>HYPERLINK("https%3A%2F%2Fwww.webofscience.com%2Fwos%2Fwoscc%2Ffull-record%2FWOS:000424144200003","View Full Record in Web of Science")</f>
        <v>View Full Record in Web of Science</v>
      </c>
    </row>
    <row r="840" spans="1:72" x14ac:dyDescent="0.2">
      <c r="A840" t="s">
        <v>72</v>
      </c>
      <c r="B840" t="s">
        <v>15930</v>
      </c>
      <c r="C840" t="s">
        <v>74</v>
      </c>
      <c r="D840" t="s">
        <v>74</v>
      </c>
      <c r="E840" t="s">
        <v>74</v>
      </c>
      <c r="F840" t="s">
        <v>15931</v>
      </c>
      <c r="G840" t="s">
        <v>74</v>
      </c>
      <c r="H840" t="s">
        <v>74</v>
      </c>
      <c r="I840" t="s">
        <v>15932</v>
      </c>
      <c r="J840" t="s">
        <v>2104</v>
      </c>
      <c r="K840" t="s">
        <v>74</v>
      </c>
      <c r="L840" t="s">
        <v>74</v>
      </c>
      <c r="M840" t="s">
        <v>78</v>
      </c>
      <c r="N840" t="s">
        <v>79</v>
      </c>
      <c r="O840" t="s">
        <v>74</v>
      </c>
      <c r="P840" t="s">
        <v>74</v>
      </c>
      <c r="Q840" t="s">
        <v>74</v>
      </c>
      <c r="R840" t="s">
        <v>74</v>
      </c>
      <c r="S840" t="s">
        <v>74</v>
      </c>
      <c r="T840" t="s">
        <v>15933</v>
      </c>
      <c r="U840" t="s">
        <v>15934</v>
      </c>
      <c r="V840" t="s">
        <v>15935</v>
      </c>
      <c r="W840" t="s">
        <v>15936</v>
      </c>
      <c r="X840" t="s">
        <v>15937</v>
      </c>
      <c r="Y840" t="s">
        <v>15938</v>
      </c>
      <c r="Z840" t="s">
        <v>3999</v>
      </c>
      <c r="AA840" t="s">
        <v>15939</v>
      </c>
      <c r="AB840" t="s">
        <v>15940</v>
      </c>
      <c r="AC840" t="s">
        <v>15941</v>
      </c>
      <c r="AD840" t="s">
        <v>15942</v>
      </c>
      <c r="AE840" t="s">
        <v>15943</v>
      </c>
      <c r="AF840" t="s">
        <v>74</v>
      </c>
      <c r="AG840">
        <v>44</v>
      </c>
      <c r="AH840">
        <v>55</v>
      </c>
      <c r="AI840">
        <v>71</v>
      </c>
      <c r="AJ840">
        <v>8</v>
      </c>
      <c r="AK840">
        <v>203</v>
      </c>
      <c r="AL840" t="s">
        <v>1242</v>
      </c>
      <c r="AM840" t="s">
        <v>1243</v>
      </c>
      <c r="AN840" t="s">
        <v>1244</v>
      </c>
      <c r="AO840" t="s">
        <v>2116</v>
      </c>
      <c r="AP840" t="s">
        <v>2117</v>
      </c>
      <c r="AQ840" t="s">
        <v>74</v>
      </c>
      <c r="AR840" t="s">
        <v>2118</v>
      </c>
      <c r="AS840" t="s">
        <v>2119</v>
      </c>
      <c r="AT840" t="s">
        <v>1963</v>
      </c>
      <c r="AU840">
        <v>2014</v>
      </c>
      <c r="AV840">
        <v>19</v>
      </c>
      <c r="AW840">
        <v>9</v>
      </c>
      <c r="AX840" t="s">
        <v>74</v>
      </c>
      <c r="AY840" t="s">
        <v>74</v>
      </c>
      <c r="AZ840" t="s">
        <v>74</v>
      </c>
      <c r="BA840" t="s">
        <v>74</v>
      </c>
      <c r="BB840">
        <v>1581</v>
      </c>
      <c r="BC840">
        <v>1592</v>
      </c>
      <c r="BD840" t="s">
        <v>74</v>
      </c>
      <c r="BE840" t="s">
        <v>15944</v>
      </c>
      <c r="BF840" t="str">
        <f>HYPERLINK("http://dx.doi.org/10.1007/s11367-014-0768-4","http://dx.doi.org/10.1007/s11367-014-0768-4")</f>
        <v>http://dx.doi.org/10.1007/s11367-014-0768-4</v>
      </c>
      <c r="BG840" t="s">
        <v>74</v>
      </c>
      <c r="BH840" t="s">
        <v>74</v>
      </c>
      <c r="BI840">
        <v>12</v>
      </c>
      <c r="BJ840" t="s">
        <v>340</v>
      </c>
      <c r="BK840" t="s">
        <v>102</v>
      </c>
      <c r="BL840" t="s">
        <v>341</v>
      </c>
      <c r="BM840" t="s">
        <v>15945</v>
      </c>
      <c r="BN840" t="s">
        <v>74</v>
      </c>
      <c r="BO840" t="s">
        <v>74</v>
      </c>
      <c r="BP840" t="s">
        <v>74</v>
      </c>
      <c r="BQ840" t="s">
        <v>74</v>
      </c>
      <c r="BR840" t="s">
        <v>106</v>
      </c>
      <c r="BS840" t="s">
        <v>15946</v>
      </c>
      <c r="BT840" t="str">
        <f>HYPERLINK("https%3A%2F%2Fwww.webofscience.com%2Fwos%2Fwoscc%2Ffull-record%2FWOS:000340621500002","View Full Record in Web of Science")</f>
        <v>View Full Record in Web of Science</v>
      </c>
    </row>
    <row r="841" spans="1:72" x14ac:dyDescent="0.2">
      <c r="A841" t="s">
        <v>72</v>
      </c>
      <c r="B841" t="s">
        <v>15947</v>
      </c>
      <c r="C841" t="s">
        <v>74</v>
      </c>
      <c r="D841" t="s">
        <v>74</v>
      </c>
      <c r="E841" t="s">
        <v>74</v>
      </c>
      <c r="F841" t="s">
        <v>15948</v>
      </c>
      <c r="G841" t="s">
        <v>74</v>
      </c>
      <c r="H841" t="s">
        <v>74</v>
      </c>
      <c r="I841" t="s">
        <v>15949</v>
      </c>
      <c r="J841" t="s">
        <v>995</v>
      </c>
      <c r="K841" t="s">
        <v>74</v>
      </c>
      <c r="L841" t="s">
        <v>74</v>
      </c>
      <c r="M841" t="s">
        <v>78</v>
      </c>
      <c r="N841" t="s">
        <v>79</v>
      </c>
      <c r="O841" t="s">
        <v>74</v>
      </c>
      <c r="P841" t="s">
        <v>74</v>
      </c>
      <c r="Q841" t="s">
        <v>74</v>
      </c>
      <c r="R841" t="s">
        <v>74</v>
      </c>
      <c r="S841" t="s">
        <v>74</v>
      </c>
      <c r="T841" t="s">
        <v>15950</v>
      </c>
      <c r="U841" t="s">
        <v>15951</v>
      </c>
      <c r="V841" t="s">
        <v>15952</v>
      </c>
      <c r="W841" t="s">
        <v>15953</v>
      </c>
      <c r="X841" t="s">
        <v>15954</v>
      </c>
      <c r="Y841" t="s">
        <v>15955</v>
      </c>
      <c r="Z841" t="s">
        <v>15956</v>
      </c>
      <c r="AA841" t="s">
        <v>15957</v>
      </c>
      <c r="AB841" t="s">
        <v>15958</v>
      </c>
      <c r="AC841" t="s">
        <v>15959</v>
      </c>
      <c r="AD841" t="s">
        <v>15959</v>
      </c>
      <c r="AE841" t="s">
        <v>15960</v>
      </c>
      <c r="AF841" t="s">
        <v>74</v>
      </c>
      <c r="AG841">
        <v>59</v>
      </c>
      <c r="AH841">
        <v>85</v>
      </c>
      <c r="AI841">
        <v>92</v>
      </c>
      <c r="AJ841">
        <v>2</v>
      </c>
      <c r="AK841">
        <v>110</v>
      </c>
      <c r="AL841" t="s">
        <v>123</v>
      </c>
      <c r="AM841" t="s">
        <v>124</v>
      </c>
      <c r="AN841" t="s">
        <v>125</v>
      </c>
      <c r="AO841" t="s">
        <v>1008</v>
      </c>
      <c r="AP841" t="s">
        <v>1009</v>
      </c>
      <c r="AQ841" t="s">
        <v>74</v>
      </c>
      <c r="AR841" t="s">
        <v>1010</v>
      </c>
      <c r="AS841" t="s">
        <v>1011</v>
      </c>
      <c r="AT841" t="s">
        <v>1612</v>
      </c>
      <c r="AU841">
        <v>2014</v>
      </c>
      <c r="AV841">
        <v>494</v>
      </c>
      <c r="AW841" t="s">
        <v>74</v>
      </c>
      <c r="AX841" t="s">
        <v>74</v>
      </c>
      <c r="AY841" t="s">
        <v>74</v>
      </c>
      <c r="AZ841" t="s">
        <v>74</v>
      </c>
      <c r="BA841" t="s">
        <v>74</v>
      </c>
      <c r="BB841">
        <v>119</v>
      </c>
      <c r="BC841">
        <v>128</v>
      </c>
      <c r="BD841" t="s">
        <v>74</v>
      </c>
      <c r="BE841" t="s">
        <v>15961</v>
      </c>
      <c r="BF841" t="str">
        <f>HYPERLINK("http://dx.doi.org/10.1016/j.scitotenv.2014.06.126","http://dx.doi.org/10.1016/j.scitotenv.2014.06.126")</f>
        <v>http://dx.doi.org/10.1016/j.scitotenv.2014.06.126</v>
      </c>
      <c r="BG841" t="s">
        <v>74</v>
      </c>
      <c r="BH841" t="s">
        <v>74</v>
      </c>
      <c r="BI841">
        <v>10</v>
      </c>
      <c r="BJ841" t="s">
        <v>567</v>
      </c>
      <c r="BK841" t="s">
        <v>102</v>
      </c>
      <c r="BL841" t="s">
        <v>568</v>
      </c>
      <c r="BM841" t="s">
        <v>15962</v>
      </c>
      <c r="BN841">
        <v>25038430</v>
      </c>
      <c r="BO841" t="s">
        <v>74</v>
      </c>
      <c r="BP841" t="s">
        <v>74</v>
      </c>
      <c r="BQ841" t="s">
        <v>74</v>
      </c>
      <c r="BR841" t="s">
        <v>106</v>
      </c>
      <c r="BS841" t="s">
        <v>15963</v>
      </c>
      <c r="BT841" t="str">
        <f>HYPERLINK("https%3A%2F%2Fwww.webofscience.com%2Fwos%2Fwoscc%2Ffull-record%2FWOS:000341340000014","View Full Record in Web of Science")</f>
        <v>View Full Record in Web of Science</v>
      </c>
    </row>
    <row r="842" spans="1:72" x14ac:dyDescent="0.2">
      <c r="A842" t="s">
        <v>72</v>
      </c>
      <c r="B842" t="s">
        <v>15964</v>
      </c>
      <c r="C842" t="s">
        <v>74</v>
      </c>
      <c r="D842" t="s">
        <v>74</v>
      </c>
      <c r="E842" t="s">
        <v>74</v>
      </c>
      <c r="F842" t="s">
        <v>15965</v>
      </c>
      <c r="G842" t="s">
        <v>74</v>
      </c>
      <c r="H842" t="s">
        <v>74</v>
      </c>
      <c r="I842" t="s">
        <v>15966</v>
      </c>
      <c r="J842" t="s">
        <v>995</v>
      </c>
      <c r="K842" t="s">
        <v>74</v>
      </c>
      <c r="L842" t="s">
        <v>74</v>
      </c>
      <c r="M842" t="s">
        <v>78</v>
      </c>
      <c r="N842" t="s">
        <v>79</v>
      </c>
      <c r="O842" t="s">
        <v>74</v>
      </c>
      <c r="P842" t="s">
        <v>74</v>
      </c>
      <c r="Q842" t="s">
        <v>74</v>
      </c>
      <c r="R842" t="s">
        <v>74</v>
      </c>
      <c r="S842" t="s">
        <v>74</v>
      </c>
      <c r="T842" t="s">
        <v>15967</v>
      </c>
      <c r="U842" t="s">
        <v>15968</v>
      </c>
      <c r="V842" t="s">
        <v>15969</v>
      </c>
      <c r="W842" t="s">
        <v>15970</v>
      </c>
      <c r="X842" t="s">
        <v>15971</v>
      </c>
      <c r="Y842" t="s">
        <v>15972</v>
      </c>
      <c r="Z842" t="s">
        <v>15973</v>
      </c>
      <c r="AA842" t="s">
        <v>15974</v>
      </c>
      <c r="AB842" t="s">
        <v>15975</v>
      </c>
      <c r="AC842" t="s">
        <v>15976</v>
      </c>
      <c r="AD842" t="s">
        <v>15977</v>
      </c>
      <c r="AE842" t="s">
        <v>15978</v>
      </c>
      <c r="AF842" t="s">
        <v>74</v>
      </c>
      <c r="AG842">
        <v>79</v>
      </c>
      <c r="AH842">
        <v>89</v>
      </c>
      <c r="AI842">
        <v>98</v>
      </c>
      <c r="AJ842">
        <v>6</v>
      </c>
      <c r="AK842">
        <v>138</v>
      </c>
      <c r="AL842" t="s">
        <v>123</v>
      </c>
      <c r="AM842" t="s">
        <v>124</v>
      </c>
      <c r="AN842" t="s">
        <v>125</v>
      </c>
      <c r="AO842" t="s">
        <v>1008</v>
      </c>
      <c r="AP842" t="s">
        <v>1009</v>
      </c>
      <c r="AQ842" t="s">
        <v>74</v>
      </c>
      <c r="AR842" t="s">
        <v>1010</v>
      </c>
      <c r="AS842" t="s">
        <v>1011</v>
      </c>
      <c r="AT842" t="s">
        <v>1632</v>
      </c>
      <c r="AU842">
        <v>2017</v>
      </c>
      <c r="AV842">
        <v>575</v>
      </c>
      <c r="AW842" t="s">
        <v>74</v>
      </c>
      <c r="AX842" t="s">
        <v>74</v>
      </c>
      <c r="AY842" t="s">
        <v>74</v>
      </c>
      <c r="AZ842" t="s">
        <v>74</v>
      </c>
      <c r="BA842" t="s">
        <v>74</v>
      </c>
      <c r="BB842">
        <v>1056</v>
      </c>
      <c r="BC842">
        <v>1065</v>
      </c>
      <c r="BD842" t="s">
        <v>74</v>
      </c>
      <c r="BE842" t="s">
        <v>15979</v>
      </c>
      <c r="BF842" t="str">
        <f>HYPERLINK("http://dx.doi.org/10.1016/j.scitotenv.2016.09.175","http://dx.doi.org/10.1016/j.scitotenv.2016.09.175")</f>
        <v>http://dx.doi.org/10.1016/j.scitotenv.2016.09.175</v>
      </c>
      <c r="BG842" t="s">
        <v>74</v>
      </c>
      <c r="BH842" t="s">
        <v>74</v>
      </c>
      <c r="BI842">
        <v>10</v>
      </c>
      <c r="BJ842" t="s">
        <v>567</v>
      </c>
      <c r="BK842" t="s">
        <v>102</v>
      </c>
      <c r="BL842" t="s">
        <v>568</v>
      </c>
      <c r="BM842" t="s">
        <v>15980</v>
      </c>
      <c r="BN842">
        <v>27693151</v>
      </c>
      <c r="BO842" t="s">
        <v>3889</v>
      </c>
      <c r="BP842" t="s">
        <v>74</v>
      </c>
      <c r="BQ842" t="s">
        <v>74</v>
      </c>
      <c r="BR842" t="s">
        <v>106</v>
      </c>
      <c r="BS842" t="s">
        <v>15981</v>
      </c>
      <c r="BT842" t="str">
        <f>HYPERLINK("https%3A%2F%2Fwww.webofscience.com%2Fwos%2Fwoscc%2Ffull-record%2FWOS:000390373400106","View Full Record in Web of Science")</f>
        <v>View Full Record in Web of Science</v>
      </c>
    </row>
    <row r="843" spans="1:72" x14ac:dyDescent="0.2">
      <c r="A843" t="s">
        <v>72</v>
      </c>
      <c r="B843" t="s">
        <v>15982</v>
      </c>
      <c r="C843" t="s">
        <v>74</v>
      </c>
      <c r="D843" t="s">
        <v>74</v>
      </c>
      <c r="E843" t="s">
        <v>74</v>
      </c>
      <c r="F843" t="s">
        <v>15983</v>
      </c>
      <c r="G843" t="s">
        <v>74</v>
      </c>
      <c r="H843" t="s">
        <v>74</v>
      </c>
      <c r="I843" t="s">
        <v>15984</v>
      </c>
      <c r="J843" t="s">
        <v>1526</v>
      </c>
      <c r="K843" t="s">
        <v>74</v>
      </c>
      <c r="L843" t="s">
        <v>74</v>
      </c>
      <c r="M843" t="s">
        <v>78</v>
      </c>
      <c r="N843" t="s">
        <v>79</v>
      </c>
      <c r="O843" t="s">
        <v>74</v>
      </c>
      <c r="P843" t="s">
        <v>74</v>
      </c>
      <c r="Q843" t="s">
        <v>74</v>
      </c>
      <c r="R843" t="s">
        <v>74</v>
      </c>
      <c r="S843" t="s">
        <v>74</v>
      </c>
      <c r="T843" t="s">
        <v>15985</v>
      </c>
      <c r="U843" t="s">
        <v>15986</v>
      </c>
      <c r="V843" t="s">
        <v>15987</v>
      </c>
      <c r="W843" t="s">
        <v>15988</v>
      </c>
      <c r="X843" t="s">
        <v>1456</v>
      </c>
      <c r="Y843" t="s">
        <v>15989</v>
      </c>
      <c r="Z843" t="s">
        <v>15990</v>
      </c>
      <c r="AA843" t="s">
        <v>15991</v>
      </c>
      <c r="AB843" t="s">
        <v>15992</v>
      </c>
      <c r="AC843" t="s">
        <v>15993</v>
      </c>
      <c r="AD843" t="s">
        <v>15994</v>
      </c>
      <c r="AE843" t="s">
        <v>15995</v>
      </c>
      <c r="AF843" t="s">
        <v>74</v>
      </c>
      <c r="AG843">
        <v>94</v>
      </c>
      <c r="AH843">
        <v>52</v>
      </c>
      <c r="AI843">
        <v>58</v>
      </c>
      <c r="AJ843">
        <v>10</v>
      </c>
      <c r="AK843">
        <v>216</v>
      </c>
      <c r="AL843" t="s">
        <v>176</v>
      </c>
      <c r="AM843" t="s">
        <v>1610</v>
      </c>
      <c r="AN843" t="s">
        <v>1611</v>
      </c>
      <c r="AO843" t="s">
        <v>1538</v>
      </c>
      <c r="AP843" t="s">
        <v>1539</v>
      </c>
      <c r="AQ843" t="s">
        <v>74</v>
      </c>
      <c r="AR843" t="s">
        <v>1540</v>
      </c>
      <c r="AS843" t="s">
        <v>1541</v>
      </c>
      <c r="AT843" t="s">
        <v>130</v>
      </c>
      <c r="AU843">
        <v>2021</v>
      </c>
      <c r="AV843">
        <v>291</v>
      </c>
      <c r="AW843" t="s">
        <v>74</v>
      </c>
      <c r="AX843" t="s">
        <v>74</v>
      </c>
      <c r="AY843" t="s">
        <v>74</v>
      </c>
      <c r="AZ843" t="s">
        <v>74</v>
      </c>
      <c r="BA843" t="s">
        <v>74</v>
      </c>
      <c r="BB843" t="s">
        <v>74</v>
      </c>
      <c r="BC843" t="s">
        <v>74</v>
      </c>
      <c r="BD843">
        <v>125964</v>
      </c>
      <c r="BE843" t="s">
        <v>15996</v>
      </c>
      <c r="BF843" t="str">
        <f>HYPERLINK("http://dx.doi.org/10.1016/j.jclepro.2021.125964","http://dx.doi.org/10.1016/j.jclepro.2021.125964")</f>
        <v>http://dx.doi.org/10.1016/j.jclepro.2021.125964</v>
      </c>
      <c r="BG843" t="s">
        <v>74</v>
      </c>
      <c r="BH843" t="s">
        <v>9918</v>
      </c>
      <c r="BI843">
        <v>13</v>
      </c>
      <c r="BJ843" t="s">
        <v>1543</v>
      </c>
      <c r="BK843" t="s">
        <v>102</v>
      </c>
      <c r="BL843" t="s">
        <v>1544</v>
      </c>
      <c r="BM843" t="s">
        <v>15997</v>
      </c>
      <c r="BN843" t="s">
        <v>74</v>
      </c>
      <c r="BO843" t="s">
        <v>74</v>
      </c>
      <c r="BP843" t="s">
        <v>74</v>
      </c>
      <c r="BQ843" t="s">
        <v>74</v>
      </c>
      <c r="BR843" t="s">
        <v>106</v>
      </c>
      <c r="BS843" t="s">
        <v>15998</v>
      </c>
      <c r="BT843" t="str">
        <f>HYPERLINK("https%3A%2F%2Fwww.webofscience.com%2Fwos%2Fwoscc%2Ffull-record%2FWOS:000626565900013","View Full Record in Web of Science")</f>
        <v>View Full Record in Web of Science</v>
      </c>
    </row>
    <row r="844" spans="1:72" x14ac:dyDescent="0.2">
      <c r="A844" t="s">
        <v>72</v>
      </c>
      <c r="B844" t="s">
        <v>15999</v>
      </c>
      <c r="C844" t="s">
        <v>74</v>
      </c>
      <c r="D844" t="s">
        <v>74</v>
      </c>
      <c r="E844" t="s">
        <v>74</v>
      </c>
      <c r="F844" t="s">
        <v>16000</v>
      </c>
      <c r="G844" t="s">
        <v>74</v>
      </c>
      <c r="H844" t="s">
        <v>74</v>
      </c>
      <c r="I844" t="s">
        <v>16001</v>
      </c>
      <c r="J844" t="s">
        <v>16002</v>
      </c>
      <c r="K844" t="s">
        <v>74</v>
      </c>
      <c r="L844" t="s">
        <v>74</v>
      </c>
      <c r="M844" t="s">
        <v>78</v>
      </c>
      <c r="N844" t="s">
        <v>79</v>
      </c>
      <c r="O844" t="s">
        <v>74</v>
      </c>
      <c r="P844" t="s">
        <v>74</v>
      </c>
      <c r="Q844" t="s">
        <v>74</v>
      </c>
      <c r="R844" t="s">
        <v>74</v>
      </c>
      <c r="S844" t="s">
        <v>74</v>
      </c>
      <c r="T844" t="s">
        <v>16003</v>
      </c>
      <c r="U844" t="s">
        <v>16004</v>
      </c>
      <c r="V844" t="s">
        <v>16005</v>
      </c>
      <c r="W844" t="s">
        <v>16006</v>
      </c>
      <c r="X844" t="s">
        <v>74</v>
      </c>
      <c r="Y844" t="s">
        <v>16007</v>
      </c>
      <c r="Z844" t="s">
        <v>16008</v>
      </c>
      <c r="AA844" t="s">
        <v>16009</v>
      </c>
      <c r="AB844" t="s">
        <v>16010</v>
      </c>
      <c r="AC844" t="s">
        <v>74</v>
      </c>
      <c r="AD844" t="s">
        <v>74</v>
      </c>
      <c r="AE844" t="s">
        <v>74</v>
      </c>
      <c r="AF844" t="s">
        <v>74</v>
      </c>
      <c r="AG844">
        <v>63</v>
      </c>
      <c r="AH844">
        <v>6</v>
      </c>
      <c r="AI844">
        <v>6</v>
      </c>
      <c r="AJ844">
        <v>15</v>
      </c>
      <c r="AK844">
        <v>30</v>
      </c>
      <c r="AL844" t="s">
        <v>176</v>
      </c>
      <c r="AM844" t="s">
        <v>1610</v>
      </c>
      <c r="AN844" t="s">
        <v>1611</v>
      </c>
      <c r="AO844" t="s">
        <v>16011</v>
      </c>
      <c r="AP844" t="s">
        <v>16012</v>
      </c>
      <c r="AQ844" t="s">
        <v>74</v>
      </c>
      <c r="AR844" t="s">
        <v>16013</v>
      </c>
      <c r="AS844" t="s">
        <v>16014</v>
      </c>
      <c r="AT844" t="s">
        <v>1963</v>
      </c>
      <c r="AU844">
        <v>2025</v>
      </c>
      <c r="AV844">
        <v>397</v>
      </c>
      <c r="AW844" t="s">
        <v>74</v>
      </c>
      <c r="AX844" t="s">
        <v>74</v>
      </c>
      <c r="AY844" t="s">
        <v>74</v>
      </c>
      <c r="AZ844" t="s">
        <v>74</v>
      </c>
      <c r="BA844" t="s">
        <v>74</v>
      </c>
      <c r="BB844" t="s">
        <v>74</v>
      </c>
      <c r="BC844" t="s">
        <v>74</v>
      </c>
      <c r="BD844">
        <v>112575</v>
      </c>
      <c r="BE844" t="s">
        <v>16015</v>
      </c>
      <c r="BF844" t="str">
        <f>HYPERLINK("http://dx.doi.org/10.1016/j.jfoodeng.2025.112575","http://dx.doi.org/10.1016/j.jfoodeng.2025.112575")</f>
        <v>http://dx.doi.org/10.1016/j.jfoodeng.2025.112575</v>
      </c>
      <c r="BG844" t="s">
        <v>74</v>
      </c>
      <c r="BH844" t="s">
        <v>7812</v>
      </c>
      <c r="BI844">
        <v>15</v>
      </c>
      <c r="BJ844" t="s">
        <v>16016</v>
      </c>
      <c r="BK844" t="s">
        <v>102</v>
      </c>
      <c r="BL844" t="s">
        <v>16017</v>
      </c>
      <c r="BM844" t="s">
        <v>16018</v>
      </c>
      <c r="BN844" t="s">
        <v>74</v>
      </c>
      <c r="BO844" t="s">
        <v>74</v>
      </c>
      <c r="BP844" t="s">
        <v>74</v>
      </c>
      <c r="BQ844" t="s">
        <v>74</v>
      </c>
      <c r="BR844" t="s">
        <v>106</v>
      </c>
      <c r="BS844" t="s">
        <v>16019</v>
      </c>
      <c r="BT844" t="str">
        <f>HYPERLINK("https%3A%2F%2Fwww.webofscience.com%2Fwos%2Fwoscc%2Ffull-record%2FWOS:001458318100001","View Full Record in Web of Science")</f>
        <v>View Full Record in Web of Science</v>
      </c>
    </row>
    <row r="845" spans="1:72" x14ac:dyDescent="0.2">
      <c r="A845" t="s">
        <v>72</v>
      </c>
      <c r="B845" t="s">
        <v>16020</v>
      </c>
      <c r="C845" t="s">
        <v>74</v>
      </c>
      <c r="D845" t="s">
        <v>74</v>
      </c>
      <c r="E845" t="s">
        <v>74</v>
      </c>
      <c r="F845" t="s">
        <v>16021</v>
      </c>
      <c r="G845" t="s">
        <v>74</v>
      </c>
      <c r="H845" t="s">
        <v>74</v>
      </c>
      <c r="I845" t="s">
        <v>16022</v>
      </c>
      <c r="J845" t="s">
        <v>16023</v>
      </c>
      <c r="K845" t="s">
        <v>74</v>
      </c>
      <c r="L845" t="s">
        <v>74</v>
      </c>
      <c r="M845" t="s">
        <v>78</v>
      </c>
      <c r="N845" t="s">
        <v>79</v>
      </c>
      <c r="O845" t="s">
        <v>74</v>
      </c>
      <c r="P845" t="s">
        <v>74</v>
      </c>
      <c r="Q845" t="s">
        <v>74</v>
      </c>
      <c r="R845" t="s">
        <v>74</v>
      </c>
      <c r="S845" t="s">
        <v>74</v>
      </c>
      <c r="T845" t="s">
        <v>16024</v>
      </c>
      <c r="U845" t="s">
        <v>16025</v>
      </c>
      <c r="V845" t="s">
        <v>16026</v>
      </c>
      <c r="W845" t="s">
        <v>16027</v>
      </c>
      <c r="X845" t="s">
        <v>16028</v>
      </c>
      <c r="Y845" t="s">
        <v>16029</v>
      </c>
      <c r="Z845" t="s">
        <v>16030</v>
      </c>
      <c r="AA845" t="s">
        <v>16031</v>
      </c>
      <c r="AB845" t="s">
        <v>16032</v>
      </c>
      <c r="AC845" t="s">
        <v>16033</v>
      </c>
      <c r="AD845" t="s">
        <v>16033</v>
      </c>
      <c r="AE845" t="s">
        <v>16034</v>
      </c>
      <c r="AF845" t="s">
        <v>74</v>
      </c>
      <c r="AG845">
        <v>55</v>
      </c>
      <c r="AH845">
        <v>42</v>
      </c>
      <c r="AI845">
        <v>48</v>
      </c>
      <c r="AJ845">
        <v>4</v>
      </c>
      <c r="AK845">
        <v>70</v>
      </c>
      <c r="AL845" t="s">
        <v>504</v>
      </c>
      <c r="AM845" t="s">
        <v>676</v>
      </c>
      <c r="AN845" t="s">
        <v>677</v>
      </c>
      <c r="AO845" t="s">
        <v>74</v>
      </c>
      <c r="AP845" t="s">
        <v>16035</v>
      </c>
      <c r="AQ845" t="s">
        <v>74</v>
      </c>
      <c r="AR845" t="s">
        <v>16036</v>
      </c>
      <c r="AS845" t="s">
        <v>16037</v>
      </c>
      <c r="AT845" t="s">
        <v>1109</v>
      </c>
      <c r="AU845">
        <v>2019</v>
      </c>
      <c r="AV845">
        <v>8</v>
      </c>
      <c r="AW845">
        <v>1</v>
      </c>
      <c r="AX845" t="s">
        <v>74</v>
      </c>
      <c r="AY845" t="s">
        <v>74</v>
      </c>
      <c r="AZ845" t="s">
        <v>74</v>
      </c>
      <c r="BA845" t="s">
        <v>74</v>
      </c>
      <c r="BB845" t="s">
        <v>74</v>
      </c>
      <c r="BC845" t="s">
        <v>74</v>
      </c>
      <c r="BD845">
        <v>42</v>
      </c>
      <c r="BE845" t="s">
        <v>16038</v>
      </c>
      <c r="BF845" t="str">
        <f>HYPERLINK("http://dx.doi.org/10.1186/s13717-019-0193-5","http://dx.doi.org/10.1186/s13717-019-0193-5")</f>
        <v>http://dx.doi.org/10.1186/s13717-019-0193-5</v>
      </c>
      <c r="BG845" t="s">
        <v>74</v>
      </c>
      <c r="BH845" t="s">
        <v>74</v>
      </c>
      <c r="BI845">
        <v>17</v>
      </c>
      <c r="BJ845" t="s">
        <v>5870</v>
      </c>
      <c r="BK845" t="s">
        <v>102</v>
      </c>
      <c r="BL845" t="s">
        <v>568</v>
      </c>
      <c r="BM845" t="s">
        <v>16039</v>
      </c>
      <c r="BN845" t="s">
        <v>74</v>
      </c>
      <c r="BO845" t="s">
        <v>231</v>
      </c>
      <c r="BP845" t="s">
        <v>74</v>
      </c>
      <c r="BQ845" t="s">
        <v>74</v>
      </c>
      <c r="BR845" t="s">
        <v>106</v>
      </c>
      <c r="BS845" t="s">
        <v>16040</v>
      </c>
      <c r="BT845" t="str">
        <f>HYPERLINK("https%3A%2F%2Fwww.webofscience.com%2Fwos%2Fwoscc%2Ffull-record%2FWOS:000494818200001","View Full Record in Web of Science")</f>
        <v>View Full Record in Web of Science</v>
      </c>
    </row>
    <row r="846" spans="1:72" x14ac:dyDescent="0.2">
      <c r="A846" t="s">
        <v>72</v>
      </c>
      <c r="B846" t="s">
        <v>16041</v>
      </c>
      <c r="C846" t="s">
        <v>74</v>
      </c>
      <c r="D846" t="s">
        <v>74</v>
      </c>
      <c r="E846" t="s">
        <v>74</v>
      </c>
      <c r="F846" t="s">
        <v>16042</v>
      </c>
      <c r="G846" t="s">
        <v>74</v>
      </c>
      <c r="H846" t="s">
        <v>74</v>
      </c>
      <c r="I846" t="s">
        <v>16043</v>
      </c>
      <c r="J846" t="s">
        <v>1231</v>
      </c>
      <c r="K846" t="s">
        <v>74</v>
      </c>
      <c r="L846" t="s">
        <v>74</v>
      </c>
      <c r="M846" t="s">
        <v>78</v>
      </c>
      <c r="N846" t="s">
        <v>79</v>
      </c>
      <c r="O846" t="s">
        <v>74</v>
      </c>
      <c r="P846" t="s">
        <v>74</v>
      </c>
      <c r="Q846" t="s">
        <v>74</v>
      </c>
      <c r="R846" t="s">
        <v>74</v>
      </c>
      <c r="S846" t="s">
        <v>74</v>
      </c>
      <c r="T846" t="s">
        <v>16044</v>
      </c>
      <c r="U846" t="s">
        <v>16045</v>
      </c>
      <c r="V846" t="s">
        <v>16046</v>
      </c>
      <c r="W846" t="s">
        <v>16047</v>
      </c>
      <c r="X846" t="s">
        <v>16048</v>
      </c>
      <c r="Y846" t="s">
        <v>16049</v>
      </c>
      <c r="Z846" t="s">
        <v>16050</v>
      </c>
      <c r="AA846" t="s">
        <v>16051</v>
      </c>
      <c r="AB846" t="s">
        <v>16052</v>
      </c>
      <c r="AC846" t="s">
        <v>74</v>
      </c>
      <c r="AD846" t="s">
        <v>74</v>
      </c>
      <c r="AE846" t="s">
        <v>74</v>
      </c>
      <c r="AF846" t="s">
        <v>74</v>
      </c>
      <c r="AG846">
        <v>51</v>
      </c>
      <c r="AH846">
        <v>57</v>
      </c>
      <c r="AI846">
        <v>62</v>
      </c>
      <c r="AJ846">
        <v>1</v>
      </c>
      <c r="AK846">
        <v>26</v>
      </c>
      <c r="AL846" t="s">
        <v>1242</v>
      </c>
      <c r="AM846" t="s">
        <v>1243</v>
      </c>
      <c r="AN846" t="s">
        <v>1244</v>
      </c>
      <c r="AO846" t="s">
        <v>1245</v>
      </c>
      <c r="AP846" t="s">
        <v>1246</v>
      </c>
      <c r="AQ846" t="s">
        <v>74</v>
      </c>
      <c r="AR846" t="s">
        <v>1247</v>
      </c>
      <c r="AS846" t="s">
        <v>1248</v>
      </c>
      <c r="AT846" t="s">
        <v>459</v>
      </c>
      <c r="AU846">
        <v>2021</v>
      </c>
      <c r="AV846">
        <v>28</v>
      </c>
      <c r="AW846">
        <v>5</v>
      </c>
      <c r="AX846" t="s">
        <v>74</v>
      </c>
      <c r="AY846" t="s">
        <v>74</v>
      </c>
      <c r="AZ846" t="s">
        <v>74</v>
      </c>
      <c r="BA846" t="s">
        <v>74</v>
      </c>
      <c r="BB846">
        <v>5682</v>
      </c>
      <c r="BC846">
        <v>5692</v>
      </c>
      <c r="BD846" t="s">
        <v>74</v>
      </c>
      <c r="BE846" t="s">
        <v>16053</v>
      </c>
      <c r="BF846" t="str">
        <f>HYPERLINK("http://dx.doi.org/10.1007/s11356-020-10882-1","http://dx.doi.org/10.1007/s11356-020-10882-1")</f>
        <v>http://dx.doi.org/10.1007/s11356-020-10882-1</v>
      </c>
      <c r="BG846" t="s">
        <v>74</v>
      </c>
      <c r="BH846" t="s">
        <v>3484</v>
      </c>
      <c r="BI846">
        <v>11</v>
      </c>
      <c r="BJ846" t="s">
        <v>567</v>
      </c>
      <c r="BK846" t="s">
        <v>102</v>
      </c>
      <c r="BL846" t="s">
        <v>568</v>
      </c>
      <c r="BM846" t="s">
        <v>3485</v>
      </c>
      <c r="BN846">
        <v>32970258</v>
      </c>
      <c r="BO846" t="s">
        <v>74</v>
      </c>
      <c r="BP846" t="s">
        <v>74</v>
      </c>
      <c r="BQ846" t="s">
        <v>74</v>
      </c>
      <c r="BR846" t="s">
        <v>106</v>
      </c>
      <c r="BS846" t="s">
        <v>16054</v>
      </c>
      <c r="BT846" t="str">
        <f>HYPERLINK("https%3A%2F%2Fwww.webofscience.com%2Fwos%2Fwoscc%2Ffull-record%2FWOS:000572607400009","View Full Record in Web of Science")</f>
        <v>View Full Record in Web of Science</v>
      </c>
    </row>
    <row r="847" spans="1:72" x14ac:dyDescent="0.2">
      <c r="A847" t="s">
        <v>72</v>
      </c>
      <c r="B847" t="s">
        <v>16055</v>
      </c>
      <c r="C847" t="s">
        <v>74</v>
      </c>
      <c r="D847" t="s">
        <v>74</v>
      </c>
      <c r="E847" t="s">
        <v>74</v>
      </c>
      <c r="F847" t="s">
        <v>16056</v>
      </c>
      <c r="G847" t="s">
        <v>74</v>
      </c>
      <c r="H847" t="s">
        <v>74</v>
      </c>
      <c r="I847" t="s">
        <v>16057</v>
      </c>
      <c r="J847" t="s">
        <v>16058</v>
      </c>
      <c r="K847" t="s">
        <v>74</v>
      </c>
      <c r="L847" t="s">
        <v>74</v>
      </c>
      <c r="M847" t="s">
        <v>78</v>
      </c>
      <c r="N847" t="s">
        <v>79</v>
      </c>
      <c r="O847" t="s">
        <v>74</v>
      </c>
      <c r="P847" t="s">
        <v>74</v>
      </c>
      <c r="Q847" t="s">
        <v>74</v>
      </c>
      <c r="R847" t="s">
        <v>74</v>
      </c>
      <c r="S847" t="s">
        <v>74</v>
      </c>
      <c r="T847" t="s">
        <v>16059</v>
      </c>
      <c r="U847" t="s">
        <v>16060</v>
      </c>
      <c r="V847" t="s">
        <v>16061</v>
      </c>
      <c r="W847" t="s">
        <v>16062</v>
      </c>
      <c r="X847" t="s">
        <v>16063</v>
      </c>
      <c r="Y847" t="s">
        <v>16064</v>
      </c>
      <c r="Z847" t="s">
        <v>16065</v>
      </c>
      <c r="AA847" t="s">
        <v>74</v>
      </c>
      <c r="AB847" t="s">
        <v>74</v>
      </c>
      <c r="AC847" t="s">
        <v>74</v>
      </c>
      <c r="AD847" t="s">
        <v>74</v>
      </c>
      <c r="AE847" t="s">
        <v>74</v>
      </c>
      <c r="AF847" t="s">
        <v>74</v>
      </c>
      <c r="AG847">
        <v>48</v>
      </c>
      <c r="AH847">
        <v>0</v>
      </c>
      <c r="AI847">
        <v>2</v>
      </c>
      <c r="AJ847">
        <v>0</v>
      </c>
      <c r="AK847">
        <v>9</v>
      </c>
      <c r="AL847" t="s">
        <v>123</v>
      </c>
      <c r="AM847" t="s">
        <v>124</v>
      </c>
      <c r="AN847" t="s">
        <v>125</v>
      </c>
      <c r="AO847" t="s">
        <v>16066</v>
      </c>
      <c r="AP847" t="s">
        <v>16067</v>
      </c>
      <c r="AQ847" t="s">
        <v>74</v>
      </c>
      <c r="AR847" t="s">
        <v>16068</v>
      </c>
      <c r="AS847" t="s">
        <v>16069</v>
      </c>
      <c r="AT847" t="s">
        <v>254</v>
      </c>
      <c r="AU847">
        <v>2023</v>
      </c>
      <c r="AV847">
        <v>62</v>
      </c>
      <c r="AW847">
        <v>5</v>
      </c>
      <c r="AX847" t="s">
        <v>74</v>
      </c>
      <c r="AY847" t="s">
        <v>74</v>
      </c>
      <c r="AZ847" t="s">
        <v>74</v>
      </c>
      <c r="BA847" t="s">
        <v>74</v>
      </c>
      <c r="BB847">
        <v>443</v>
      </c>
      <c r="BC847">
        <v>451</v>
      </c>
      <c r="BD847" t="s">
        <v>74</v>
      </c>
      <c r="BE847" t="s">
        <v>16070</v>
      </c>
      <c r="BF847" t="str">
        <f>HYPERLINK("http://dx.doi.org/10.1016/j.bsecv.2022.08.001","http://dx.doi.org/10.1016/j.bsecv.2022.08.001")</f>
        <v>http://dx.doi.org/10.1016/j.bsecv.2022.08.001</v>
      </c>
      <c r="BG847" t="s">
        <v>74</v>
      </c>
      <c r="BH847" t="s">
        <v>1688</v>
      </c>
      <c r="BI847">
        <v>9</v>
      </c>
      <c r="BJ847" t="s">
        <v>16071</v>
      </c>
      <c r="BK847" t="s">
        <v>102</v>
      </c>
      <c r="BL847" t="s">
        <v>2143</v>
      </c>
      <c r="BM847" t="s">
        <v>16072</v>
      </c>
      <c r="BN847" t="s">
        <v>74</v>
      </c>
      <c r="BO847" t="s">
        <v>231</v>
      </c>
      <c r="BP847" t="s">
        <v>74</v>
      </c>
      <c r="BQ847" t="s">
        <v>74</v>
      </c>
      <c r="BR847" t="s">
        <v>106</v>
      </c>
      <c r="BS847" t="s">
        <v>16073</v>
      </c>
      <c r="BT847" t="str">
        <f>HYPERLINK("https%3A%2F%2Fwww.webofscience.com%2Fwos%2Fwoscc%2Ffull-record%2FWOS:001092769000001","View Full Record in Web of Science")</f>
        <v>View Full Record in Web of Science</v>
      </c>
    </row>
    <row r="848" spans="1:72" x14ac:dyDescent="0.2">
      <c r="A848" t="s">
        <v>72</v>
      </c>
      <c r="B848" t="s">
        <v>16074</v>
      </c>
      <c r="C848" t="s">
        <v>74</v>
      </c>
      <c r="D848" t="s">
        <v>74</v>
      </c>
      <c r="E848" t="s">
        <v>74</v>
      </c>
      <c r="F848" t="s">
        <v>16075</v>
      </c>
      <c r="G848" t="s">
        <v>74</v>
      </c>
      <c r="H848" t="s">
        <v>74</v>
      </c>
      <c r="I848" t="s">
        <v>16076</v>
      </c>
      <c r="J848" t="s">
        <v>828</v>
      </c>
      <c r="K848" t="s">
        <v>74</v>
      </c>
      <c r="L848" t="s">
        <v>74</v>
      </c>
      <c r="M848" t="s">
        <v>78</v>
      </c>
      <c r="N848" t="s">
        <v>79</v>
      </c>
      <c r="O848" t="s">
        <v>74</v>
      </c>
      <c r="P848" t="s">
        <v>74</v>
      </c>
      <c r="Q848" t="s">
        <v>74</v>
      </c>
      <c r="R848" t="s">
        <v>74</v>
      </c>
      <c r="S848" t="s">
        <v>74</v>
      </c>
      <c r="T848" t="s">
        <v>16077</v>
      </c>
      <c r="U848" t="s">
        <v>16078</v>
      </c>
      <c r="V848" t="s">
        <v>16079</v>
      </c>
      <c r="W848" t="s">
        <v>16080</v>
      </c>
      <c r="X848" t="s">
        <v>16081</v>
      </c>
      <c r="Y848" t="s">
        <v>16082</v>
      </c>
      <c r="Z848" t="s">
        <v>16083</v>
      </c>
      <c r="AA848" t="s">
        <v>16084</v>
      </c>
      <c r="AB848" t="s">
        <v>16085</v>
      </c>
      <c r="AC848" t="s">
        <v>16086</v>
      </c>
      <c r="AD848" t="s">
        <v>16087</v>
      </c>
      <c r="AE848" t="s">
        <v>16088</v>
      </c>
      <c r="AF848" t="s">
        <v>74</v>
      </c>
      <c r="AG848">
        <v>43</v>
      </c>
      <c r="AH848">
        <v>7</v>
      </c>
      <c r="AI848">
        <v>7</v>
      </c>
      <c r="AJ848">
        <v>0</v>
      </c>
      <c r="AK848">
        <v>12</v>
      </c>
      <c r="AL848" t="s">
        <v>835</v>
      </c>
      <c r="AM848" t="s">
        <v>836</v>
      </c>
      <c r="AN848" t="s">
        <v>3254</v>
      </c>
      <c r="AO848" t="s">
        <v>838</v>
      </c>
      <c r="AP848" t="s">
        <v>74</v>
      </c>
      <c r="AQ848" t="s">
        <v>74</v>
      </c>
      <c r="AR848" t="s">
        <v>839</v>
      </c>
      <c r="AS848" t="s">
        <v>840</v>
      </c>
      <c r="AT848" t="s">
        <v>5300</v>
      </c>
      <c r="AU848">
        <v>2018</v>
      </c>
      <c r="AV848">
        <v>49</v>
      </c>
      <c r="AW848">
        <v>4</v>
      </c>
      <c r="AX848" t="s">
        <v>74</v>
      </c>
      <c r="AY848" t="s">
        <v>74</v>
      </c>
      <c r="AZ848" t="s">
        <v>74</v>
      </c>
      <c r="BA848" t="s">
        <v>74</v>
      </c>
      <c r="BB848">
        <v>20</v>
      </c>
      <c r="BC848">
        <v>32</v>
      </c>
      <c r="BD848" t="s">
        <v>74</v>
      </c>
      <c r="BE848" t="s">
        <v>74</v>
      </c>
      <c r="BF848" t="s">
        <v>74</v>
      </c>
      <c r="BG848" t="s">
        <v>74</v>
      </c>
      <c r="BH848" t="s">
        <v>74</v>
      </c>
      <c r="BI848">
        <v>13</v>
      </c>
      <c r="BJ848" t="s">
        <v>842</v>
      </c>
      <c r="BK848" t="s">
        <v>102</v>
      </c>
      <c r="BL848" t="s">
        <v>103</v>
      </c>
      <c r="BM848" t="s">
        <v>5301</v>
      </c>
      <c r="BN848" t="s">
        <v>74</v>
      </c>
      <c r="BO848" t="s">
        <v>74</v>
      </c>
      <c r="BP848" t="s">
        <v>74</v>
      </c>
      <c r="BQ848" t="s">
        <v>74</v>
      </c>
      <c r="BR848" t="s">
        <v>106</v>
      </c>
      <c r="BS848" t="s">
        <v>16089</v>
      </c>
      <c r="BT848" t="str">
        <f>HYPERLINK("https%3A%2F%2Fwww.webofscience.com%2Fwos%2Fwoscc%2Ffull-record%2FWOS:000454671200004","View Full Record in Web of Science")</f>
        <v>View Full Record in Web of Science</v>
      </c>
    </row>
    <row r="849" spans="1:72" x14ac:dyDescent="0.2">
      <c r="A849" t="s">
        <v>72</v>
      </c>
      <c r="B849" t="s">
        <v>16090</v>
      </c>
      <c r="C849" t="s">
        <v>74</v>
      </c>
      <c r="D849" t="s">
        <v>74</v>
      </c>
      <c r="E849" t="s">
        <v>74</v>
      </c>
      <c r="F849" t="s">
        <v>16091</v>
      </c>
      <c r="G849" t="s">
        <v>74</v>
      </c>
      <c r="H849" t="s">
        <v>74</v>
      </c>
      <c r="I849" t="s">
        <v>16092</v>
      </c>
      <c r="J849" t="s">
        <v>16093</v>
      </c>
      <c r="K849" t="s">
        <v>74</v>
      </c>
      <c r="L849" t="s">
        <v>74</v>
      </c>
      <c r="M849" t="s">
        <v>78</v>
      </c>
      <c r="N849" t="s">
        <v>79</v>
      </c>
      <c r="O849" t="s">
        <v>74</v>
      </c>
      <c r="P849" t="s">
        <v>74</v>
      </c>
      <c r="Q849" t="s">
        <v>74</v>
      </c>
      <c r="R849" t="s">
        <v>74</v>
      </c>
      <c r="S849" t="s">
        <v>74</v>
      </c>
      <c r="T849" t="s">
        <v>74</v>
      </c>
      <c r="U849" t="s">
        <v>16094</v>
      </c>
      <c r="V849" t="s">
        <v>16095</v>
      </c>
      <c r="W849" t="s">
        <v>16096</v>
      </c>
      <c r="X849" t="s">
        <v>16097</v>
      </c>
      <c r="Y849" t="s">
        <v>16098</v>
      </c>
      <c r="Z849" t="s">
        <v>16099</v>
      </c>
      <c r="AA849" t="s">
        <v>74</v>
      </c>
      <c r="AB849" t="s">
        <v>16100</v>
      </c>
      <c r="AC849" t="s">
        <v>74</v>
      </c>
      <c r="AD849" t="s">
        <v>74</v>
      </c>
      <c r="AE849" t="s">
        <v>74</v>
      </c>
      <c r="AF849" t="s">
        <v>74</v>
      </c>
      <c r="AG849">
        <v>26</v>
      </c>
      <c r="AH849">
        <v>17</v>
      </c>
      <c r="AI849">
        <v>21</v>
      </c>
      <c r="AJ849">
        <v>1</v>
      </c>
      <c r="AK849">
        <v>14</v>
      </c>
      <c r="AL849" t="s">
        <v>247</v>
      </c>
      <c r="AM849" t="s">
        <v>248</v>
      </c>
      <c r="AN849" t="s">
        <v>249</v>
      </c>
      <c r="AO849" t="s">
        <v>16101</v>
      </c>
      <c r="AP849" t="s">
        <v>16102</v>
      </c>
      <c r="AQ849" t="s">
        <v>74</v>
      </c>
      <c r="AR849" t="s">
        <v>16103</v>
      </c>
      <c r="AS849" t="s">
        <v>16104</v>
      </c>
      <c r="AT849" t="s">
        <v>7215</v>
      </c>
      <c r="AU849">
        <v>2020</v>
      </c>
      <c r="AV849">
        <v>60</v>
      </c>
      <c r="AW849">
        <v>3</v>
      </c>
      <c r="AX849" t="s">
        <v>74</v>
      </c>
      <c r="AY849" t="s">
        <v>74</v>
      </c>
      <c r="AZ849" t="s">
        <v>74</v>
      </c>
      <c r="BA849" t="s">
        <v>74</v>
      </c>
      <c r="BB849">
        <v>1303</v>
      </c>
      <c r="BC849">
        <v>1312</v>
      </c>
      <c r="BD849" t="s">
        <v>74</v>
      </c>
      <c r="BE849" t="s">
        <v>16105</v>
      </c>
      <c r="BF849" t="str">
        <f>HYPERLINK("http://dx.doi.org/10.1002/csc2.20045","http://dx.doi.org/10.1002/csc2.20045")</f>
        <v>http://dx.doi.org/10.1002/csc2.20045</v>
      </c>
      <c r="BG849" t="s">
        <v>74</v>
      </c>
      <c r="BH849" t="s">
        <v>74</v>
      </c>
      <c r="BI849">
        <v>10</v>
      </c>
      <c r="BJ849" t="s">
        <v>1357</v>
      </c>
      <c r="BK849" t="s">
        <v>102</v>
      </c>
      <c r="BL849" t="s">
        <v>103</v>
      </c>
      <c r="BM849" t="s">
        <v>16106</v>
      </c>
      <c r="BN849" t="s">
        <v>74</v>
      </c>
      <c r="BO849" t="s">
        <v>916</v>
      </c>
      <c r="BP849" t="s">
        <v>74</v>
      </c>
      <c r="BQ849" t="s">
        <v>74</v>
      </c>
      <c r="BR849" t="s">
        <v>106</v>
      </c>
      <c r="BS849" t="s">
        <v>16107</v>
      </c>
      <c r="BT849" t="str">
        <f>HYPERLINK("https%3A%2F%2Fwww.webofscience.com%2Fwos%2Fwoscc%2Ffull-record%2FWOS:000543747600012","View Full Record in Web of Science")</f>
        <v>View Full Record in Web of Science</v>
      </c>
    </row>
    <row r="850" spans="1:72" x14ac:dyDescent="0.2">
      <c r="A850" t="s">
        <v>72</v>
      </c>
      <c r="B850" t="s">
        <v>16108</v>
      </c>
      <c r="C850" t="s">
        <v>74</v>
      </c>
      <c r="D850" t="s">
        <v>74</v>
      </c>
      <c r="E850" t="s">
        <v>74</v>
      </c>
      <c r="F850" t="s">
        <v>16109</v>
      </c>
      <c r="G850" t="s">
        <v>74</v>
      </c>
      <c r="H850" t="s">
        <v>74</v>
      </c>
      <c r="I850" t="s">
        <v>16110</v>
      </c>
      <c r="J850" t="s">
        <v>16111</v>
      </c>
      <c r="K850" t="s">
        <v>74</v>
      </c>
      <c r="L850" t="s">
        <v>74</v>
      </c>
      <c r="M850" t="s">
        <v>78</v>
      </c>
      <c r="N850" t="s">
        <v>79</v>
      </c>
      <c r="O850" t="s">
        <v>74</v>
      </c>
      <c r="P850" t="s">
        <v>74</v>
      </c>
      <c r="Q850" t="s">
        <v>74</v>
      </c>
      <c r="R850" t="s">
        <v>74</v>
      </c>
      <c r="S850" t="s">
        <v>74</v>
      </c>
      <c r="T850" t="s">
        <v>16112</v>
      </c>
      <c r="U850" t="s">
        <v>16113</v>
      </c>
      <c r="V850" t="s">
        <v>16114</v>
      </c>
      <c r="W850" t="s">
        <v>16115</v>
      </c>
      <c r="X850" t="s">
        <v>16116</v>
      </c>
      <c r="Y850" t="s">
        <v>16117</v>
      </c>
      <c r="Z850" t="s">
        <v>16118</v>
      </c>
      <c r="AA850" t="s">
        <v>16119</v>
      </c>
      <c r="AB850" t="s">
        <v>16120</v>
      </c>
      <c r="AC850" t="s">
        <v>16121</v>
      </c>
      <c r="AD850" t="s">
        <v>16122</v>
      </c>
      <c r="AE850" t="s">
        <v>16123</v>
      </c>
      <c r="AF850" t="s">
        <v>74</v>
      </c>
      <c r="AG850">
        <v>81</v>
      </c>
      <c r="AH850">
        <v>173</v>
      </c>
      <c r="AI850">
        <v>206</v>
      </c>
      <c r="AJ850">
        <v>5</v>
      </c>
      <c r="AK850">
        <v>224</v>
      </c>
      <c r="AL850" t="s">
        <v>934</v>
      </c>
      <c r="AM850" t="s">
        <v>177</v>
      </c>
      <c r="AN850" t="s">
        <v>935</v>
      </c>
      <c r="AO850" t="s">
        <v>16124</v>
      </c>
      <c r="AP850" t="s">
        <v>16125</v>
      </c>
      <c r="AQ850" t="s">
        <v>74</v>
      </c>
      <c r="AR850" t="s">
        <v>16126</v>
      </c>
      <c r="AS850" t="s">
        <v>16127</v>
      </c>
      <c r="AT850" t="s">
        <v>227</v>
      </c>
      <c r="AU850">
        <v>2017</v>
      </c>
      <c r="AV850">
        <v>98</v>
      </c>
      <c r="AW850" t="s">
        <v>74</v>
      </c>
      <c r="AX850" t="s">
        <v>74</v>
      </c>
      <c r="AY850" t="s">
        <v>74</v>
      </c>
      <c r="AZ850" t="s">
        <v>74</v>
      </c>
      <c r="BA850" t="s">
        <v>74</v>
      </c>
      <c r="BB850">
        <v>102</v>
      </c>
      <c r="BC850">
        <v>112</v>
      </c>
      <c r="BD850" t="s">
        <v>74</v>
      </c>
      <c r="BE850" t="s">
        <v>16128</v>
      </c>
      <c r="BF850" t="str">
        <f>HYPERLINK("http://dx.doi.org/10.1016/j.envint.2016.10.020","http://dx.doi.org/10.1016/j.envint.2016.10.020")</f>
        <v>http://dx.doi.org/10.1016/j.envint.2016.10.020</v>
      </c>
      <c r="BG850" t="s">
        <v>74</v>
      </c>
      <c r="BH850" t="s">
        <v>74</v>
      </c>
      <c r="BI850">
        <v>11</v>
      </c>
      <c r="BJ850" t="s">
        <v>567</v>
      </c>
      <c r="BK850" t="s">
        <v>102</v>
      </c>
      <c r="BL850" t="s">
        <v>568</v>
      </c>
      <c r="BM850" t="s">
        <v>16129</v>
      </c>
      <c r="BN850">
        <v>27838119</v>
      </c>
      <c r="BO850" t="s">
        <v>541</v>
      </c>
      <c r="BP850" t="s">
        <v>74</v>
      </c>
      <c r="BQ850" t="s">
        <v>74</v>
      </c>
      <c r="BR850" t="s">
        <v>106</v>
      </c>
      <c r="BS850" t="s">
        <v>16130</v>
      </c>
      <c r="BT850" t="str">
        <f>HYPERLINK("https%3A%2F%2Fwww.webofscience.com%2Fwos%2Fwoscc%2Ffull-record%2FWOS:000389913500012","View Full Record in Web of Science")</f>
        <v>View Full Record in Web of Science</v>
      </c>
    </row>
    <row r="851" spans="1:72" x14ac:dyDescent="0.2">
      <c r="A851" t="s">
        <v>72</v>
      </c>
      <c r="B851" t="s">
        <v>16131</v>
      </c>
      <c r="C851" t="s">
        <v>74</v>
      </c>
      <c r="D851" t="s">
        <v>74</v>
      </c>
      <c r="E851" t="s">
        <v>74</v>
      </c>
      <c r="F851" t="s">
        <v>16132</v>
      </c>
      <c r="G851" t="s">
        <v>74</v>
      </c>
      <c r="H851" t="s">
        <v>74</v>
      </c>
      <c r="I851" t="s">
        <v>16133</v>
      </c>
      <c r="J851" t="s">
        <v>9924</v>
      </c>
      <c r="K851" t="s">
        <v>74</v>
      </c>
      <c r="L851" t="s">
        <v>74</v>
      </c>
      <c r="M851" t="s">
        <v>78</v>
      </c>
      <c r="N851" t="s">
        <v>79</v>
      </c>
      <c r="O851" t="s">
        <v>74</v>
      </c>
      <c r="P851" t="s">
        <v>74</v>
      </c>
      <c r="Q851" t="s">
        <v>74</v>
      </c>
      <c r="R851" t="s">
        <v>74</v>
      </c>
      <c r="S851" t="s">
        <v>74</v>
      </c>
      <c r="T851" t="s">
        <v>16134</v>
      </c>
      <c r="U851" t="s">
        <v>16135</v>
      </c>
      <c r="V851" t="s">
        <v>16136</v>
      </c>
      <c r="W851" t="s">
        <v>16137</v>
      </c>
      <c r="X851" t="s">
        <v>16138</v>
      </c>
      <c r="Y851" t="s">
        <v>16139</v>
      </c>
      <c r="Z851" t="s">
        <v>16140</v>
      </c>
      <c r="AA851" t="s">
        <v>16141</v>
      </c>
      <c r="AB851" t="s">
        <v>16142</v>
      </c>
      <c r="AC851" t="s">
        <v>16143</v>
      </c>
      <c r="AD851" t="s">
        <v>16144</v>
      </c>
      <c r="AE851" t="s">
        <v>16145</v>
      </c>
      <c r="AF851" t="s">
        <v>74</v>
      </c>
      <c r="AG851">
        <v>191</v>
      </c>
      <c r="AH851">
        <v>2</v>
      </c>
      <c r="AI851">
        <v>2</v>
      </c>
      <c r="AJ851">
        <v>6</v>
      </c>
      <c r="AK851">
        <v>18</v>
      </c>
      <c r="AL851" t="s">
        <v>247</v>
      </c>
      <c r="AM851" t="s">
        <v>248</v>
      </c>
      <c r="AN851" t="s">
        <v>249</v>
      </c>
      <c r="AO851" t="s">
        <v>9936</v>
      </c>
      <c r="AP851" t="s">
        <v>9937</v>
      </c>
      <c r="AQ851" t="s">
        <v>74</v>
      </c>
      <c r="AR851" t="s">
        <v>9938</v>
      </c>
      <c r="AS851" t="s">
        <v>9939</v>
      </c>
      <c r="AT851" t="s">
        <v>183</v>
      </c>
      <c r="AU851">
        <v>2024</v>
      </c>
      <c r="AV851">
        <v>40</v>
      </c>
      <c r="AW851">
        <v>3</v>
      </c>
      <c r="AX851" t="s">
        <v>74</v>
      </c>
      <c r="AY851" t="s">
        <v>74</v>
      </c>
      <c r="AZ851" t="s">
        <v>74</v>
      </c>
      <c r="BA851" t="s">
        <v>74</v>
      </c>
      <c r="BB851" t="s">
        <v>74</v>
      </c>
      <c r="BC851" t="s">
        <v>74</v>
      </c>
      <c r="BD851" t="s">
        <v>16146</v>
      </c>
      <c r="BE851" t="s">
        <v>16147</v>
      </c>
      <c r="BF851" t="str">
        <f>HYPERLINK("http://dx.doi.org/10.1111/sum.13113","http://dx.doi.org/10.1111/sum.13113")</f>
        <v>http://dx.doi.org/10.1111/sum.13113</v>
      </c>
      <c r="BG851" t="s">
        <v>74</v>
      </c>
      <c r="BH851" t="s">
        <v>74</v>
      </c>
      <c r="BI851">
        <v>27</v>
      </c>
      <c r="BJ851" t="s">
        <v>256</v>
      </c>
      <c r="BK851" t="s">
        <v>102</v>
      </c>
      <c r="BL851" t="s">
        <v>103</v>
      </c>
      <c r="BM851" t="s">
        <v>16148</v>
      </c>
      <c r="BN851" t="s">
        <v>74</v>
      </c>
      <c r="BO851" t="s">
        <v>5651</v>
      </c>
      <c r="BP851" t="s">
        <v>74</v>
      </c>
      <c r="BQ851" t="s">
        <v>74</v>
      </c>
      <c r="BR851" t="s">
        <v>106</v>
      </c>
      <c r="BS851" t="s">
        <v>16149</v>
      </c>
      <c r="BT851" t="str">
        <f>HYPERLINK("https%3A%2F%2Fwww.webofscience.com%2Fwos%2Fwoscc%2Ffull-record%2FWOS:001322384600001","View Full Record in Web of Science")</f>
        <v>View Full Record in Web of Science</v>
      </c>
    </row>
    <row r="852" spans="1:72" x14ac:dyDescent="0.2">
      <c r="A852" t="s">
        <v>72</v>
      </c>
      <c r="B852" t="s">
        <v>16150</v>
      </c>
      <c r="C852" t="s">
        <v>74</v>
      </c>
      <c r="D852" t="s">
        <v>74</v>
      </c>
      <c r="E852" t="s">
        <v>74</v>
      </c>
      <c r="F852" t="s">
        <v>16151</v>
      </c>
      <c r="G852" t="s">
        <v>74</v>
      </c>
      <c r="H852" t="s">
        <v>74</v>
      </c>
      <c r="I852" t="s">
        <v>16152</v>
      </c>
      <c r="J852" t="s">
        <v>16153</v>
      </c>
      <c r="K852" t="s">
        <v>74</v>
      </c>
      <c r="L852" t="s">
        <v>74</v>
      </c>
      <c r="M852" t="s">
        <v>78</v>
      </c>
      <c r="N852" t="s">
        <v>79</v>
      </c>
      <c r="O852" t="s">
        <v>74</v>
      </c>
      <c r="P852" t="s">
        <v>74</v>
      </c>
      <c r="Q852" t="s">
        <v>74</v>
      </c>
      <c r="R852" t="s">
        <v>74</v>
      </c>
      <c r="S852" t="s">
        <v>74</v>
      </c>
      <c r="T852" t="s">
        <v>74</v>
      </c>
      <c r="U852" t="s">
        <v>16154</v>
      </c>
      <c r="V852" t="s">
        <v>16155</v>
      </c>
      <c r="W852" t="s">
        <v>16156</v>
      </c>
      <c r="X852" t="s">
        <v>16157</v>
      </c>
      <c r="Y852" t="s">
        <v>16158</v>
      </c>
      <c r="Z852" t="s">
        <v>16159</v>
      </c>
      <c r="AA852" t="s">
        <v>16160</v>
      </c>
      <c r="AB852" t="s">
        <v>16161</v>
      </c>
      <c r="AC852" t="s">
        <v>74</v>
      </c>
      <c r="AD852" t="s">
        <v>74</v>
      </c>
      <c r="AE852" t="s">
        <v>74</v>
      </c>
      <c r="AF852" t="s">
        <v>74</v>
      </c>
      <c r="AG852">
        <v>47</v>
      </c>
      <c r="AH852">
        <v>19</v>
      </c>
      <c r="AI852">
        <v>19</v>
      </c>
      <c r="AJ852">
        <v>2</v>
      </c>
      <c r="AK852">
        <v>7</v>
      </c>
      <c r="AL852" t="s">
        <v>247</v>
      </c>
      <c r="AM852" t="s">
        <v>248</v>
      </c>
      <c r="AN852" t="s">
        <v>249</v>
      </c>
      <c r="AO852" t="s">
        <v>16162</v>
      </c>
      <c r="AP852" t="s">
        <v>16163</v>
      </c>
      <c r="AQ852" t="s">
        <v>74</v>
      </c>
      <c r="AR852" t="s">
        <v>16164</v>
      </c>
      <c r="AS852" t="s">
        <v>16165</v>
      </c>
      <c r="AT852" t="s">
        <v>16166</v>
      </c>
      <c r="AU852">
        <v>2023</v>
      </c>
      <c r="AV852">
        <v>2023</v>
      </c>
      <c r="AW852" t="s">
        <v>74</v>
      </c>
      <c r="AX852" t="s">
        <v>74</v>
      </c>
      <c r="AY852" t="s">
        <v>74</v>
      </c>
      <c r="AZ852" t="s">
        <v>74</v>
      </c>
      <c r="BA852" t="s">
        <v>74</v>
      </c>
      <c r="BB852" t="s">
        <v>74</v>
      </c>
      <c r="BC852" t="s">
        <v>74</v>
      </c>
      <c r="BD852">
        <v>6338448</v>
      </c>
      <c r="BE852" t="s">
        <v>16167</v>
      </c>
      <c r="BF852" t="str">
        <f>HYPERLINK("http://dx.doi.org/10.1155/2023/6338448","http://dx.doi.org/10.1155/2023/6338448")</f>
        <v>http://dx.doi.org/10.1155/2023/6338448</v>
      </c>
      <c r="BG852" t="s">
        <v>74</v>
      </c>
      <c r="BH852" t="s">
        <v>74</v>
      </c>
      <c r="BI852">
        <v>27</v>
      </c>
      <c r="BJ852" t="s">
        <v>16168</v>
      </c>
      <c r="BK852" t="s">
        <v>102</v>
      </c>
      <c r="BL852" t="s">
        <v>16168</v>
      </c>
      <c r="BM852" t="s">
        <v>16169</v>
      </c>
      <c r="BN852" t="s">
        <v>74</v>
      </c>
      <c r="BO852" t="s">
        <v>231</v>
      </c>
      <c r="BP852" t="s">
        <v>74</v>
      </c>
      <c r="BQ852" t="s">
        <v>74</v>
      </c>
      <c r="BR852" t="s">
        <v>106</v>
      </c>
      <c r="BS852" t="s">
        <v>16170</v>
      </c>
      <c r="BT852" t="str">
        <f>HYPERLINK("https%3A%2F%2Fwww.webofscience.com%2Fwos%2Fwoscc%2Ffull-record%2FWOS:001033656900001","View Full Record in Web of Science")</f>
        <v>View Full Record in Web of Science</v>
      </c>
    </row>
    <row r="853" spans="1:72" x14ac:dyDescent="0.2">
      <c r="A853" t="s">
        <v>72</v>
      </c>
      <c r="B853" t="s">
        <v>16171</v>
      </c>
      <c r="C853" t="s">
        <v>74</v>
      </c>
      <c r="D853" t="s">
        <v>74</v>
      </c>
      <c r="E853" t="s">
        <v>74</v>
      </c>
      <c r="F853" t="s">
        <v>16172</v>
      </c>
      <c r="G853" t="s">
        <v>74</v>
      </c>
      <c r="H853" t="s">
        <v>74</v>
      </c>
      <c r="I853" t="s">
        <v>16173</v>
      </c>
      <c r="J853" t="s">
        <v>828</v>
      </c>
      <c r="K853" t="s">
        <v>74</v>
      </c>
      <c r="L853" t="s">
        <v>74</v>
      </c>
      <c r="M853" t="s">
        <v>78</v>
      </c>
      <c r="N853" t="s">
        <v>79</v>
      </c>
      <c r="O853" t="s">
        <v>74</v>
      </c>
      <c r="P853" t="s">
        <v>74</v>
      </c>
      <c r="Q853" t="s">
        <v>74</v>
      </c>
      <c r="R853" t="s">
        <v>74</v>
      </c>
      <c r="S853" t="s">
        <v>74</v>
      </c>
      <c r="T853" t="s">
        <v>16174</v>
      </c>
      <c r="U853" t="s">
        <v>74</v>
      </c>
      <c r="V853" t="s">
        <v>16175</v>
      </c>
      <c r="W853" t="s">
        <v>16176</v>
      </c>
      <c r="X853" t="s">
        <v>74</v>
      </c>
      <c r="Y853" t="s">
        <v>16177</v>
      </c>
      <c r="Z853" t="s">
        <v>16178</v>
      </c>
      <c r="AA853" t="s">
        <v>74</v>
      </c>
      <c r="AB853" t="s">
        <v>74</v>
      </c>
      <c r="AC853" t="s">
        <v>74</v>
      </c>
      <c r="AD853" t="s">
        <v>74</v>
      </c>
      <c r="AE853" t="s">
        <v>74</v>
      </c>
      <c r="AF853" t="s">
        <v>74</v>
      </c>
      <c r="AG853">
        <v>23</v>
      </c>
      <c r="AH853">
        <v>2</v>
      </c>
      <c r="AI853">
        <v>2</v>
      </c>
      <c r="AJ853">
        <v>1</v>
      </c>
      <c r="AK853">
        <v>3</v>
      </c>
      <c r="AL853" t="s">
        <v>835</v>
      </c>
      <c r="AM853" t="s">
        <v>836</v>
      </c>
      <c r="AN853" t="s">
        <v>3254</v>
      </c>
      <c r="AO853" t="s">
        <v>838</v>
      </c>
      <c r="AP853" t="s">
        <v>74</v>
      </c>
      <c r="AQ853" t="s">
        <v>74</v>
      </c>
      <c r="AR853" t="s">
        <v>839</v>
      </c>
      <c r="AS853" t="s">
        <v>840</v>
      </c>
      <c r="AT853" t="s">
        <v>3255</v>
      </c>
      <c r="AU853">
        <v>2018</v>
      </c>
      <c r="AV853">
        <v>49</v>
      </c>
      <c r="AW853">
        <v>2</v>
      </c>
      <c r="AX853" t="s">
        <v>74</v>
      </c>
      <c r="AY853" t="s">
        <v>74</v>
      </c>
      <c r="AZ853" t="s">
        <v>1070</v>
      </c>
      <c r="BA853" t="s">
        <v>74</v>
      </c>
      <c r="BB853">
        <v>135</v>
      </c>
      <c r="BC853">
        <v>149</v>
      </c>
      <c r="BD853" t="s">
        <v>74</v>
      </c>
      <c r="BE853" t="s">
        <v>74</v>
      </c>
      <c r="BF853" t="s">
        <v>74</v>
      </c>
      <c r="BG853" t="s">
        <v>74</v>
      </c>
      <c r="BH853" t="s">
        <v>74</v>
      </c>
      <c r="BI853">
        <v>15</v>
      </c>
      <c r="BJ853" t="s">
        <v>842</v>
      </c>
      <c r="BK853" t="s">
        <v>102</v>
      </c>
      <c r="BL853" t="s">
        <v>103</v>
      </c>
      <c r="BM853" t="s">
        <v>3256</v>
      </c>
      <c r="BN853" t="s">
        <v>74</v>
      </c>
      <c r="BO853" t="s">
        <v>74</v>
      </c>
      <c r="BP853" t="s">
        <v>74</v>
      </c>
      <c r="BQ853" t="s">
        <v>74</v>
      </c>
      <c r="BR853" t="s">
        <v>106</v>
      </c>
      <c r="BS853" t="s">
        <v>16179</v>
      </c>
      <c r="BT853" t="str">
        <f>HYPERLINK("https%3A%2F%2Fwww.webofscience.com%2Fwos%2Fwoscc%2Ffull-record%2FWOS:000433525500017","View Full Record in Web of Science")</f>
        <v>View Full Record in Web of Science</v>
      </c>
    </row>
    <row r="854" spans="1:72" x14ac:dyDescent="0.2">
      <c r="A854" t="s">
        <v>72</v>
      </c>
      <c r="B854" t="s">
        <v>16180</v>
      </c>
      <c r="C854" t="s">
        <v>74</v>
      </c>
      <c r="D854" t="s">
        <v>74</v>
      </c>
      <c r="E854" t="s">
        <v>74</v>
      </c>
      <c r="F854" t="s">
        <v>16181</v>
      </c>
      <c r="G854" t="s">
        <v>74</v>
      </c>
      <c r="H854" t="s">
        <v>74</v>
      </c>
      <c r="I854" t="s">
        <v>16182</v>
      </c>
      <c r="J854" t="s">
        <v>10032</v>
      </c>
      <c r="K854" t="s">
        <v>74</v>
      </c>
      <c r="L854" t="s">
        <v>74</v>
      </c>
      <c r="M854" t="s">
        <v>78</v>
      </c>
      <c r="N854" t="s">
        <v>79</v>
      </c>
      <c r="O854" t="s">
        <v>74</v>
      </c>
      <c r="P854" t="s">
        <v>74</v>
      </c>
      <c r="Q854" t="s">
        <v>74</v>
      </c>
      <c r="R854" t="s">
        <v>74</v>
      </c>
      <c r="S854" t="s">
        <v>74</v>
      </c>
      <c r="T854" t="s">
        <v>74</v>
      </c>
      <c r="U854" t="s">
        <v>16183</v>
      </c>
      <c r="V854" t="s">
        <v>16184</v>
      </c>
      <c r="W854" t="s">
        <v>16185</v>
      </c>
      <c r="X854" t="s">
        <v>16186</v>
      </c>
      <c r="Y854" t="s">
        <v>16187</v>
      </c>
      <c r="Z854" t="s">
        <v>16188</v>
      </c>
      <c r="AA854" t="s">
        <v>16189</v>
      </c>
      <c r="AB854" t="s">
        <v>16190</v>
      </c>
      <c r="AC854" t="s">
        <v>16191</v>
      </c>
      <c r="AD854" t="s">
        <v>16192</v>
      </c>
      <c r="AE854" t="s">
        <v>16193</v>
      </c>
      <c r="AF854" t="s">
        <v>74</v>
      </c>
      <c r="AG854">
        <v>38</v>
      </c>
      <c r="AH854">
        <v>13</v>
      </c>
      <c r="AI854">
        <v>14</v>
      </c>
      <c r="AJ854">
        <v>1</v>
      </c>
      <c r="AK854">
        <v>24</v>
      </c>
      <c r="AL854" t="s">
        <v>3289</v>
      </c>
      <c r="AM854" t="s">
        <v>3290</v>
      </c>
      <c r="AN854" t="s">
        <v>3291</v>
      </c>
      <c r="AO854" t="s">
        <v>10044</v>
      </c>
      <c r="AP854" t="s">
        <v>10045</v>
      </c>
      <c r="AQ854" t="s">
        <v>74</v>
      </c>
      <c r="AR854" t="s">
        <v>10046</v>
      </c>
      <c r="AS854" t="s">
        <v>10047</v>
      </c>
      <c r="AT854" t="s">
        <v>16194</v>
      </c>
      <c r="AU854">
        <v>2018</v>
      </c>
      <c r="AV854">
        <v>18</v>
      </c>
      <c r="AW854">
        <v>5</v>
      </c>
      <c r="AX854" t="s">
        <v>74</v>
      </c>
      <c r="AY854" t="s">
        <v>74</v>
      </c>
      <c r="AZ854" t="s">
        <v>74</v>
      </c>
      <c r="BA854" t="s">
        <v>74</v>
      </c>
      <c r="BB854">
        <v>3321</v>
      </c>
      <c r="BC854">
        <v>3334</v>
      </c>
      <c r="BD854" t="s">
        <v>74</v>
      </c>
      <c r="BE854" t="s">
        <v>16195</v>
      </c>
      <c r="BF854" t="str">
        <f>HYPERLINK("http://dx.doi.org/10.5194/acp-18-3321-2018","http://dx.doi.org/10.5194/acp-18-3321-2018")</f>
        <v>http://dx.doi.org/10.5194/acp-18-3321-2018</v>
      </c>
      <c r="BG854" t="s">
        <v>74</v>
      </c>
      <c r="BH854" t="s">
        <v>74</v>
      </c>
      <c r="BI854">
        <v>14</v>
      </c>
      <c r="BJ854" t="s">
        <v>782</v>
      </c>
      <c r="BK854" t="s">
        <v>102</v>
      </c>
      <c r="BL854" t="s">
        <v>783</v>
      </c>
      <c r="BM854" t="s">
        <v>16196</v>
      </c>
      <c r="BN854" t="s">
        <v>74</v>
      </c>
      <c r="BO854" t="s">
        <v>161</v>
      </c>
      <c r="BP854" t="s">
        <v>74</v>
      </c>
      <c r="BQ854" t="s">
        <v>74</v>
      </c>
      <c r="BR854" t="s">
        <v>106</v>
      </c>
      <c r="BS854" t="s">
        <v>16197</v>
      </c>
      <c r="BT854" t="str">
        <f>HYPERLINK("https%3A%2F%2Fwww.webofscience.com%2Fwos%2Fwoscc%2Ffull-record%2FWOS:000426918000005","View Full Record in Web of Science")</f>
        <v>View Full Record in Web of Science</v>
      </c>
    </row>
    <row r="855" spans="1:72" x14ac:dyDescent="0.2">
      <c r="A855" t="s">
        <v>72</v>
      </c>
      <c r="B855" t="s">
        <v>16198</v>
      </c>
      <c r="C855" t="s">
        <v>74</v>
      </c>
      <c r="D855" t="s">
        <v>74</v>
      </c>
      <c r="E855" t="s">
        <v>74</v>
      </c>
      <c r="F855" t="s">
        <v>16199</v>
      </c>
      <c r="G855" t="s">
        <v>74</v>
      </c>
      <c r="H855" t="s">
        <v>74</v>
      </c>
      <c r="I855" t="s">
        <v>16200</v>
      </c>
      <c r="J855" t="s">
        <v>468</v>
      </c>
      <c r="K855" t="s">
        <v>74</v>
      </c>
      <c r="L855" t="s">
        <v>74</v>
      </c>
      <c r="M855" t="s">
        <v>78</v>
      </c>
      <c r="N855" t="s">
        <v>79</v>
      </c>
      <c r="O855" t="s">
        <v>74</v>
      </c>
      <c r="P855" t="s">
        <v>74</v>
      </c>
      <c r="Q855" t="s">
        <v>74</v>
      </c>
      <c r="R855" t="s">
        <v>74</v>
      </c>
      <c r="S855" t="s">
        <v>74</v>
      </c>
      <c r="T855" t="s">
        <v>16201</v>
      </c>
      <c r="U855" t="s">
        <v>74</v>
      </c>
      <c r="V855" t="s">
        <v>16202</v>
      </c>
      <c r="W855" t="s">
        <v>16203</v>
      </c>
      <c r="X855" t="s">
        <v>16204</v>
      </c>
      <c r="Y855" t="s">
        <v>16205</v>
      </c>
      <c r="Z855" t="s">
        <v>16206</v>
      </c>
      <c r="AA855" t="s">
        <v>16207</v>
      </c>
      <c r="AB855" t="s">
        <v>74</v>
      </c>
      <c r="AC855" t="s">
        <v>16208</v>
      </c>
      <c r="AD855" t="s">
        <v>16209</v>
      </c>
      <c r="AE855" t="s">
        <v>16210</v>
      </c>
      <c r="AF855" t="s">
        <v>74</v>
      </c>
      <c r="AG855">
        <v>46</v>
      </c>
      <c r="AH855">
        <v>0</v>
      </c>
      <c r="AI855">
        <v>0</v>
      </c>
      <c r="AJ855">
        <v>0</v>
      </c>
      <c r="AK855">
        <v>8</v>
      </c>
      <c r="AL855" t="s">
        <v>222</v>
      </c>
      <c r="AM855" t="s">
        <v>223</v>
      </c>
      <c r="AN855" t="s">
        <v>224</v>
      </c>
      <c r="AO855" t="s">
        <v>74</v>
      </c>
      <c r="AP855" t="s">
        <v>479</v>
      </c>
      <c r="AQ855" t="s">
        <v>74</v>
      </c>
      <c r="AR855" t="s">
        <v>480</v>
      </c>
      <c r="AS855" t="s">
        <v>481</v>
      </c>
      <c r="AT855" t="s">
        <v>227</v>
      </c>
      <c r="AU855">
        <v>2025</v>
      </c>
      <c r="AV855">
        <v>17</v>
      </c>
      <c r="AW855">
        <v>1</v>
      </c>
      <c r="AX855" t="s">
        <v>74</v>
      </c>
      <c r="AY855" t="s">
        <v>74</v>
      </c>
      <c r="AZ855" t="s">
        <v>74</v>
      </c>
      <c r="BA855" t="s">
        <v>74</v>
      </c>
      <c r="BB855" t="s">
        <v>74</v>
      </c>
      <c r="BC855" t="s">
        <v>74</v>
      </c>
      <c r="BD855">
        <v>185</v>
      </c>
      <c r="BE855" t="s">
        <v>16211</v>
      </c>
      <c r="BF855" t="str">
        <f>HYPERLINK("http://dx.doi.org/10.3390/su17010185","http://dx.doi.org/10.3390/su17010185")</f>
        <v>http://dx.doi.org/10.3390/su17010185</v>
      </c>
      <c r="BG855" t="s">
        <v>74</v>
      </c>
      <c r="BH855" t="s">
        <v>74</v>
      </c>
      <c r="BI855">
        <v>13</v>
      </c>
      <c r="BJ855" t="s">
        <v>484</v>
      </c>
      <c r="BK855" t="s">
        <v>186</v>
      </c>
      <c r="BL855" t="s">
        <v>485</v>
      </c>
      <c r="BM855" t="s">
        <v>16212</v>
      </c>
      <c r="BN855" t="s">
        <v>74</v>
      </c>
      <c r="BO855" t="s">
        <v>231</v>
      </c>
      <c r="BP855" t="s">
        <v>74</v>
      </c>
      <c r="BQ855" t="s">
        <v>74</v>
      </c>
      <c r="BR855" t="s">
        <v>106</v>
      </c>
      <c r="BS855" t="s">
        <v>16213</v>
      </c>
      <c r="BT855" t="str">
        <f>HYPERLINK("https%3A%2F%2Fwww.webofscience.com%2Fwos%2Fwoscc%2Ffull-record%2FWOS:001393909800001","View Full Record in Web of Science")</f>
        <v>View Full Record in Web of Science</v>
      </c>
    </row>
    <row r="856" spans="1:72" x14ac:dyDescent="0.2">
      <c r="A856" t="s">
        <v>72</v>
      </c>
      <c r="B856" t="s">
        <v>16214</v>
      </c>
      <c r="C856" t="s">
        <v>74</v>
      </c>
      <c r="D856" t="s">
        <v>74</v>
      </c>
      <c r="E856" t="s">
        <v>74</v>
      </c>
      <c r="F856" t="s">
        <v>16215</v>
      </c>
      <c r="G856" t="s">
        <v>74</v>
      </c>
      <c r="H856" t="s">
        <v>74</v>
      </c>
      <c r="I856" t="s">
        <v>16216</v>
      </c>
      <c r="J856" t="s">
        <v>16217</v>
      </c>
      <c r="K856" t="s">
        <v>74</v>
      </c>
      <c r="L856" t="s">
        <v>74</v>
      </c>
      <c r="M856" t="s">
        <v>78</v>
      </c>
      <c r="N856" t="s">
        <v>79</v>
      </c>
      <c r="O856" t="s">
        <v>74</v>
      </c>
      <c r="P856" t="s">
        <v>74</v>
      </c>
      <c r="Q856" t="s">
        <v>74</v>
      </c>
      <c r="R856" t="s">
        <v>74</v>
      </c>
      <c r="S856" t="s">
        <v>74</v>
      </c>
      <c r="T856" t="s">
        <v>16218</v>
      </c>
      <c r="U856" t="s">
        <v>16219</v>
      </c>
      <c r="V856" t="s">
        <v>16220</v>
      </c>
      <c r="W856" t="s">
        <v>16221</v>
      </c>
      <c r="X856" t="s">
        <v>2652</v>
      </c>
      <c r="Y856" t="s">
        <v>16222</v>
      </c>
      <c r="Z856" t="s">
        <v>16223</v>
      </c>
      <c r="AA856" t="s">
        <v>16224</v>
      </c>
      <c r="AB856" t="s">
        <v>74</v>
      </c>
      <c r="AC856" t="s">
        <v>16225</v>
      </c>
      <c r="AD856" t="s">
        <v>16226</v>
      </c>
      <c r="AE856" t="s">
        <v>16227</v>
      </c>
      <c r="AF856" t="s">
        <v>74</v>
      </c>
      <c r="AG856">
        <v>59</v>
      </c>
      <c r="AH856">
        <v>1</v>
      </c>
      <c r="AI856">
        <v>1</v>
      </c>
      <c r="AJ856">
        <v>33</v>
      </c>
      <c r="AK856">
        <v>89</v>
      </c>
      <c r="AL856" t="s">
        <v>247</v>
      </c>
      <c r="AM856" t="s">
        <v>248</v>
      </c>
      <c r="AN856" t="s">
        <v>249</v>
      </c>
      <c r="AO856" t="s">
        <v>16228</v>
      </c>
      <c r="AP856" t="s">
        <v>16229</v>
      </c>
      <c r="AQ856" t="s">
        <v>74</v>
      </c>
      <c r="AR856" t="s">
        <v>16230</v>
      </c>
      <c r="AS856" t="s">
        <v>16231</v>
      </c>
      <c r="AT856" t="s">
        <v>805</v>
      </c>
      <c r="AU856">
        <v>2024</v>
      </c>
      <c r="AV856">
        <v>75</v>
      </c>
      <c r="AW856">
        <v>6</v>
      </c>
      <c r="AX856" t="s">
        <v>74</v>
      </c>
      <c r="AY856" t="s">
        <v>74</v>
      </c>
      <c r="AZ856" t="s">
        <v>74</v>
      </c>
      <c r="BA856" t="s">
        <v>74</v>
      </c>
      <c r="BB856" t="s">
        <v>74</v>
      </c>
      <c r="BC856" t="s">
        <v>74</v>
      </c>
      <c r="BD856" t="s">
        <v>16232</v>
      </c>
      <c r="BE856" t="s">
        <v>16233</v>
      </c>
      <c r="BF856" t="str">
        <f>HYPERLINK("http://dx.doi.org/10.1111/ejss.70017","http://dx.doi.org/10.1111/ejss.70017")</f>
        <v>http://dx.doi.org/10.1111/ejss.70017</v>
      </c>
      <c r="BG856" t="s">
        <v>74</v>
      </c>
      <c r="BH856" t="s">
        <v>74</v>
      </c>
      <c r="BI856">
        <v>17</v>
      </c>
      <c r="BJ856" t="s">
        <v>256</v>
      </c>
      <c r="BK856" t="s">
        <v>102</v>
      </c>
      <c r="BL856" t="s">
        <v>103</v>
      </c>
      <c r="BM856" t="s">
        <v>16234</v>
      </c>
      <c r="BN856" t="s">
        <v>74</v>
      </c>
      <c r="BO856" t="s">
        <v>74</v>
      </c>
      <c r="BP856" t="s">
        <v>74</v>
      </c>
      <c r="BQ856" t="s">
        <v>74</v>
      </c>
      <c r="BR856" t="s">
        <v>106</v>
      </c>
      <c r="BS856" t="s">
        <v>16235</v>
      </c>
      <c r="BT856" t="str">
        <f>HYPERLINK("https%3A%2F%2Fwww.webofscience.com%2Fwos%2Fwoscc%2Ffull-record%2FWOS:001371310800001","View Full Record in Web of Science")</f>
        <v>View Full Record in Web of Science</v>
      </c>
    </row>
    <row r="857" spans="1:72" x14ac:dyDescent="0.2">
      <c r="A857" t="s">
        <v>72</v>
      </c>
      <c r="B857" t="s">
        <v>16236</v>
      </c>
      <c r="C857" t="s">
        <v>74</v>
      </c>
      <c r="D857" t="s">
        <v>74</v>
      </c>
      <c r="E857" t="s">
        <v>74</v>
      </c>
      <c r="F857" t="s">
        <v>16237</v>
      </c>
      <c r="G857" t="s">
        <v>74</v>
      </c>
      <c r="H857" t="s">
        <v>74</v>
      </c>
      <c r="I857" t="s">
        <v>16238</v>
      </c>
      <c r="J857" t="s">
        <v>645</v>
      </c>
      <c r="K857" t="s">
        <v>74</v>
      </c>
      <c r="L857" t="s">
        <v>74</v>
      </c>
      <c r="M857" t="s">
        <v>78</v>
      </c>
      <c r="N857" t="s">
        <v>79</v>
      </c>
      <c r="O857" t="s">
        <v>74</v>
      </c>
      <c r="P857" t="s">
        <v>74</v>
      </c>
      <c r="Q857" t="s">
        <v>74</v>
      </c>
      <c r="R857" t="s">
        <v>74</v>
      </c>
      <c r="S857" t="s">
        <v>74</v>
      </c>
      <c r="T857" t="s">
        <v>16239</v>
      </c>
      <c r="U857" t="s">
        <v>16240</v>
      </c>
      <c r="V857" t="s">
        <v>16241</v>
      </c>
      <c r="W857" t="s">
        <v>16242</v>
      </c>
      <c r="X857" t="s">
        <v>16243</v>
      </c>
      <c r="Y857" t="s">
        <v>16244</v>
      </c>
      <c r="Z857" t="s">
        <v>16245</v>
      </c>
      <c r="AA857" t="s">
        <v>16246</v>
      </c>
      <c r="AB857" t="s">
        <v>16247</v>
      </c>
      <c r="AC857" t="s">
        <v>16248</v>
      </c>
      <c r="AD857" t="s">
        <v>16249</v>
      </c>
      <c r="AE857" t="s">
        <v>16250</v>
      </c>
      <c r="AF857" t="s">
        <v>74</v>
      </c>
      <c r="AG857">
        <v>60</v>
      </c>
      <c r="AH857">
        <v>6</v>
      </c>
      <c r="AI857">
        <v>7</v>
      </c>
      <c r="AJ857">
        <v>0</v>
      </c>
      <c r="AK857">
        <v>28</v>
      </c>
      <c r="AL857" t="s">
        <v>655</v>
      </c>
      <c r="AM857" t="s">
        <v>405</v>
      </c>
      <c r="AN857" t="s">
        <v>656</v>
      </c>
      <c r="AO857" t="s">
        <v>74</v>
      </c>
      <c r="AP857" t="s">
        <v>657</v>
      </c>
      <c r="AQ857" t="s">
        <v>74</v>
      </c>
      <c r="AR857" t="s">
        <v>658</v>
      </c>
      <c r="AS857" t="s">
        <v>659</v>
      </c>
      <c r="AT857" t="s">
        <v>16251</v>
      </c>
      <c r="AU857">
        <v>2022</v>
      </c>
      <c r="AV857">
        <v>10</v>
      </c>
      <c r="AW857" t="s">
        <v>74</v>
      </c>
      <c r="AX857" t="s">
        <v>74</v>
      </c>
      <c r="AY857" t="s">
        <v>74</v>
      </c>
      <c r="AZ857" t="s">
        <v>74</v>
      </c>
      <c r="BA857" t="s">
        <v>74</v>
      </c>
      <c r="BB857" t="s">
        <v>74</v>
      </c>
      <c r="BC857" t="s">
        <v>74</v>
      </c>
      <c r="BD857">
        <v>842319</v>
      </c>
      <c r="BE857" t="s">
        <v>16252</v>
      </c>
      <c r="BF857" t="str">
        <f>HYPERLINK("http://dx.doi.org/10.3389/fenvs.2022.842319","http://dx.doi.org/10.3389/fenvs.2022.842319")</f>
        <v>http://dx.doi.org/10.3389/fenvs.2022.842319</v>
      </c>
      <c r="BG857" t="s">
        <v>74</v>
      </c>
      <c r="BH857" t="s">
        <v>74</v>
      </c>
      <c r="BI857">
        <v>16</v>
      </c>
      <c r="BJ857" t="s">
        <v>567</v>
      </c>
      <c r="BK857" t="s">
        <v>102</v>
      </c>
      <c r="BL857" t="s">
        <v>568</v>
      </c>
      <c r="BM857" t="s">
        <v>16253</v>
      </c>
      <c r="BN857" t="s">
        <v>74</v>
      </c>
      <c r="BO857" t="s">
        <v>161</v>
      </c>
      <c r="BP857" t="s">
        <v>74</v>
      </c>
      <c r="BQ857" t="s">
        <v>74</v>
      </c>
      <c r="BR857" t="s">
        <v>106</v>
      </c>
      <c r="BS857" t="s">
        <v>16254</v>
      </c>
      <c r="BT857" t="str">
        <f>HYPERLINK("https%3A%2F%2Fwww.webofscience.com%2Fwos%2Fwoscc%2Ffull-record%2FWOS:000786594600001","View Full Record in Web of Science")</f>
        <v>View Full Record in Web of Science</v>
      </c>
    </row>
    <row r="858" spans="1:72" x14ac:dyDescent="0.2">
      <c r="A858" t="s">
        <v>72</v>
      </c>
      <c r="B858" t="s">
        <v>16255</v>
      </c>
      <c r="C858" t="s">
        <v>74</v>
      </c>
      <c r="D858" t="s">
        <v>74</v>
      </c>
      <c r="E858" t="s">
        <v>74</v>
      </c>
      <c r="F858" t="s">
        <v>16256</v>
      </c>
      <c r="G858" t="s">
        <v>74</v>
      </c>
      <c r="H858" t="s">
        <v>74</v>
      </c>
      <c r="I858" t="s">
        <v>16257</v>
      </c>
      <c r="J858" t="s">
        <v>7855</v>
      </c>
      <c r="K858" t="s">
        <v>74</v>
      </c>
      <c r="L858" t="s">
        <v>74</v>
      </c>
      <c r="M858" t="s">
        <v>78</v>
      </c>
      <c r="N858" t="s">
        <v>79</v>
      </c>
      <c r="O858" t="s">
        <v>74</v>
      </c>
      <c r="P858" t="s">
        <v>74</v>
      </c>
      <c r="Q858" t="s">
        <v>74</v>
      </c>
      <c r="R858" t="s">
        <v>74</v>
      </c>
      <c r="S858" t="s">
        <v>74</v>
      </c>
      <c r="T858" t="s">
        <v>16258</v>
      </c>
      <c r="U858" t="s">
        <v>16259</v>
      </c>
      <c r="V858" t="s">
        <v>16260</v>
      </c>
      <c r="W858" t="s">
        <v>16261</v>
      </c>
      <c r="X858" t="s">
        <v>16262</v>
      </c>
      <c r="Y858" t="s">
        <v>16263</v>
      </c>
      <c r="Z858" t="s">
        <v>16264</v>
      </c>
      <c r="AA858" t="s">
        <v>74</v>
      </c>
      <c r="AB858" t="s">
        <v>74</v>
      </c>
      <c r="AC858" t="s">
        <v>74</v>
      </c>
      <c r="AD858" t="s">
        <v>74</v>
      </c>
      <c r="AE858" t="s">
        <v>74</v>
      </c>
      <c r="AF858" t="s">
        <v>74</v>
      </c>
      <c r="AG858">
        <v>30</v>
      </c>
      <c r="AH858">
        <v>8</v>
      </c>
      <c r="AI858">
        <v>9</v>
      </c>
      <c r="AJ858">
        <v>3</v>
      </c>
      <c r="AK858">
        <v>38</v>
      </c>
      <c r="AL858" t="s">
        <v>16265</v>
      </c>
      <c r="AM858" t="s">
        <v>16266</v>
      </c>
      <c r="AN858" t="s">
        <v>16267</v>
      </c>
      <c r="AO858" t="s">
        <v>7870</v>
      </c>
      <c r="AP858" t="s">
        <v>7871</v>
      </c>
      <c r="AQ858" t="s">
        <v>74</v>
      </c>
      <c r="AR858" t="s">
        <v>7872</v>
      </c>
      <c r="AS858" t="s">
        <v>7873</v>
      </c>
      <c r="AT858" t="s">
        <v>1109</v>
      </c>
      <c r="AU858">
        <v>2018</v>
      </c>
      <c r="AV858">
        <v>33</v>
      </c>
      <c r="AW858" t="s">
        <v>74</v>
      </c>
      <c r="AX858" t="s">
        <v>74</v>
      </c>
      <c r="AY858" t="s">
        <v>74</v>
      </c>
      <c r="AZ858" t="s">
        <v>74</v>
      </c>
      <c r="BA858" t="s">
        <v>74</v>
      </c>
      <c r="BB858">
        <v>112</v>
      </c>
      <c r="BC858">
        <v>120</v>
      </c>
      <c r="BD858" t="s">
        <v>74</v>
      </c>
      <c r="BE858" t="s">
        <v>16268</v>
      </c>
      <c r="BF858" t="str">
        <f>HYPERLINK("http://dx.doi.org/10.1016/j.jfe.2017.11.002","http://dx.doi.org/10.1016/j.jfe.2017.11.002")</f>
        <v>http://dx.doi.org/10.1016/j.jfe.2017.11.002</v>
      </c>
      <c r="BG858" t="s">
        <v>74</v>
      </c>
      <c r="BH858" t="s">
        <v>74</v>
      </c>
      <c r="BI858">
        <v>9</v>
      </c>
      <c r="BJ858" t="s">
        <v>7875</v>
      </c>
      <c r="BK858" t="s">
        <v>186</v>
      </c>
      <c r="BL858" t="s">
        <v>7876</v>
      </c>
      <c r="BM858" t="s">
        <v>16269</v>
      </c>
      <c r="BN858" t="s">
        <v>74</v>
      </c>
      <c r="BO858" t="s">
        <v>74</v>
      </c>
      <c r="BP858" t="s">
        <v>74</v>
      </c>
      <c r="BQ858" t="s">
        <v>74</v>
      </c>
      <c r="BR858" t="s">
        <v>106</v>
      </c>
      <c r="BS858" t="s">
        <v>16270</v>
      </c>
      <c r="BT858" t="str">
        <f>HYPERLINK("https%3A%2F%2Fwww.webofscience.com%2Fwos%2Fwoscc%2Ffull-record%2FWOS:000457156900013","View Full Record in Web of Science")</f>
        <v>View Full Record in Web of Science</v>
      </c>
    </row>
    <row r="859" spans="1:72" x14ac:dyDescent="0.2">
      <c r="A859" t="s">
        <v>72</v>
      </c>
      <c r="B859" t="s">
        <v>16271</v>
      </c>
      <c r="C859" t="s">
        <v>74</v>
      </c>
      <c r="D859" t="s">
        <v>74</v>
      </c>
      <c r="E859" t="s">
        <v>74</v>
      </c>
      <c r="F859" t="s">
        <v>16272</v>
      </c>
      <c r="G859" t="s">
        <v>74</v>
      </c>
      <c r="H859" t="s">
        <v>74</v>
      </c>
      <c r="I859" t="s">
        <v>16273</v>
      </c>
      <c r="J859" t="s">
        <v>4281</v>
      </c>
      <c r="K859" t="s">
        <v>74</v>
      </c>
      <c r="L859" t="s">
        <v>74</v>
      </c>
      <c r="M859" t="s">
        <v>78</v>
      </c>
      <c r="N859" t="s">
        <v>79</v>
      </c>
      <c r="O859" t="s">
        <v>74</v>
      </c>
      <c r="P859" t="s">
        <v>74</v>
      </c>
      <c r="Q859" t="s">
        <v>74</v>
      </c>
      <c r="R859" t="s">
        <v>74</v>
      </c>
      <c r="S859" t="s">
        <v>74</v>
      </c>
      <c r="T859" t="s">
        <v>74</v>
      </c>
      <c r="U859" t="s">
        <v>16274</v>
      </c>
      <c r="V859" t="s">
        <v>16275</v>
      </c>
      <c r="W859" t="s">
        <v>16276</v>
      </c>
      <c r="X859" t="s">
        <v>16277</v>
      </c>
      <c r="Y859" t="s">
        <v>16278</v>
      </c>
      <c r="Z859" t="s">
        <v>16279</v>
      </c>
      <c r="AA859" t="s">
        <v>16280</v>
      </c>
      <c r="AB859" t="s">
        <v>16281</v>
      </c>
      <c r="AC859" t="s">
        <v>16282</v>
      </c>
      <c r="AD859" t="s">
        <v>16283</v>
      </c>
      <c r="AE859" t="s">
        <v>16284</v>
      </c>
      <c r="AF859" t="s">
        <v>74</v>
      </c>
      <c r="AG859">
        <v>63</v>
      </c>
      <c r="AH859">
        <v>410</v>
      </c>
      <c r="AI859">
        <v>473</v>
      </c>
      <c r="AJ859">
        <v>42</v>
      </c>
      <c r="AK859">
        <v>907</v>
      </c>
      <c r="AL859" t="s">
        <v>274</v>
      </c>
      <c r="AM859" t="s">
        <v>275</v>
      </c>
      <c r="AN859" t="s">
        <v>276</v>
      </c>
      <c r="AO859" t="s">
        <v>74</v>
      </c>
      <c r="AP859" t="s">
        <v>4293</v>
      </c>
      <c r="AQ859" t="s">
        <v>74</v>
      </c>
      <c r="AR859" t="s">
        <v>4294</v>
      </c>
      <c r="AS859" t="s">
        <v>4295</v>
      </c>
      <c r="AT859" t="s">
        <v>11902</v>
      </c>
      <c r="AU859">
        <v>2020</v>
      </c>
      <c r="AV859">
        <v>11</v>
      </c>
      <c r="AW859">
        <v>1</v>
      </c>
      <c r="AX859" t="s">
        <v>74</v>
      </c>
      <c r="AY859" t="s">
        <v>74</v>
      </c>
      <c r="AZ859" t="s">
        <v>74</v>
      </c>
      <c r="BA859" t="s">
        <v>74</v>
      </c>
      <c r="BB859" t="s">
        <v>74</v>
      </c>
      <c r="BC859" t="s">
        <v>74</v>
      </c>
      <c r="BD859">
        <v>129</v>
      </c>
      <c r="BE859" t="s">
        <v>16285</v>
      </c>
      <c r="BF859" t="str">
        <f>HYPERLINK("http://dx.doi.org/10.1038/s41467-019-13798-8","http://dx.doi.org/10.1038/s41467-019-13798-8")</f>
        <v>http://dx.doi.org/10.1038/s41467-019-13798-8</v>
      </c>
      <c r="BG859" t="s">
        <v>74</v>
      </c>
      <c r="BH859" t="s">
        <v>74</v>
      </c>
      <c r="BI859">
        <v>10</v>
      </c>
      <c r="BJ859" t="s">
        <v>158</v>
      </c>
      <c r="BK859" t="s">
        <v>102</v>
      </c>
      <c r="BL859" t="s">
        <v>159</v>
      </c>
      <c r="BM859" t="s">
        <v>16286</v>
      </c>
      <c r="BN859">
        <v>31913268</v>
      </c>
      <c r="BO859" t="s">
        <v>161</v>
      </c>
      <c r="BP859" t="s">
        <v>4815</v>
      </c>
      <c r="BQ859" t="s">
        <v>4816</v>
      </c>
      <c r="BR859" t="s">
        <v>106</v>
      </c>
      <c r="BS859" t="s">
        <v>16287</v>
      </c>
      <c r="BT859" t="str">
        <f>HYPERLINK("https%3A%2F%2Fwww.webofscience.com%2Fwos%2Fwoscc%2Ffull-record%2FWOS:000512536000019","View Full Record in Web of Science")</f>
        <v>View Full Record in Web of Science</v>
      </c>
    </row>
    <row r="860" spans="1:72" x14ac:dyDescent="0.2">
      <c r="A860" t="s">
        <v>72</v>
      </c>
      <c r="B860" t="s">
        <v>16288</v>
      </c>
      <c r="C860" t="s">
        <v>74</v>
      </c>
      <c r="D860" t="s">
        <v>74</v>
      </c>
      <c r="E860" t="s">
        <v>74</v>
      </c>
      <c r="F860" t="s">
        <v>16289</v>
      </c>
      <c r="G860" t="s">
        <v>74</v>
      </c>
      <c r="H860" t="s">
        <v>74</v>
      </c>
      <c r="I860" t="s">
        <v>16290</v>
      </c>
      <c r="J860" t="s">
        <v>2479</v>
      </c>
      <c r="K860" t="s">
        <v>74</v>
      </c>
      <c r="L860" t="s">
        <v>74</v>
      </c>
      <c r="M860" t="s">
        <v>78</v>
      </c>
      <c r="N860" t="s">
        <v>79</v>
      </c>
      <c r="O860" t="s">
        <v>74</v>
      </c>
      <c r="P860" t="s">
        <v>74</v>
      </c>
      <c r="Q860" t="s">
        <v>74</v>
      </c>
      <c r="R860" t="s">
        <v>74</v>
      </c>
      <c r="S860" t="s">
        <v>74</v>
      </c>
      <c r="T860" t="s">
        <v>16291</v>
      </c>
      <c r="U860" t="s">
        <v>74</v>
      </c>
      <c r="V860" t="s">
        <v>16292</v>
      </c>
      <c r="W860" t="s">
        <v>16293</v>
      </c>
      <c r="X860" t="s">
        <v>16294</v>
      </c>
      <c r="Y860" t="s">
        <v>16295</v>
      </c>
      <c r="Z860" t="s">
        <v>16296</v>
      </c>
      <c r="AA860" t="s">
        <v>16297</v>
      </c>
      <c r="AB860" t="s">
        <v>16298</v>
      </c>
      <c r="AC860" t="s">
        <v>16299</v>
      </c>
      <c r="AD860" t="s">
        <v>16299</v>
      </c>
      <c r="AE860" t="s">
        <v>16300</v>
      </c>
      <c r="AF860" t="s">
        <v>74</v>
      </c>
      <c r="AG860">
        <v>12</v>
      </c>
      <c r="AH860">
        <v>1</v>
      </c>
      <c r="AI860">
        <v>1</v>
      </c>
      <c r="AJ860">
        <v>1</v>
      </c>
      <c r="AK860">
        <v>26</v>
      </c>
      <c r="AL860" t="s">
        <v>2492</v>
      </c>
      <c r="AM860" t="s">
        <v>2493</v>
      </c>
      <c r="AN860" t="s">
        <v>2494</v>
      </c>
      <c r="AO860" t="s">
        <v>2495</v>
      </c>
      <c r="AP860" t="s">
        <v>74</v>
      </c>
      <c r="AQ860" t="s">
        <v>74</v>
      </c>
      <c r="AR860" t="s">
        <v>2496</v>
      </c>
      <c r="AS860" t="s">
        <v>2497</v>
      </c>
      <c r="AT860" t="s">
        <v>1109</v>
      </c>
      <c r="AU860">
        <v>2017</v>
      </c>
      <c r="AV860">
        <v>39</v>
      </c>
      <c r="AW860">
        <v>6</v>
      </c>
      <c r="AX860" t="s">
        <v>74</v>
      </c>
      <c r="AY860" t="s">
        <v>74</v>
      </c>
      <c r="AZ860" t="s">
        <v>74</v>
      </c>
      <c r="BA860" t="s">
        <v>74</v>
      </c>
      <c r="BB860">
        <v>896</v>
      </c>
      <c r="BC860">
        <v>902</v>
      </c>
      <c r="BD860" t="s">
        <v>74</v>
      </c>
      <c r="BE860" t="s">
        <v>74</v>
      </c>
      <c r="BF860" t="s">
        <v>74</v>
      </c>
      <c r="BG860" t="s">
        <v>74</v>
      </c>
      <c r="BH860" t="s">
        <v>74</v>
      </c>
      <c r="BI860">
        <v>7</v>
      </c>
      <c r="BJ860" t="s">
        <v>2498</v>
      </c>
      <c r="BK860" t="s">
        <v>102</v>
      </c>
      <c r="BL860" t="s">
        <v>2499</v>
      </c>
      <c r="BM860" t="s">
        <v>16301</v>
      </c>
      <c r="BN860" t="s">
        <v>74</v>
      </c>
      <c r="BO860" t="s">
        <v>74</v>
      </c>
      <c r="BP860" t="s">
        <v>74</v>
      </c>
      <c r="BQ860" t="s">
        <v>74</v>
      </c>
      <c r="BR860" t="s">
        <v>106</v>
      </c>
      <c r="BS860" t="s">
        <v>16302</v>
      </c>
      <c r="BT860" t="str">
        <f>HYPERLINK("https%3A%2F%2Fwww.webofscience.com%2Fwos%2Fwoscc%2Ffull-record%2FWOS:000419170200002","View Full Record in Web of Science")</f>
        <v>View Full Record in Web of Science</v>
      </c>
    </row>
    <row r="861" spans="1:72" x14ac:dyDescent="0.2">
      <c r="A861" t="s">
        <v>72</v>
      </c>
      <c r="B861" t="s">
        <v>16303</v>
      </c>
      <c r="C861" t="s">
        <v>74</v>
      </c>
      <c r="D861" t="s">
        <v>74</v>
      </c>
      <c r="E861" t="s">
        <v>74</v>
      </c>
      <c r="F861" t="s">
        <v>16304</v>
      </c>
      <c r="G861" t="s">
        <v>74</v>
      </c>
      <c r="H861" t="s">
        <v>74</v>
      </c>
      <c r="I861" t="s">
        <v>16305</v>
      </c>
      <c r="J861" t="s">
        <v>16306</v>
      </c>
      <c r="K861" t="s">
        <v>74</v>
      </c>
      <c r="L861" t="s">
        <v>74</v>
      </c>
      <c r="M861" t="s">
        <v>78</v>
      </c>
      <c r="N861" t="s">
        <v>79</v>
      </c>
      <c r="O861" t="s">
        <v>74</v>
      </c>
      <c r="P861" t="s">
        <v>74</v>
      </c>
      <c r="Q861" t="s">
        <v>74</v>
      </c>
      <c r="R861" t="s">
        <v>74</v>
      </c>
      <c r="S861" t="s">
        <v>74</v>
      </c>
      <c r="T861" t="s">
        <v>74</v>
      </c>
      <c r="U861" t="s">
        <v>16307</v>
      </c>
      <c r="V861" t="s">
        <v>16308</v>
      </c>
      <c r="W861" t="s">
        <v>16309</v>
      </c>
      <c r="X861" t="s">
        <v>16310</v>
      </c>
      <c r="Y861" t="s">
        <v>16311</v>
      </c>
      <c r="Z861" t="s">
        <v>16312</v>
      </c>
      <c r="AA861" t="s">
        <v>16313</v>
      </c>
      <c r="AB861" t="s">
        <v>16314</v>
      </c>
      <c r="AC861" t="s">
        <v>16315</v>
      </c>
      <c r="AD861" t="s">
        <v>16316</v>
      </c>
      <c r="AE861" t="s">
        <v>16317</v>
      </c>
      <c r="AF861" t="s">
        <v>74</v>
      </c>
      <c r="AG861">
        <v>41</v>
      </c>
      <c r="AH861">
        <v>44</v>
      </c>
      <c r="AI861">
        <v>48</v>
      </c>
      <c r="AJ861">
        <v>3</v>
      </c>
      <c r="AK861">
        <v>91</v>
      </c>
      <c r="AL861" t="s">
        <v>247</v>
      </c>
      <c r="AM861" t="s">
        <v>248</v>
      </c>
      <c r="AN861" t="s">
        <v>249</v>
      </c>
      <c r="AO861" t="s">
        <v>16318</v>
      </c>
      <c r="AP861" t="s">
        <v>16319</v>
      </c>
      <c r="AQ861" t="s">
        <v>74</v>
      </c>
      <c r="AR861" t="s">
        <v>16320</v>
      </c>
      <c r="AS861" t="s">
        <v>16321</v>
      </c>
      <c r="AT861" t="s">
        <v>10341</v>
      </c>
      <c r="AU861">
        <v>2015</v>
      </c>
      <c r="AV861">
        <v>44</v>
      </c>
      <c r="AW861">
        <v>4</v>
      </c>
      <c r="AX861" t="s">
        <v>74</v>
      </c>
      <c r="AY861" t="s">
        <v>74</v>
      </c>
      <c r="AZ861" t="s">
        <v>74</v>
      </c>
      <c r="BA861" t="s">
        <v>74</v>
      </c>
      <c r="BB861">
        <v>1080</v>
      </c>
      <c r="BC861">
        <v>1090</v>
      </c>
      <c r="BD861" t="s">
        <v>74</v>
      </c>
      <c r="BE861" t="s">
        <v>16322</v>
      </c>
      <c r="BF861" t="str">
        <f>HYPERLINK("http://dx.doi.org/10.2134/jeq2015.01.0014","http://dx.doi.org/10.2134/jeq2015.01.0014")</f>
        <v>http://dx.doi.org/10.2134/jeq2015.01.0014</v>
      </c>
      <c r="BG861" t="s">
        <v>74</v>
      </c>
      <c r="BH861" t="s">
        <v>74</v>
      </c>
      <c r="BI861">
        <v>11</v>
      </c>
      <c r="BJ861" t="s">
        <v>567</v>
      </c>
      <c r="BK861" t="s">
        <v>102</v>
      </c>
      <c r="BL861" t="s">
        <v>568</v>
      </c>
      <c r="BM861" t="s">
        <v>16323</v>
      </c>
      <c r="BN861">
        <v>26437089</v>
      </c>
      <c r="BO861" t="s">
        <v>541</v>
      </c>
      <c r="BP861" t="s">
        <v>74</v>
      </c>
      <c r="BQ861" t="s">
        <v>74</v>
      </c>
      <c r="BR861" t="s">
        <v>106</v>
      </c>
      <c r="BS861" t="s">
        <v>16324</v>
      </c>
      <c r="BT861" t="str">
        <f>HYPERLINK("https%3A%2F%2Fwww.webofscience.com%2Fwos%2Fwoscc%2Ffull-record%2FWOS:000360852600006","View Full Record in Web of Science")</f>
        <v>View Full Record in Web of Science</v>
      </c>
    </row>
    <row r="862" spans="1:72" x14ac:dyDescent="0.2">
      <c r="A862" t="s">
        <v>72</v>
      </c>
      <c r="B862" t="s">
        <v>16325</v>
      </c>
      <c r="C862" t="s">
        <v>74</v>
      </c>
      <c r="D862" t="s">
        <v>74</v>
      </c>
      <c r="E862" t="s">
        <v>74</v>
      </c>
      <c r="F862" t="s">
        <v>16326</v>
      </c>
      <c r="G862" t="s">
        <v>74</v>
      </c>
      <c r="H862" t="s">
        <v>74</v>
      </c>
      <c r="I862" t="s">
        <v>16327</v>
      </c>
      <c r="J862" t="s">
        <v>1451</v>
      </c>
      <c r="K862" t="s">
        <v>74</v>
      </c>
      <c r="L862" t="s">
        <v>74</v>
      </c>
      <c r="M862" t="s">
        <v>78</v>
      </c>
      <c r="N862" t="s">
        <v>79</v>
      </c>
      <c r="O862" t="s">
        <v>74</v>
      </c>
      <c r="P862" t="s">
        <v>74</v>
      </c>
      <c r="Q862" t="s">
        <v>74</v>
      </c>
      <c r="R862" t="s">
        <v>74</v>
      </c>
      <c r="S862" t="s">
        <v>74</v>
      </c>
      <c r="T862" t="s">
        <v>16328</v>
      </c>
      <c r="U862" t="s">
        <v>16329</v>
      </c>
      <c r="V862" t="s">
        <v>16330</v>
      </c>
      <c r="W862" t="s">
        <v>16331</v>
      </c>
      <c r="X862" t="s">
        <v>3997</v>
      </c>
      <c r="Y862" t="s">
        <v>16332</v>
      </c>
      <c r="Z862" t="s">
        <v>16333</v>
      </c>
      <c r="AA862" t="s">
        <v>16334</v>
      </c>
      <c r="AB862" t="s">
        <v>16335</v>
      </c>
      <c r="AC862" t="s">
        <v>16336</v>
      </c>
      <c r="AD862" t="s">
        <v>16337</v>
      </c>
      <c r="AE862" t="s">
        <v>16338</v>
      </c>
      <c r="AF862" t="s">
        <v>74</v>
      </c>
      <c r="AG862">
        <v>55</v>
      </c>
      <c r="AH862">
        <v>10</v>
      </c>
      <c r="AI862">
        <v>14</v>
      </c>
      <c r="AJ862">
        <v>18</v>
      </c>
      <c r="AK862">
        <v>117</v>
      </c>
      <c r="AL862" t="s">
        <v>123</v>
      </c>
      <c r="AM862" t="s">
        <v>124</v>
      </c>
      <c r="AN862" t="s">
        <v>125</v>
      </c>
      <c r="AO862" t="s">
        <v>1464</v>
      </c>
      <c r="AP862" t="s">
        <v>1465</v>
      </c>
      <c r="AQ862" t="s">
        <v>74</v>
      </c>
      <c r="AR862" t="s">
        <v>1466</v>
      </c>
      <c r="AS862" t="s">
        <v>1467</v>
      </c>
      <c r="AT862" t="s">
        <v>1040</v>
      </c>
      <c r="AU862">
        <v>2023</v>
      </c>
      <c r="AV862">
        <v>352</v>
      </c>
      <c r="AW862" t="s">
        <v>74</v>
      </c>
      <c r="AX862" t="s">
        <v>74</v>
      </c>
      <c r="AY862" t="s">
        <v>74</v>
      </c>
      <c r="AZ862" t="s">
        <v>74</v>
      </c>
      <c r="BA862" t="s">
        <v>74</v>
      </c>
      <c r="BB862" t="s">
        <v>74</v>
      </c>
      <c r="BC862" t="s">
        <v>74</v>
      </c>
      <c r="BD862">
        <v>108535</v>
      </c>
      <c r="BE862" t="s">
        <v>16339</v>
      </c>
      <c r="BF862" t="str">
        <f>HYPERLINK("http://dx.doi.org/10.1016/j.agee.2023.108535","http://dx.doi.org/10.1016/j.agee.2023.108535")</f>
        <v>http://dx.doi.org/10.1016/j.agee.2023.108535</v>
      </c>
      <c r="BG862" t="s">
        <v>74</v>
      </c>
      <c r="BH862" t="s">
        <v>2580</v>
      </c>
      <c r="BI862">
        <v>11</v>
      </c>
      <c r="BJ862" t="s">
        <v>1470</v>
      </c>
      <c r="BK862" t="s">
        <v>102</v>
      </c>
      <c r="BL862" t="s">
        <v>1471</v>
      </c>
      <c r="BM862" t="s">
        <v>16340</v>
      </c>
      <c r="BN862" t="s">
        <v>74</v>
      </c>
      <c r="BO862" t="s">
        <v>74</v>
      </c>
      <c r="BP862" t="s">
        <v>74</v>
      </c>
      <c r="BQ862" t="s">
        <v>74</v>
      </c>
      <c r="BR862" t="s">
        <v>106</v>
      </c>
      <c r="BS862" t="s">
        <v>16341</v>
      </c>
      <c r="BT862" t="str">
        <f>HYPERLINK("https%3A%2F%2Fwww.webofscience.com%2Fwos%2Fwoscc%2Ffull-record%2FWOS:001053265200001","View Full Record in Web of Science")</f>
        <v>View Full Record in Web of Science</v>
      </c>
    </row>
    <row r="863" spans="1:72" x14ac:dyDescent="0.2">
      <c r="A863" t="s">
        <v>72</v>
      </c>
      <c r="B863" t="s">
        <v>16342</v>
      </c>
      <c r="C863" t="s">
        <v>74</v>
      </c>
      <c r="D863" t="s">
        <v>74</v>
      </c>
      <c r="E863" t="s">
        <v>74</v>
      </c>
      <c r="F863" t="s">
        <v>16343</v>
      </c>
      <c r="G863" t="s">
        <v>74</v>
      </c>
      <c r="H863" t="s">
        <v>74</v>
      </c>
      <c r="I863" t="s">
        <v>16344</v>
      </c>
      <c r="J863" t="s">
        <v>16345</v>
      </c>
      <c r="K863" t="s">
        <v>74</v>
      </c>
      <c r="L863" t="s">
        <v>74</v>
      </c>
      <c r="M863" t="s">
        <v>78</v>
      </c>
      <c r="N863" t="s">
        <v>79</v>
      </c>
      <c r="O863" t="s">
        <v>74</v>
      </c>
      <c r="P863" t="s">
        <v>74</v>
      </c>
      <c r="Q863" t="s">
        <v>74</v>
      </c>
      <c r="R863" t="s">
        <v>74</v>
      </c>
      <c r="S863" t="s">
        <v>74</v>
      </c>
      <c r="T863" t="s">
        <v>16346</v>
      </c>
      <c r="U863" t="s">
        <v>1877</v>
      </c>
      <c r="V863" t="s">
        <v>16347</v>
      </c>
      <c r="W863" t="s">
        <v>16348</v>
      </c>
      <c r="X863" t="s">
        <v>16349</v>
      </c>
      <c r="Y863" t="s">
        <v>16350</v>
      </c>
      <c r="Z863" t="s">
        <v>16351</v>
      </c>
      <c r="AA863" t="s">
        <v>74</v>
      </c>
      <c r="AB863" t="s">
        <v>16352</v>
      </c>
      <c r="AC863" t="s">
        <v>16353</v>
      </c>
      <c r="AD863" t="s">
        <v>16353</v>
      </c>
      <c r="AE863" t="s">
        <v>16354</v>
      </c>
      <c r="AF863" t="s">
        <v>74</v>
      </c>
      <c r="AG863">
        <v>34</v>
      </c>
      <c r="AH863">
        <v>5</v>
      </c>
      <c r="AI863">
        <v>5</v>
      </c>
      <c r="AJ863">
        <v>2</v>
      </c>
      <c r="AK863">
        <v>17</v>
      </c>
      <c r="AL863" t="s">
        <v>16355</v>
      </c>
      <c r="AM863" t="s">
        <v>16356</v>
      </c>
      <c r="AN863" t="s">
        <v>16357</v>
      </c>
      <c r="AO863" t="s">
        <v>16358</v>
      </c>
      <c r="AP863" t="s">
        <v>16359</v>
      </c>
      <c r="AQ863" t="s">
        <v>74</v>
      </c>
      <c r="AR863" t="s">
        <v>16360</v>
      </c>
      <c r="AS863" t="s">
        <v>16361</v>
      </c>
      <c r="AT863" t="s">
        <v>99</v>
      </c>
      <c r="AU863">
        <v>2015</v>
      </c>
      <c r="AV863">
        <v>17</v>
      </c>
      <c r="AW863">
        <v>1</v>
      </c>
      <c r="AX863" t="s">
        <v>74</v>
      </c>
      <c r="AY863" t="s">
        <v>74</v>
      </c>
      <c r="AZ863" t="s">
        <v>74</v>
      </c>
      <c r="BA863" t="s">
        <v>74</v>
      </c>
      <c r="BB863">
        <v>66</v>
      </c>
      <c r="BC863">
        <v>75</v>
      </c>
      <c r="BD863" t="s">
        <v>74</v>
      </c>
      <c r="BE863" t="s">
        <v>16362</v>
      </c>
      <c r="BF863" t="str">
        <f>HYPERLINK("http://dx.doi.org/10.1505/146554815814725103","http://dx.doi.org/10.1505/146554815814725103")</f>
        <v>http://dx.doi.org/10.1505/146554815814725103</v>
      </c>
      <c r="BG863" t="s">
        <v>74</v>
      </c>
      <c r="BH863" t="s">
        <v>74</v>
      </c>
      <c r="BI863">
        <v>10</v>
      </c>
      <c r="BJ863" t="s">
        <v>132</v>
      </c>
      <c r="BK863" t="s">
        <v>102</v>
      </c>
      <c r="BL863" t="s">
        <v>132</v>
      </c>
      <c r="BM863" t="s">
        <v>16363</v>
      </c>
      <c r="BN863" t="s">
        <v>74</v>
      </c>
      <c r="BO863" t="s">
        <v>74</v>
      </c>
      <c r="BP863" t="s">
        <v>74</v>
      </c>
      <c r="BQ863" t="s">
        <v>74</v>
      </c>
      <c r="BR863" t="s">
        <v>106</v>
      </c>
      <c r="BS863" t="s">
        <v>16364</v>
      </c>
      <c r="BT863" t="str">
        <f>HYPERLINK("https%3A%2F%2Fwww.webofscience.com%2Fwos%2Fwoscc%2Ffull-record%2FWOS:000351674300006","View Full Record in Web of Science")</f>
        <v>View Full Record in Web of Science</v>
      </c>
    </row>
    <row r="864" spans="1:72" x14ac:dyDescent="0.2">
      <c r="A864" t="s">
        <v>72</v>
      </c>
      <c r="B864" t="s">
        <v>16365</v>
      </c>
      <c r="C864" t="s">
        <v>74</v>
      </c>
      <c r="D864" t="s">
        <v>74</v>
      </c>
      <c r="E864" t="s">
        <v>74</v>
      </c>
      <c r="F864" t="s">
        <v>16366</v>
      </c>
      <c r="G864" t="s">
        <v>74</v>
      </c>
      <c r="H864" t="s">
        <v>74</v>
      </c>
      <c r="I864" t="s">
        <v>16367</v>
      </c>
      <c r="J864" t="s">
        <v>1451</v>
      </c>
      <c r="K864" t="s">
        <v>74</v>
      </c>
      <c r="L864" t="s">
        <v>74</v>
      </c>
      <c r="M864" t="s">
        <v>78</v>
      </c>
      <c r="N864" t="s">
        <v>79</v>
      </c>
      <c r="O864" t="s">
        <v>74</v>
      </c>
      <c r="P864" t="s">
        <v>74</v>
      </c>
      <c r="Q864" t="s">
        <v>74</v>
      </c>
      <c r="R864" t="s">
        <v>74</v>
      </c>
      <c r="S864" t="s">
        <v>74</v>
      </c>
      <c r="T864" t="s">
        <v>16368</v>
      </c>
      <c r="U864" t="s">
        <v>16369</v>
      </c>
      <c r="V864" t="s">
        <v>16370</v>
      </c>
      <c r="W864" t="s">
        <v>16371</v>
      </c>
      <c r="X864" t="s">
        <v>16372</v>
      </c>
      <c r="Y864" t="s">
        <v>16373</v>
      </c>
      <c r="Z864" t="s">
        <v>16374</v>
      </c>
      <c r="AA864" t="s">
        <v>16375</v>
      </c>
      <c r="AB864" t="s">
        <v>16376</v>
      </c>
      <c r="AC864" t="s">
        <v>16377</v>
      </c>
      <c r="AD864" t="s">
        <v>16378</v>
      </c>
      <c r="AE864" t="s">
        <v>16379</v>
      </c>
      <c r="AF864" t="s">
        <v>74</v>
      </c>
      <c r="AG864">
        <v>65</v>
      </c>
      <c r="AH864">
        <v>14</v>
      </c>
      <c r="AI864">
        <v>15</v>
      </c>
      <c r="AJ864">
        <v>6</v>
      </c>
      <c r="AK864">
        <v>80</v>
      </c>
      <c r="AL864" t="s">
        <v>123</v>
      </c>
      <c r="AM864" t="s">
        <v>124</v>
      </c>
      <c r="AN864" t="s">
        <v>125</v>
      </c>
      <c r="AO864" t="s">
        <v>1464</v>
      </c>
      <c r="AP864" t="s">
        <v>1465</v>
      </c>
      <c r="AQ864" t="s">
        <v>74</v>
      </c>
      <c r="AR864" t="s">
        <v>1466</v>
      </c>
      <c r="AS864" t="s">
        <v>1467</v>
      </c>
      <c r="AT864" t="s">
        <v>3270</v>
      </c>
      <c r="AU864">
        <v>2021</v>
      </c>
      <c r="AV864">
        <v>315</v>
      </c>
      <c r="AW864" t="s">
        <v>74</v>
      </c>
      <c r="AX864" t="s">
        <v>74</v>
      </c>
      <c r="AY864" t="s">
        <v>74</v>
      </c>
      <c r="AZ864" t="s">
        <v>74</v>
      </c>
      <c r="BA864" t="s">
        <v>74</v>
      </c>
      <c r="BB864" t="s">
        <v>74</v>
      </c>
      <c r="BC864" t="s">
        <v>74</v>
      </c>
      <c r="BD864">
        <v>107439</v>
      </c>
      <c r="BE864" t="s">
        <v>16380</v>
      </c>
      <c r="BF864" t="str">
        <f>HYPERLINK("http://dx.doi.org/10.1016/j.agee.2021.107439","http://dx.doi.org/10.1016/j.agee.2021.107439")</f>
        <v>http://dx.doi.org/10.1016/j.agee.2021.107439</v>
      </c>
      <c r="BG864" t="s">
        <v>74</v>
      </c>
      <c r="BH864" t="s">
        <v>13843</v>
      </c>
      <c r="BI864">
        <v>9</v>
      </c>
      <c r="BJ864" t="s">
        <v>1470</v>
      </c>
      <c r="BK864" t="s">
        <v>102</v>
      </c>
      <c r="BL864" t="s">
        <v>1471</v>
      </c>
      <c r="BM864" t="s">
        <v>16381</v>
      </c>
      <c r="BN864" t="s">
        <v>74</v>
      </c>
      <c r="BO864" t="s">
        <v>74</v>
      </c>
      <c r="BP864" t="s">
        <v>74</v>
      </c>
      <c r="BQ864" t="s">
        <v>74</v>
      </c>
      <c r="BR864" t="s">
        <v>106</v>
      </c>
      <c r="BS864" t="s">
        <v>16382</v>
      </c>
      <c r="BT864" t="str">
        <f>HYPERLINK("https%3A%2F%2Fwww.webofscience.com%2Fwos%2Fwoscc%2Ffull-record%2FWOS:000647674800012","View Full Record in Web of Science")</f>
        <v>View Full Record in Web of Science</v>
      </c>
    </row>
    <row r="865" spans="1:72" x14ac:dyDescent="0.2">
      <c r="A865" t="s">
        <v>72</v>
      </c>
      <c r="B865" t="s">
        <v>16383</v>
      </c>
      <c r="C865" t="s">
        <v>74</v>
      </c>
      <c r="D865" t="s">
        <v>74</v>
      </c>
      <c r="E865" t="s">
        <v>74</v>
      </c>
      <c r="F865" t="s">
        <v>16384</v>
      </c>
      <c r="G865" t="s">
        <v>74</v>
      </c>
      <c r="H865" t="s">
        <v>74</v>
      </c>
      <c r="I865" t="s">
        <v>16385</v>
      </c>
      <c r="J865" t="s">
        <v>1760</v>
      </c>
      <c r="K865" t="s">
        <v>74</v>
      </c>
      <c r="L865" t="s">
        <v>74</v>
      </c>
      <c r="M865" t="s">
        <v>78</v>
      </c>
      <c r="N865" t="s">
        <v>79</v>
      </c>
      <c r="O865" t="s">
        <v>74</v>
      </c>
      <c r="P865" t="s">
        <v>74</v>
      </c>
      <c r="Q865" t="s">
        <v>74</v>
      </c>
      <c r="R865" t="s">
        <v>74</v>
      </c>
      <c r="S865" t="s">
        <v>74</v>
      </c>
      <c r="T865" t="s">
        <v>16386</v>
      </c>
      <c r="U865" t="s">
        <v>16387</v>
      </c>
      <c r="V865" t="s">
        <v>16388</v>
      </c>
      <c r="W865" t="s">
        <v>16389</v>
      </c>
      <c r="X865" t="s">
        <v>16390</v>
      </c>
      <c r="Y865" t="s">
        <v>16391</v>
      </c>
      <c r="Z865" t="s">
        <v>16392</v>
      </c>
      <c r="AA865" t="s">
        <v>74</v>
      </c>
      <c r="AB865" t="s">
        <v>74</v>
      </c>
      <c r="AC865" t="s">
        <v>74</v>
      </c>
      <c r="AD865" t="s">
        <v>74</v>
      </c>
      <c r="AE865" t="s">
        <v>74</v>
      </c>
      <c r="AF865" t="s">
        <v>74</v>
      </c>
      <c r="AG865">
        <v>50</v>
      </c>
      <c r="AH865">
        <v>0</v>
      </c>
      <c r="AI865">
        <v>0</v>
      </c>
      <c r="AJ865">
        <v>0</v>
      </c>
      <c r="AK865">
        <v>0</v>
      </c>
      <c r="AL865" t="s">
        <v>1772</v>
      </c>
      <c r="AM865" t="s">
        <v>1773</v>
      </c>
      <c r="AN865" t="s">
        <v>1774</v>
      </c>
      <c r="AO865" t="s">
        <v>1775</v>
      </c>
      <c r="AP865" t="s">
        <v>74</v>
      </c>
      <c r="AQ865" t="s">
        <v>74</v>
      </c>
      <c r="AR865" t="s">
        <v>1776</v>
      </c>
      <c r="AS865" t="s">
        <v>1777</v>
      </c>
      <c r="AT865" t="s">
        <v>74</v>
      </c>
      <c r="AU865">
        <v>2025</v>
      </c>
      <c r="AV865">
        <v>27</v>
      </c>
      <c r="AW865">
        <v>7</v>
      </c>
      <c r="AX865" t="s">
        <v>74</v>
      </c>
      <c r="AY865" t="s">
        <v>74</v>
      </c>
      <c r="AZ865" t="s">
        <v>74</v>
      </c>
      <c r="BA865" t="s">
        <v>74</v>
      </c>
      <c r="BB865" t="s">
        <v>74</v>
      </c>
      <c r="BC865" t="s">
        <v>74</v>
      </c>
      <c r="BD865">
        <v>7413</v>
      </c>
      <c r="BE865" t="s">
        <v>16393</v>
      </c>
      <c r="BF865" t="str">
        <f>HYPERLINK("http://dx.doi.org/10.30955/gnj.07413","http://dx.doi.org/10.30955/gnj.07413")</f>
        <v>http://dx.doi.org/10.30955/gnj.07413</v>
      </c>
      <c r="BG865" t="s">
        <v>74</v>
      </c>
      <c r="BH865" t="s">
        <v>74</v>
      </c>
      <c r="BI865">
        <v>14</v>
      </c>
      <c r="BJ865" t="s">
        <v>567</v>
      </c>
      <c r="BK865" t="s">
        <v>102</v>
      </c>
      <c r="BL865" t="s">
        <v>568</v>
      </c>
      <c r="BM865" t="s">
        <v>16394</v>
      </c>
      <c r="BN865" t="s">
        <v>74</v>
      </c>
      <c r="BO865" t="s">
        <v>3889</v>
      </c>
      <c r="BP865" t="s">
        <v>74</v>
      </c>
      <c r="BQ865" t="s">
        <v>74</v>
      </c>
      <c r="BR865" t="s">
        <v>106</v>
      </c>
      <c r="BS865" t="s">
        <v>16395</v>
      </c>
      <c r="BT865" t="str">
        <f>HYPERLINK("https%3A%2F%2Fwww.webofscience.com%2Fwos%2Fwoscc%2Ffull-record%2FWOS:001589115100015","View Full Record in Web of Science")</f>
        <v>View Full Record in Web of Science</v>
      </c>
    </row>
    <row r="866" spans="1:72" x14ac:dyDescent="0.2">
      <c r="A866" t="s">
        <v>72</v>
      </c>
      <c r="B866" t="s">
        <v>16396</v>
      </c>
      <c r="C866" t="s">
        <v>74</v>
      </c>
      <c r="D866" t="s">
        <v>74</v>
      </c>
      <c r="E866" t="s">
        <v>74</v>
      </c>
      <c r="F866" t="s">
        <v>16397</v>
      </c>
      <c r="G866" t="s">
        <v>74</v>
      </c>
      <c r="H866" t="s">
        <v>74</v>
      </c>
      <c r="I866" t="s">
        <v>16398</v>
      </c>
      <c r="J866" t="s">
        <v>468</v>
      </c>
      <c r="K866" t="s">
        <v>74</v>
      </c>
      <c r="L866" t="s">
        <v>74</v>
      </c>
      <c r="M866" t="s">
        <v>78</v>
      </c>
      <c r="N866" t="s">
        <v>79</v>
      </c>
      <c r="O866" t="s">
        <v>74</v>
      </c>
      <c r="P866" t="s">
        <v>74</v>
      </c>
      <c r="Q866" t="s">
        <v>74</v>
      </c>
      <c r="R866" t="s">
        <v>74</v>
      </c>
      <c r="S866" t="s">
        <v>74</v>
      </c>
      <c r="T866" t="s">
        <v>16399</v>
      </c>
      <c r="U866" t="s">
        <v>16400</v>
      </c>
      <c r="V866" t="s">
        <v>16401</v>
      </c>
      <c r="W866" t="s">
        <v>16402</v>
      </c>
      <c r="X866" t="s">
        <v>16403</v>
      </c>
      <c r="Y866" t="s">
        <v>16404</v>
      </c>
      <c r="Z866" t="s">
        <v>16405</v>
      </c>
      <c r="AA866" t="s">
        <v>16406</v>
      </c>
      <c r="AB866" t="s">
        <v>74</v>
      </c>
      <c r="AC866" t="s">
        <v>16407</v>
      </c>
      <c r="AD866" t="s">
        <v>16408</v>
      </c>
      <c r="AE866" t="s">
        <v>16409</v>
      </c>
      <c r="AF866" t="s">
        <v>74</v>
      </c>
      <c r="AG866">
        <v>48</v>
      </c>
      <c r="AH866">
        <v>2</v>
      </c>
      <c r="AI866">
        <v>3</v>
      </c>
      <c r="AJ866">
        <v>11</v>
      </c>
      <c r="AK866">
        <v>21</v>
      </c>
      <c r="AL866" t="s">
        <v>222</v>
      </c>
      <c r="AM866" t="s">
        <v>223</v>
      </c>
      <c r="AN866" t="s">
        <v>478</v>
      </c>
      <c r="AO866" t="s">
        <v>74</v>
      </c>
      <c r="AP866" t="s">
        <v>479</v>
      </c>
      <c r="AQ866" t="s">
        <v>74</v>
      </c>
      <c r="AR866" t="s">
        <v>480</v>
      </c>
      <c r="AS866" t="s">
        <v>481</v>
      </c>
      <c r="AT866" t="s">
        <v>459</v>
      </c>
      <c r="AU866">
        <v>2025</v>
      </c>
      <c r="AV866">
        <v>17</v>
      </c>
      <c r="AW866">
        <v>4</v>
      </c>
      <c r="AX866" t="s">
        <v>74</v>
      </c>
      <c r="AY866" t="s">
        <v>74</v>
      </c>
      <c r="AZ866" t="s">
        <v>74</v>
      </c>
      <c r="BA866" t="s">
        <v>74</v>
      </c>
      <c r="BB866" t="s">
        <v>74</v>
      </c>
      <c r="BC866" t="s">
        <v>74</v>
      </c>
      <c r="BD866">
        <v>1617</v>
      </c>
      <c r="BE866" t="s">
        <v>16410</v>
      </c>
      <c r="BF866" t="str">
        <f>HYPERLINK("http://dx.doi.org/10.3390/su17041617","http://dx.doi.org/10.3390/su17041617")</f>
        <v>http://dx.doi.org/10.3390/su17041617</v>
      </c>
      <c r="BG866" t="s">
        <v>74</v>
      </c>
      <c r="BH866" t="s">
        <v>74</v>
      </c>
      <c r="BI866">
        <v>20</v>
      </c>
      <c r="BJ866" t="s">
        <v>484</v>
      </c>
      <c r="BK866" t="s">
        <v>186</v>
      </c>
      <c r="BL866" t="s">
        <v>485</v>
      </c>
      <c r="BM866" t="s">
        <v>16411</v>
      </c>
      <c r="BN866" t="s">
        <v>74</v>
      </c>
      <c r="BO866" t="s">
        <v>231</v>
      </c>
      <c r="BP866" t="s">
        <v>74</v>
      </c>
      <c r="BQ866" t="s">
        <v>74</v>
      </c>
      <c r="BR866" t="s">
        <v>106</v>
      </c>
      <c r="BS866" t="s">
        <v>16412</v>
      </c>
      <c r="BT866" t="str">
        <f>HYPERLINK("https%3A%2F%2Fwww.webofscience.com%2Fwos%2Fwoscc%2Ffull-record%2FWOS:001431687700001","View Full Record in Web of Science")</f>
        <v>View Full Record in Web of Science</v>
      </c>
    </row>
    <row r="867" spans="1:72" x14ac:dyDescent="0.2">
      <c r="A867" t="s">
        <v>72</v>
      </c>
      <c r="B867" t="s">
        <v>16413</v>
      </c>
      <c r="C867" t="s">
        <v>74</v>
      </c>
      <c r="D867" t="s">
        <v>74</v>
      </c>
      <c r="E867" t="s">
        <v>74</v>
      </c>
      <c r="F867" t="s">
        <v>16414</v>
      </c>
      <c r="G867" t="s">
        <v>74</v>
      </c>
      <c r="H867" t="s">
        <v>74</v>
      </c>
      <c r="I867" t="s">
        <v>16415</v>
      </c>
      <c r="J867" t="s">
        <v>1477</v>
      </c>
      <c r="K867" t="s">
        <v>74</v>
      </c>
      <c r="L867" t="s">
        <v>74</v>
      </c>
      <c r="M867" t="s">
        <v>78</v>
      </c>
      <c r="N867" t="s">
        <v>79</v>
      </c>
      <c r="O867" t="s">
        <v>74</v>
      </c>
      <c r="P867" t="s">
        <v>74</v>
      </c>
      <c r="Q867" t="s">
        <v>74</v>
      </c>
      <c r="R867" t="s">
        <v>74</v>
      </c>
      <c r="S867" t="s">
        <v>74</v>
      </c>
      <c r="T867" t="s">
        <v>16416</v>
      </c>
      <c r="U867" t="s">
        <v>16417</v>
      </c>
      <c r="V867" t="s">
        <v>16418</v>
      </c>
      <c r="W867" t="s">
        <v>16419</v>
      </c>
      <c r="X867" t="s">
        <v>16420</v>
      </c>
      <c r="Y867" t="s">
        <v>16421</v>
      </c>
      <c r="Z867" t="s">
        <v>16422</v>
      </c>
      <c r="AA867" t="s">
        <v>16423</v>
      </c>
      <c r="AB867" t="s">
        <v>16424</v>
      </c>
      <c r="AC867" t="s">
        <v>16425</v>
      </c>
      <c r="AD867" t="s">
        <v>4229</v>
      </c>
      <c r="AE867" t="s">
        <v>16426</v>
      </c>
      <c r="AF867" t="s">
        <v>74</v>
      </c>
      <c r="AG867">
        <v>150</v>
      </c>
      <c r="AH867">
        <v>36</v>
      </c>
      <c r="AI867">
        <v>41</v>
      </c>
      <c r="AJ867">
        <v>1</v>
      </c>
      <c r="AK867">
        <v>49</v>
      </c>
      <c r="AL867" t="s">
        <v>934</v>
      </c>
      <c r="AM867" t="s">
        <v>177</v>
      </c>
      <c r="AN867" t="s">
        <v>935</v>
      </c>
      <c r="AO867" t="s">
        <v>1490</v>
      </c>
      <c r="AP867" t="s">
        <v>1491</v>
      </c>
      <c r="AQ867" t="s">
        <v>74</v>
      </c>
      <c r="AR867" t="s">
        <v>1492</v>
      </c>
      <c r="AS867" t="s">
        <v>1493</v>
      </c>
      <c r="AT867" t="s">
        <v>2017</v>
      </c>
      <c r="AU867">
        <v>2021</v>
      </c>
      <c r="AV867">
        <v>149</v>
      </c>
      <c r="AW867" t="s">
        <v>74</v>
      </c>
      <c r="AX867" t="s">
        <v>74</v>
      </c>
      <c r="AY867" t="s">
        <v>74</v>
      </c>
      <c r="AZ867" t="s">
        <v>74</v>
      </c>
      <c r="BA867" t="s">
        <v>74</v>
      </c>
      <c r="BB867" t="s">
        <v>74</v>
      </c>
      <c r="BC867" t="s">
        <v>74</v>
      </c>
      <c r="BD867">
        <v>111417</v>
      </c>
      <c r="BE867" t="s">
        <v>16427</v>
      </c>
      <c r="BF867" t="str">
        <f>HYPERLINK("http://dx.doi.org/10.1016/j.rser.2021.111417","http://dx.doi.org/10.1016/j.rser.2021.111417")</f>
        <v>http://dx.doi.org/10.1016/j.rser.2021.111417</v>
      </c>
      <c r="BG867" t="s">
        <v>74</v>
      </c>
      <c r="BH867" t="s">
        <v>7541</v>
      </c>
      <c r="BI867">
        <v>15</v>
      </c>
      <c r="BJ867" t="s">
        <v>1496</v>
      </c>
      <c r="BK867" t="s">
        <v>102</v>
      </c>
      <c r="BL867" t="s">
        <v>1497</v>
      </c>
      <c r="BM867" t="s">
        <v>16428</v>
      </c>
      <c r="BN867" t="s">
        <v>74</v>
      </c>
      <c r="BO867" t="s">
        <v>2296</v>
      </c>
      <c r="BP867" t="s">
        <v>74</v>
      </c>
      <c r="BQ867" t="s">
        <v>74</v>
      </c>
      <c r="BR867" t="s">
        <v>106</v>
      </c>
      <c r="BS867" t="s">
        <v>16429</v>
      </c>
      <c r="BT867" t="str">
        <f>HYPERLINK("https%3A%2F%2Fwww.webofscience.com%2Fwos%2Fwoscc%2Ffull-record%2FWOS:000685122300003","View Full Record in Web of Science")</f>
        <v>View Full Record in Web of Science</v>
      </c>
    </row>
    <row r="868" spans="1:72" x14ac:dyDescent="0.2">
      <c r="A868" t="s">
        <v>72</v>
      </c>
      <c r="B868" t="s">
        <v>16430</v>
      </c>
      <c r="C868" t="s">
        <v>74</v>
      </c>
      <c r="D868" t="s">
        <v>74</v>
      </c>
      <c r="E868" t="s">
        <v>74</v>
      </c>
      <c r="F868" t="s">
        <v>16431</v>
      </c>
      <c r="G868" t="s">
        <v>74</v>
      </c>
      <c r="H868" t="s">
        <v>74</v>
      </c>
      <c r="I868" t="s">
        <v>16432</v>
      </c>
      <c r="J868" t="s">
        <v>468</v>
      </c>
      <c r="K868" t="s">
        <v>74</v>
      </c>
      <c r="L868" t="s">
        <v>74</v>
      </c>
      <c r="M868" t="s">
        <v>78</v>
      </c>
      <c r="N868" t="s">
        <v>79</v>
      </c>
      <c r="O868" t="s">
        <v>74</v>
      </c>
      <c r="P868" t="s">
        <v>74</v>
      </c>
      <c r="Q868" t="s">
        <v>74</v>
      </c>
      <c r="R868" t="s">
        <v>74</v>
      </c>
      <c r="S868" t="s">
        <v>74</v>
      </c>
      <c r="T868" t="s">
        <v>16433</v>
      </c>
      <c r="U868" t="s">
        <v>16434</v>
      </c>
      <c r="V868" t="s">
        <v>16435</v>
      </c>
      <c r="W868" t="s">
        <v>16436</v>
      </c>
      <c r="X868" t="s">
        <v>16437</v>
      </c>
      <c r="Y868" t="s">
        <v>16438</v>
      </c>
      <c r="Z868" t="s">
        <v>16439</v>
      </c>
      <c r="AA868" t="s">
        <v>74</v>
      </c>
      <c r="AB868" t="s">
        <v>16440</v>
      </c>
      <c r="AC868" t="s">
        <v>16441</v>
      </c>
      <c r="AD868" t="s">
        <v>16442</v>
      </c>
      <c r="AE868" t="s">
        <v>16443</v>
      </c>
      <c r="AF868" t="s">
        <v>74</v>
      </c>
      <c r="AG868">
        <v>97</v>
      </c>
      <c r="AH868">
        <v>6</v>
      </c>
      <c r="AI868">
        <v>8</v>
      </c>
      <c r="AJ868">
        <v>2</v>
      </c>
      <c r="AK868">
        <v>40</v>
      </c>
      <c r="AL868" t="s">
        <v>222</v>
      </c>
      <c r="AM868" t="s">
        <v>223</v>
      </c>
      <c r="AN868" t="s">
        <v>478</v>
      </c>
      <c r="AO868" t="s">
        <v>74</v>
      </c>
      <c r="AP868" t="s">
        <v>479</v>
      </c>
      <c r="AQ868" t="s">
        <v>74</v>
      </c>
      <c r="AR868" t="s">
        <v>480</v>
      </c>
      <c r="AS868" t="s">
        <v>481</v>
      </c>
      <c r="AT868" t="s">
        <v>912</v>
      </c>
      <c r="AU868">
        <v>2022</v>
      </c>
      <c r="AV868">
        <v>14</v>
      </c>
      <c r="AW868">
        <v>9</v>
      </c>
      <c r="AX868" t="s">
        <v>74</v>
      </c>
      <c r="AY868" t="s">
        <v>74</v>
      </c>
      <c r="AZ868" t="s">
        <v>74</v>
      </c>
      <c r="BA868" t="s">
        <v>74</v>
      </c>
      <c r="BB868" t="s">
        <v>74</v>
      </c>
      <c r="BC868" t="s">
        <v>74</v>
      </c>
      <c r="BD868">
        <v>5571</v>
      </c>
      <c r="BE868" t="s">
        <v>16444</v>
      </c>
      <c r="BF868" t="str">
        <f>HYPERLINK("http://dx.doi.org/10.3390/su14095571","http://dx.doi.org/10.3390/su14095571")</f>
        <v>http://dx.doi.org/10.3390/su14095571</v>
      </c>
      <c r="BG868" t="s">
        <v>74</v>
      </c>
      <c r="BH868" t="s">
        <v>74</v>
      </c>
      <c r="BI868">
        <v>22</v>
      </c>
      <c r="BJ868" t="s">
        <v>484</v>
      </c>
      <c r="BK868" t="s">
        <v>186</v>
      </c>
      <c r="BL868" t="s">
        <v>485</v>
      </c>
      <c r="BM868" t="s">
        <v>16445</v>
      </c>
      <c r="BN868" t="s">
        <v>74</v>
      </c>
      <c r="BO868" t="s">
        <v>161</v>
      </c>
      <c r="BP868" t="s">
        <v>74</v>
      </c>
      <c r="BQ868" t="s">
        <v>74</v>
      </c>
      <c r="BR868" t="s">
        <v>106</v>
      </c>
      <c r="BS868" t="s">
        <v>16446</v>
      </c>
      <c r="BT868" t="str">
        <f>HYPERLINK("https%3A%2F%2Fwww.webofscience.com%2Fwos%2Fwoscc%2Ffull-record%2FWOS:000796127800001","View Full Record in Web of Science")</f>
        <v>View Full Record in Web of Science</v>
      </c>
    </row>
    <row r="869" spans="1:72" x14ac:dyDescent="0.2">
      <c r="A869" t="s">
        <v>72</v>
      </c>
      <c r="B869" t="s">
        <v>16447</v>
      </c>
      <c r="C869" t="s">
        <v>74</v>
      </c>
      <c r="D869" t="s">
        <v>74</v>
      </c>
      <c r="E869" t="s">
        <v>74</v>
      </c>
      <c r="F869" t="s">
        <v>16448</v>
      </c>
      <c r="G869" t="s">
        <v>74</v>
      </c>
      <c r="H869" t="s">
        <v>74</v>
      </c>
      <c r="I869" t="s">
        <v>16449</v>
      </c>
      <c r="J869" t="s">
        <v>1526</v>
      </c>
      <c r="K869" t="s">
        <v>74</v>
      </c>
      <c r="L869" t="s">
        <v>74</v>
      </c>
      <c r="M869" t="s">
        <v>78</v>
      </c>
      <c r="N869" t="s">
        <v>79</v>
      </c>
      <c r="O869" t="s">
        <v>74</v>
      </c>
      <c r="P869" t="s">
        <v>74</v>
      </c>
      <c r="Q869" t="s">
        <v>74</v>
      </c>
      <c r="R869" t="s">
        <v>74</v>
      </c>
      <c r="S869" t="s">
        <v>74</v>
      </c>
      <c r="T869" t="s">
        <v>16450</v>
      </c>
      <c r="U869" t="s">
        <v>16451</v>
      </c>
      <c r="V869" t="s">
        <v>16452</v>
      </c>
      <c r="W869" t="s">
        <v>16453</v>
      </c>
      <c r="X869" t="s">
        <v>16454</v>
      </c>
      <c r="Y869" t="s">
        <v>16455</v>
      </c>
      <c r="Z869" t="s">
        <v>16456</v>
      </c>
      <c r="AA869" t="s">
        <v>74</v>
      </c>
      <c r="AB869" t="s">
        <v>16457</v>
      </c>
      <c r="AC869" t="s">
        <v>74</v>
      </c>
      <c r="AD869" t="s">
        <v>74</v>
      </c>
      <c r="AE869" t="s">
        <v>74</v>
      </c>
      <c r="AF869" t="s">
        <v>74</v>
      </c>
      <c r="AG869">
        <v>47</v>
      </c>
      <c r="AH869">
        <v>111</v>
      </c>
      <c r="AI869">
        <v>120</v>
      </c>
      <c r="AJ869">
        <v>1</v>
      </c>
      <c r="AK869">
        <v>158</v>
      </c>
      <c r="AL869" t="s">
        <v>176</v>
      </c>
      <c r="AM869" t="s">
        <v>177</v>
      </c>
      <c r="AN869" t="s">
        <v>178</v>
      </c>
      <c r="AO869" t="s">
        <v>1538</v>
      </c>
      <c r="AP869" t="s">
        <v>1539</v>
      </c>
      <c r="AQ869" t="s">
        <v>74</v>
      </c>
      <c r="AR869" t="s">
        <v>1540</v>
      </c>
      <c r="AS869" t="s">
        <v>1541</v>
      </c>
      <c r="AT869" t="s">
        <v>3242</v>
      </c>
      <c r="AU869">
        <v>2018</v>
      </c>
      <c r="AV869">
        <v>202</v>
      </c>
      <c r="AW869" t="s">
        <v>74</v>
      </c>
      <c r="AX869" t="s">
        <v>74</v>
      </c>
      <c r="AY869" t="s">
        <v>74</v>
      </c>
      <c r="AZ869" t="s">
        <v>74</v>
      </c>
      <c r="BA869" t="s">
        <v>74</v>
      </c>
      <c r="BB869">
        <v>139</v>
      </c>
      <c r="BC869">
        <v>149</v>
      </c>
      <c r="BD869" t="s">
        <v>74</v>
      </c>
      <c r="BE869" t="s">
        <v>16458</v>
      </c>
      <c r="BF869" t="str">
        <f>HYPERLINK("http://dx.doi.org/10.1016/j.jclepro.2018.07.236","http://dx.doi.org/10.1016/j.jclepro.2018.07.236")</f>
        <v>http://dx.doi.org/10.1016/j.jclepro.2018.07.236</v>
      </c>
      <c r="BG869" t="s">
        <v>74</v>
      </c>
      <c r="BH869" t="s">
        <v>74</v>
      </c>
      <c r="BI869">
        <v>11</v>
      </c>
      <c r="BJ869" t="s">
        <v>1543</v>
      </c>
      <c r="BK869" t="s">
        <v>102</v>
      </c>
      <c r="BL869" t="s">
        <v>1544</v>
      </c>
      <c r="BM869" t="s">
        <v>16459</v>
      </c>
      <c r="BN869" t="s">
        <v>74</v>
      </c>
      <c r="BO869" t="s">
        <v>541</v>
      </c>
      <c r="BP869" t="s">
        <v>74</v>
      </c>
      <c r="BQ869" t="s">
        <v>74</v>
      </c>
      <c r="BR869" t="s">
        <v>106</v>
      </c>
      <c r="BS869" t="s">
        <v>16460</v>
      </c>
      <c r="BT869" t="str">
        <f>HYPERLINK("https%3A%2F%2Fwww.webofscience.com%2Fwos%2Fwoscc%2Ffull-record%2FWOS:000448098000014","View Full Record in Web of Science")</f>
        <v>View Full Record in Web of Science</v>
      </c>
    </row>
    <row r="870" spans="1:72" x14ac:dyDescent="0.2">
      <c r="A870" t="s">
        <v>72</v>
      </c>
      <c r="B870" t="s">
        <v>16461</v>
      </c>
      <c r="C870" t="s">
        <v>74</v>
      </c>
      <c r="D870" t="s">
        <v>74</v>
      </c>
      <c r="E870" t="s">
        <v>74</v>
      </c>
      <c r="F870" t="s">
        <v>16462</v>
      </c>
      <c r="G870" t="s">
        <v>74</v>
      </c>
      <c r="H870" t="s">
        <v>74</v>
      </c>
      <c r="I870" t="s">
        <v>16463</v>
      </c>
      <c r="J870" t="s">
        <v>995</v>
      </c>
      <c r="K870" t="s">
        <v>74</v>
      </c>
      <c r="L870" t="s">
        <v>74</v>
      </c>
      <c r="M870" t="s">
        <v>78</v>
      </c>
      <c r="N870" t="s">
        <v>79</v>
      </c>
      <c r="O870" t="s">
        <v>74</v>
      </c>
      <c r="P870" t="s">
        <v>74</v>
      </c>
      <c r="Q870" t="s">
        <v>74</v>
      </c>
      <c r="R870" t="s">
        <v>74</v>
      </c>
      <c r="S870" t="s">
        <v>74</v>
      </c>
      <c r="T870" t="s">
        <v>16464</v>
      </c>
      <c r="U870" t="s">
        <v>16465</v>
      </c>
      <c r="V870" t="s">
        <v>16466</v>
      </c>
      <c r="W870" t="s">
        <v>16467</v>
      </c>
      <c r="X870" t="s">
        <v>16468</v>
      </c>
      <c r="Y870" t="s">
        <v>16469</v>
      </c>
      <c r="Z870" t="s">
        <v>16470</v>
      </c>
      <c r="AA870" t="s">
        <v>74</v>
      </c>
      <c r="AB870" t="s">
        <v>74</v>
      </c>
      <c r="AC870" t="s">
        <v>16471</v>
      </c>
      <c r="AD870" t="s">
        <v>16472</v>
      </c>
      <c r="AE870" t="s">
        <v>16473</v>
      </c>
      <c r="AF870" t="s">
        <v>74</v>
      </c>
      <c r="AG870">
        <v>57</v>
      </c>
      <c r="AH870">
        <v>11</v>
      </c>
      <c r="AI870">
        <v>11</v>
      </c>
      <c r="AJ870">
        <v>12</v>
      </c>
      <c r="AK870">
        <v>60</v>
      </c>
      <c r="AL870" t="s">
        <v>123</v>
      </c>
      <c r="AM870" t="s">
        <v>124</v>
      </c>
      <c r="AN870" t="s">
        <v>125</v>
      </c>
      <c r="AO870" t="s">
        <v>1008</v>
      </c>
      <c r="AP870" t="s">
        <v>1009</v>
      </c>
      <c r="AQ870" t="s">
        <v>74</v>
      </c>
      <c r="AR870" t="s">
        <v>1010</v>
      </c>
      <c r="AS870" t="s">
        <v>1011</v>
      </c>
      <c r="AT870" t="s">
        <v>1468</v>
      </c>
      <c r="AU870">
        <v>2024</v>
      </c>
      <c r="AV870">
        <v>927</v>
      </c>
      <c r="AW870" t="s">
        <v>74</v>
      </c>
      <c r="AX870" t="s">
        <v>74</v>
      </c>
      <c r="AY870" t="s">
        <v>74</v>
      </c>
      <c r="AZ870" t="s">
        <v>74</v>
      </c>
      <c r="BA870" t="s">
        <v>74</v>
      </c>
      <c r="BB870" t="s">
        <v>74</v>
      </c>
      <c r="BC870" t="s">
        <v>74</v>
      </c>
      <c r="BD870">
        <v>172053</v>
      </c>
      <c r="BE870" t="s">
        <v>16474</v>
      </c>
      <c r="BF870" t="str">
        <f>HYPERLINK("http://dx.doi.org/10.1016/j.scitotenv.2024.172053","http://dx.doi.org/10.1016/j.scitotenv.2024.172053")</f>
        <v>http://dx.doi.org/10.1016/j.scitotenv.2024.172053</v>
      </c>
      <c r="BG870" t="s">
        <v>74</v>
      </c>
      <c r="BH870" t="s">
        <v>2038</v>
      </c>
      <c r="BI870">
        <v>15</v>
      </c>
      <c r="BJ870" t="s">
        <v>567</v>
      </c>
      <c r="BK870" t="s">
        <v>102</v>
      </c>
      <c r="BL870" t="s">
        <v>568</v>
      </c>
      <c r="BM870" t="s">
        <v>16475</v>
      </c>
      <c r="BN870">
        <v>38556010</v>
      </c>
      <c r="BO870" t="s">
        <v>74</v>
      </c>
      <c r="BP870" t="s">
        <v>74</v>
      </c>
      <c r="BQ870" t="s">
        <v>74</v>
      </c>
      <c r="BR870" t="s">
        <v>106</v>
      </c>
      <c r="BS870" t="s">
        <v>16476</v>
      </c>
      <c r="BT870" t="str">
        <f>HYPERLINK("https%3A%2F%2Fwww.webofscience.com%2Fwos%2Fwoscc%2Ffull-record%2FWOS:001230614200001","View Full Record in Web of Science")</f>
        <v>View Full Record in Web of Science</v>
      </c>
    </row>
    <row r="871" spans="1:72" x14ac:dyDescent="0.2">
      <c r="A871" t="s">
        <v>72</v>
      </c>
      <c r="B871" t="s">
        <v>16477</v>
      </c>
      <c r="C871" t="s">
        <v>74</v>
      </c>
      <c r="D871" t="s">
        <v>74</v>
      </c>
      <c r="E871" t="s">
        <v>74</v>
      </c>
      <c r="F871" t="s">
        <v>16478</v>
      </c>
      <c r="G871" t="s">
        <v>74</v>
      </c>
      <c r="H871" t="s">
        <v>74</v>
      </c>
      <c r="I871" t="s">
        <v>16479</v>
      </c>
      <c r="J871" t="s">
        <v>10032</v>
      </c>
      <c r="K871" t="s">
        <v>74</v>
      </c>
      <c r="L871" t="s">
        <v>74</v>
      </c>
      <c r="M871" t="s">
        <v>78</v>
      </c>
      <c r="N871" t="s">
        <v>79</v>
      </c>
      <c r="O871" t="s">
        <v>74</v>
      </c>
      <c r="P871" t="s">
        <v>74</v>
      </c>
      <c r="Q871" t="s">
        <v>74</v>
      </c>
      <c r="R871" t="s">
        <v>74</v>
      </c>
      <c r="S871" t="s">
        <v>74</v>
      </c>
      <c r="T871" t="s">
        <v>74</v>
      </c>
      <c r="U871" t="s">
        <v>16480</v>
      </c>
      <c r="V871" t="s">
        <v>16481</v>
      </c>
      <c r="W871" t="s">
        <v>16482</v>
      </c>
      <c r="X871" t="s">
        <v>16483</v>
      </c>
      <c r="Y871" t="s">
        <v>16484</v>
      </c>
      <c r="Z871" t="s">
        <v>16485</v>
      </c>
      <c r="AA871" t="s">
        <v>16486</v>
      </c>
      <c r="AB871" t="s">
        <v>16487</v>
      </c>
      <c r="AC871" t="s">
        <v>16488</v>
      </c>
      <c r="AD871" t="s">
        <v>16489</v>
      </c>
      <c r="AE871" t="s">
        <v>16490</v>
      </c>
      <c r="AF871" t="s">
        <v>74</v>
      </c>
      <c r="AG871">
        <v>128</v>
      </c>
      <c r="AH871">
        <v>36</v>
      </c>
      <c r="AI871">
        <v>40</v>
      </c>
      <c r="AJ871">
        <v>2</v>
      </c>
      <c r="AK871">
        <v>46</v>
      </c>
      <c r="AL871" t="s">
        <v>3289</v>
      </c>
      <c r="AM871" t="s">
        <v>3290</v>
      </c>
      <c r="AN871" t="s">
        <v>3291</v>
      </c>
      <c r="AO871" t="s">
        <v>10044</v>
      </c>
      <c r="AP871" t="s">
        <v>10045</v>
      </c>
      <c r="AQ871" t="s">
        <v>74</v>
      </c>
      <c r="AR871" t="s">
        <v>10046</v>
      </c>
      <c r="AS871" t="s">
        <v>10047</v>
      </c>
      <c r="AT871" t="s">
        <v>16491</v>
      </c>
      <c r="AU871">
        <v>2018</v>
      </c>
      <c r="AV871">
        <v>18</v>
      </c>
      <c r="AW871">
        <v>20</v>
      </c>
      <c r="AX871" t="s">
        <v>74</v>
      </c>
      <c r="AY871" t="s">
        <v>74</v>
      </c>
      <c r="AZ871" t="s">
        <v>74</v>
      </c>
      <c r="BA871" t="s">
        <v>74</v>
      </c>
      <c r="BB871">
        <v>14889</v>
      </c>
      <c r="BC871">
        <v>14924</v>
      </c>
      <c r="BD871" t="s">
        <v>74</v>
      </c>
      <c r="BE871" t="s">
        <v>16492</v>
      </c>
      <c r="BF871" t="str">
        <f>HYPERLINK("http://dx.doi.org/10.5194/acp-18-14889-2018","http://dx.doi.org/10.5194/acp-18-14889-2018")</f>
        <v>http://dx.doi.org/10.5194/acp-18-14889-2018</v>
      </c>
      <c r="BG871" t="s">
        <v>74</v>
      </c>
      <c r="BH871" t="s">
        <v>74</v>
      </c>
      <c r="BI871">
        <v>36</v>
      </c>
      <c r="BJ871" t="s">
        <v>782</v>
      </c>
      <c r="BK871" t="s">
        <v>102</v>
      </c>
      <c r="BL871" t="s">
        <v>783</v>
      </c>
      <c r="BM871" t="s">
        <v>16493</v>
      </c>
      <c r="BN871" t="s">
        <v>74</v>
      </c>
      <c r="BO871" t="s">
        <v>161</v>
      </c>
      <c r="BP871" t="s">
        <v>74</v>
      </c>
      <c r="BQ871" t="s">
        <v>74</v>
      </c>
      <c r="BR871" t="s">
        <v>106</v>
      </c>
      <c r="BS871" t="s">
        <v>16494</v>
      </c>
      <c r="BT871" t="str">
        <f>HYPERLINK("https%3A%2F%2Fwww.webofscience.com%2Fwos%2Fwoscc%2Ffull-record%2FWOS:000447633300003","View Full Record in Web of Science")</f>
        <v>View Full Record in Web of Science</v>
      </c>
    </row>
    <row r="872" spans="1:72" x14ac:dyDescent="0.2">
      <c r="A872" t="s">
        <v>72</v>
      </c>
      <c r="B872" t="s">
        <v>16495</v>
      </c>
      <c r="C872" t="s">
        <v>74</v>
      </c>
      <c r="D872" t="s">
        <v>74</v>
      </c>
      <c r="E872" t="s">
        <v>74</v>
      </c>
      <c r="F872" t="s">
        <v>16496</v>
      </c>
      <c r="G872" t="s">
        <v>74</v>
      </c>
      <c r="H872" t="s">
        <v>74</v>
      </c>
      <c r="I872" t="s">
        <v>16497</v>
      </c>
      <c r="J872" t="s">
        <v>4672</v>
      </c>
      <c r="K872" t="s">
        <v>74</v>
      </c>
      <c r="L872" t="s">
        <v>74</v>
      </c>
      <c r="M872" t="s">
        <v>78</v>
      </c>
      <c r="N872" t="s">
        <v>79</v>
      </c>
      <c r="O872" t="s">
        <v>74</v>
      </c>
      <c r="P872" t="s">
        <v>74</v>
      </c>
      <c r="Q872" t="s">
        <v>74</v>
      </c>
      <c r="R872" t="s">
        <v>74</v>
      </c>
      <c r="S872" t="s">
        <v>74</v>
      </c>
      <c r="T872" t="s">
        <v>16498</v>
      </c>
      <c r="U872" t="s">
        <v>74</v>
      </c>
      <c r="V872" t="s">
        <v>16499</v>
      </c>
      <c r="W872" t="s">
        <v>16500</v>
      </c>
      <c r="X872" t="s">
        <v>16501</v>
      </c>
      <c r="Y872" t="s">
        <v>16502</v>
      </c>
      <c r="Z872" t="s">
        <v>16503</v>
      </c>
      <c r="AA872" t="s">
        <v>16504</v>
      </c>
      <c r="AB872" t="s">
        <v>16505</v>
      </c>
      <c r="AC872" t="s">
        <v>74</v>
      </c>
      <c r="AD872" t="s">
        <v>74</v>
      </c>
      <c r="AE872" t="s">
        <v>74</v>
      </c>
      <c r="AF872" t="s">
        <v>74</v>
      </c>
      <c r="AG872">
        <v>36</v>
      </c>
      <c r="AH872">
        <v>0</v>
      </c>
      <c r="AI872">
        <v>0</v>
      </c>
      <c r="AJ872">
        <v>4</v>
      </c>
      <c r="AK872">
        <v>16</v>
      </c>
      <c r="AL872" t="s">
        <v>123</v>
      </c>
      <c r="AM872" t="s">
        <v>124</v>
      </c>
      <c r="AN872" t="s">
        <v>125</v>
      </c>
      <c r="AO872" t="s">
        <v>4686</v>
      </c>
      <c r="AP872" t="s">
        <v>4687</v>
      </c>
      <c r="AQ872" t="s">
        <v>74</v>
      </c>
      <c r="AR872" t="s">
        <v>4688</v>
      </c>
      <c r="AS872" t="s">
        <v>4689</v>
      </c>
      <c r="AT872" t="s">
        <v>912</v>
      </c>
      <c r="AU872">
        <v>2024</v>
      </c>
      <c r="AV872">
        <v>491</v>
      </c>
      <c r="AW872" t="s">
        <v>74</v>
      </c>
      <c r="AX872" t="s">
        <v>74</v>
      </c>
      <c r="AY872" t="s">
        <v>74</v>
      </c>
      <c r="AZ872" t="s">
        <v>74</v>
      </c>
      <c r="BA872" t="s">
        <v>74</v>
      </c>
      <c r="BB872" t="s">
        <v>74</v>
      </c>
      <c r="BC872" t="s">
        <v>74</v>
      </c>
      <c r="BD872">
        <v>110664</v>
      </c>
      <c r="BE872" t="s">
        <v>16506</v>
      </c>
      <c r="BF872" t="str">
        <f>HYPERLINK("http://dx.doi.org/10.1016/j.ecolmodel.2024.110664","http://dx.doi.org/10.1016/j.ecolmodel.2024.110664")</f>
        <v>http://dx.doi.org/10.1016/j.ecolmodel.2024.110664</v>
      </c>
      <c r="BG872" t="s">
        <v>74</v>
      </c>
      <c r="BH872" t="s">
        <v>5349</v>
      </c>
      <c r="BI872">
        <v>7</v>
      </c>
      <c r="BJ872" t="s">
        <v>4692</v>
      </c>
      <c r="BK872" t="s">
        <v>102</v>
      </c>
      <c r="BL872" t="s">
        <v>568</v>
      </c>
      <c r="BM872" t="s">
        <v>16507</v>
      </c>
      <c r="BN872" t="s">
        <v>74</v>
      </c>
      <c r="BO872" t="s">
        <v>74</v>
      </c>
      <c r="BP872" t="s">
        <v>74</v>
      </c>
      <c r="BQ872" t="s">
        <v>74</v>
      </c>
      <c r="BR872" t="s">
        <v>106</v>
      </c>
      <c r="BS872" t="s">
        <v>16508</v>
      </c>
      <c r="BT872" t="str">
        <f>HYPERLINK("https%3A%2F%2Fwww.webofscience.com%2Fwos%2Fwoscc%2Ffull-record%2FWOS:001198853700001","View Full Record in Web of Science")</f>
        <v>View Full Record in Web of Science</v>
      </c>
    </row>
    <row r="873" spans="1:72" x14ac:dyDescent="0.2">
      <c r="A873" t="s">
        <v>72</v>
      </c>
      <c r="B873" t="s">
        <v>16509</v>
      </c>
      <c r="C873" t="s">
        <v>74</v>
      </c>
      <c r="D873" t="s">
        <v>74</v>
      </c>
      <c r="E873" t="s">
        <v>74</v>
      </c>
      <c r="F873" t="s">
        <v>16510</v>
      </c>
      <c r="G873" t="s">
        <v>74</v>
      </c>
      <c r="H873" t="s">
        <v>74</v>
      </c>
      <c r="I873" t="s">
        <v>16511</v>
      </c>
      <c r="J873" t="s">
        <v>762</v>
      </c>
      <c r="K873" t="s">
        <v>74</v>
      </c>
      <c r="L873" t="s">
        <v>74</v>
      </c>
      <c r="M873" t="s">
        <v>78</v>
      </c>
      <c r="N873" t="s">
        <v>79</v>
      </c>
      <c r="O873" t="s">
        <v>74</v>
      </c>
      <c r="P873" t="s">
        <v>74</v>
      </c>
      <c r="Q873" t="s">
        <v>74</v>
      </c>
      <c r="R873" t="s">
        <v>74</v>
      </c>
      <c r="S873" t="s">
        <v>74</v>
      </c>
      <c r="T873" t="s">
        <v>16512</v>
      </c>
      <c r="U873" t="s">
        <v>16513</v>
      </c>
      <c r="V873" t="s">
        <v>16514</v>
      </c>
      <c r="W873" t="s">
        <v>16515</v>
      </c>
      <c r="X873" t="s">
        <v>16516</v>
      </c>
      <c r="Y873" t="s">
        <v>16517</v>
      </c>
      <c r="Z873" t="s">
        <v>16518</v>
      </c>
      <c r="AA873" t="s">
        <v>74</v>
      </c>
      <c r="AB873" t="s">
        <v>16519</v>
      </c>
      <c r="AC873" t="s">
        <v>74</v>
      </c>
      <c r="AD873" t="s">
        <v>74</v>
      </c>
      <c r="AE873" t="s">
        <v>74</v>
      </c>
      <c r="AF873" t="s">
        <v>74</v>
      </c>
      <c r="AG873">
        <v>49</v>
      </c>
      <c r="AH873">
        <v>11</v>
      </c>
      <c r="AI873">
        <v>14</v>
      </c>
      <c r="AJ873">
        <v>3</v>
      </c>
      <c r="AK873">
        <v>22</v>
      </c>
      <c r="AL873" t="s">
        <v>1631</v>
      </c>
      <c r="AM873" t="s">
        <v>776</v>
      </c>
      <c r="AN873" t="s">
        <v>777</v>
      </c>
      <c r="AO873" t="s">
        <v>778</v>
      </c>
      <c r="AP873" t="s">
        <v>74</v>
      </c>
      <c r="AQ873" t="s">
        <v>74</v>
      </c>
      <c r="AR873" t="s">
        <v>779</v>
      </c>
      <c r="AS873" t="s">
        <v>780</v>
      </c>
      <c r="AT873" t="s">
        <v>912</v>
      </c>
      <c r="AU873">
        <v>2018</v>
      </c>
      <c r="AV873">
        <v>13</v>
      </c>
      <c r="AW873">
        <v>5</v>
      </c>
      <c r="AX873" t="s">
        <v>74</v>
      </c>
      <c r="AY873" t="s">
        <v>74</v>
      </c>
      <c r="AZ873" t="s">
        <v>74</v>
      </c>
      <c r="BA873" t="s">
        <v>74</v>
      </c>
      <c r="BB873" t="s">
        <v>74</v>
      </c>
      <c r="BC873" t="s">
        <v>74</v>
      </c>
      <c r="BD873">
        <v>55010</v>
      </c>
      <c r="BE873" t="s">
        <v>16520</v>
      </c>
      <c r="BF873" t="str">
        <f>HYPERLINK("http://dx.doi.org/10.1088/1748-9326/aabf65","http://dx.doi.org/10.1088/1748-9326/aabf65")</f>
        <v>http://dx.doi.org/10.1088/1748-9326/aabf65</v>
      </c>
      <c r="BG873" t="s">
        <v>74</v>
      </c>
      <c r="BH873" t="s">
        <v>74</v>
      </c>
      <c r="BI873">
        <v>12</v>
      </c>
      <c r="BJ873" t="s">
        <v>782</v>
      </c>
      <c r="BK873" t="s">
        <v>102</v>
      </c>
      <c r="BL873" t="s">
        <v>783</v>
      </c>
      <c r="BM873" t="s">
        <v>16521</v>
      </c>
      <c r="BN873" t="s">
        <v>74</v>
      </c>
      <c r="BO873" t="s">
        <v>231</v>
      </c>
      <c r="BP873" t="s">
        <v>74</v>
      </c>
      <c r="BQ873" t="s">
        <v>74</v>
      </c>
      <c r="BR873" t="s">
        <v>106</v>
      </c>
      <c r="BS873" t="s">
        <v>16522</v>
      </c>
      <c r="BT873" t="str">
        <f>HYPERLINK("https%3A%2F%2Fwww.webofscience.com%2Fwos%2Fwoscc%2Ffull-record%2FWOS:000431799900001","View Full Record in Web of Science")</f>
        <v>View Full Record in Web of Science</v>
      </c>
    </row>
    <row r="874" spans="1:72" x14ac:dyDescent="0.2">
      <c r="A874" t="s">
        <v>72</v>
      </c>
      <c r="B874" t="s">
        <v>16523</v>
      </c>
      <c r="C874" t="s">
        <v>74</v>
      </c>
      <c r="D874" t="s">
        <v>74</v>
      </c>
      <c r="E874" t="s">
        <v>74</v>
      </c>
      <c r="F874" t="s">
        <v>16524</v>
      </c>
      <c r="G874" t="s">
        <v>74</v>
      </c>
      <c r="H874" t="s">
        <v>74</v>
      </c>
      <c r="I874" t="s">
        <v>16525</v>
      </c>
      <c r="J874" t="s">
        <v>3277</v>
      </c>
      <c r="K874" t="s">
        <v>74</v>
      </c>
      <c r="L874" t="s">
        <v>74</v>
      </c>
      <c r="M874" t="s">
        <v>78</v>
      </c>
      <c r="N874" t="s">
        <v>79</v>
      </c>
      <c r="O874" t="s">
        <v>74</v>
      </c>
      <c r="P874" t="s">
        <v>74</v>
      </c>
      <c r="Q874" t="s">
        <v>74</v>
      </c>
      <c r="R874" t="s">
        <v>74</v>
      </c>
      <c r="S874" t="s">
        <v>74</v>
      </c>
      <c r="T874" t="s">
        <v>74</v>
      </c>
      <c r="U874" t="s">
        <v>16526</v>
      </c>
      <c r="V874" t="s">
        <v>16527</v>
      </c>
      <c r="W874" t="s">
        <v>16528</v>
      </c>
      <c r="X874" t="s">
        <v>16529</v>
      </c>
      <c r="Y874" t="s">
        <v>16530</v>
      </c>
      <c r="Z874" t="s">
        <v>16531</v>
      </c>
      <c r="AA874" t="s">
        <v>16532</v>
      </c>
      <c r="AB874" t="s">
        <v>16533</v>
      </c>
      <c r="AC874" t="s">
        <v>16534</v>
      </c>
      <c r="AD874" t="s">
        <v>16535</v>
      </c>
      <c r="AE874" t="s">
        <v>16536</v>
      </c>
      <c r="AF874" t="s">
        <v>74</v>
      </c>
      <c r="AG874">
        <v>65</v>
      </c>
      <c r="AH874">
        <v>0</v>
      </c>
      <c r="AI874">
        <v>0</v>
      </c>
      <c r="AJ874">
        <v>6</v>
      </c>
      <c r="AK874">
        <v>6</v>
      </c>
      <c r="AL874" t="s">
        <v>3289</v>
      </c>
      <c r="AM874" t="s">
        <v>3290</v>
      </c>
      <c r="AN874" t="s">
        <v>3291</v>
      </c>
      <c r="AO874" t="s">
        <v>3292</v>
      </c>
      <c r="AP874" t="s">
        <v>3293</v>
      </c>
      <c r="AQ874" t="s">
        <v>74</v>
      </c>
      <c r="AR874" t="s">
        <v>3277</v>
      </c>
      <c r="AS874" t="s">
        <v>3294</v>
      </c>
      <c r="AT874" t="s">
        <v>16537</v>
      </c>
      <c r="AU874">
        <v>2025</v>
      </c>
      <c r="AV874">
        <v>22</v>
      </c>
      <c r="AW874">
        <v>13</v>
      </c>
      <c r="AX874" t="s">
        <v>74</v>
      </c>
      <c r="AY874" t="s">
        <v>74</v>
      </c>
      <c r="AZ874" t="s">
        <v>74</v>
      </c>
      <c r="BA874" t="s">
        <v>74</v>
      </c>
      <c r="BB874">
        <v>3235</v>
      </c>
      <c r="BC874">
        <v>3251</v>
      </c>
      <c r="BD874" t="s">
        <v>74</v>
      </c>
      <c r="BE874" t="s">
        <v>16538</v>
      </c>
      <c r="BF874" t="str">
        <f>HYPERLINK("http://dx.doi.org/10.5194/bg-22-3235-2025","http://dx.doi.org/10.5194/bg-22-3235-2025")</f>
        <v>http://dx.doi.org/10.5194/bg-22-3235-2025</v>
      </c>
      <c r="BG874" t="s">
        <v>74</v>
      </c>
      <c r="BH874" t="s">
        <v>74</v>
      </c>
      <c r="BI874">
        <v>17</v>
      </c>
      <c r="BJ874" t="s">
        <v>3296</v>
      </c>
      <c r="BK874" t="s">
        <v>102</v>
      </c>
      <c r="BL874" t="s">
        <v>1206</v>
      </c>
      <c r="BM874" t="s">
        <v>16539</v>
      </c>
      <c r="BN874" t="s">
        <v>74</v>
      </c>
      <c r="BO874" t="s">
        <v>231</v>
      </c>
      <c r="BP874" t="s">
        <v>74</v>
      </c>
      <c r="BQ874" t="s">
        <v>74</v>
      </c>
      <c r="BR874" t="s">
        <v>106</v>
      </c>
      <c r="BS874" t="s">
        <v>16540</v>
      </c>
      <c r="BT874" t="str">
        <f>HYPERLINK("https%3A%2F%2Fwww.webofscience.com%2Fwos%2Fwoscc%2Ffull-record%2FWOS:001523697500001","View Full Record in Web of Science")</f>
        <v>View Full Record in Web of Science</v>
      </c>
    </row>
    <row r="875" spans="1:72" x14ac:dyDescent="0.2">
      <c r="A875" t="s">
        <v>72</v>
      </c>
      <c r="B875" t="s">
        <v>16541</v>
      </c>
      <c r="C875" t="s">
        <v>74</v>
      </c>
      <c r="D875" t="s">
        <v>74</v>
      </c>
      <c r="E875" t="s">
        <v>74</v>
      </c>
      <c r="F875" t="s">
        <v>16542</v>
      </c>
      <c r="G875" t="s">
        <v>74</v>
      </c>
      <c r="H875" t="s">
        <v>74</v>
      </c>
      <c r="I875" t="s">
        <v>16543</v>
      </c>
      <c r="J875" t="s">
        <v>111</v>
      </c>
      <c r="K875" t="s">
        <v>74</v>
      </c>
      <c r="L875" t="s">
        <v>74</v>
      </c>
      <c r="M875" t="s">
        <v>78</v>
      </c>
      <c r="N875" t="s">
        <v>79</v>
      </c>
      <c r="O875" t="s">
        <v>74</v>
      </c>
      <c r="P875" t="s">
        <v>74</v>
      </c>
      <c r="Q875" t="s">
        <v>74</v>
      </c>
      <c r="R875" t="s">
        <v>74</v>
      </c>
      <c r="S875" t="s">
        <v>74</v>
      </c>
      <c r="T875" t="s">
        <v>16544</v>
      </c>
      <c r="U875" t="s">
        <v>16545</v>
      </c>
      <c r="V875" t="s">
        <v>16546</v>
      </c>
      <c r="W875" t="s">
        <v>16547</v>
      </c>
      <c r="X875" t="s">
        <v>16548</v>
      </c>
      <c r="Y875" t="s">
        <v>16549</v>
      </c>
      <c r="Z875" t="s">
        <v>16550</v>
      </c>
      <c r="AA875" t="s">
        <v>74</v>
      </c>
      <c r="AB875" t="s">
        <v>16551</v>
      </c>
      <c r="AC875" t="s">
        <v>16552</v>
      </c>
      <c r="AD875" t="s">
        <v>16553</v>
      </c>
      <c r="AE875" t="s">
        <v>16554</v>
      </c>
      <c r="AF875" t="s">
        <v>74</v>
      </c>
      <c r="AG875">
        <v>95</v>
      </c>
      <c r="AH875">
        <v>7</v>
      </c>
      <c r="AI875">
        <v>7</v>
      </c>
      <c r="AJ875">
        <v>0</v>
      </c>
      <c r="AK875">
        <v>27</v>
      </c>
      <c r="AL875" t="s">
        <v>2162</v>
      </c>
      <c r="AM875" t="s">
        <v>124</v>
      </c>
      <c r="AN875" t="s">
        <v>2163</v>
      </c>
      <c r="AO875" t="s">
        <v>126</v>
      </c>
      <c r="AP875" t="s">
        <v>127</v>
      </c>
      <c r="AQ875" t="s">
        <v>74</v>
      </c>
      <c r="AR875" t="s">
        <v>128</v>
      </c>
      <c r="AS875" t="s">
        <v>129</v>
      </c>
      <c r="AT875" t="s">
        <v>1468</v>
      </c>
      <c r="AU875">
        <v>2019</v>
      </c>
      <c r="AV875">
        <v>441</v>
      </c>
      <c r="AW875" t="s">
        <v>74</v>
      </c>
      <c r="AX875" t="s">
        <v>74</v>
      </c>
      <c r="AY875" t="s">
        <v>74</v>
      </c>
      <c r="AZ875" t="s">
        <v>74</v>
      </c>
      <c r="BA875" t="s">
        <v>74</v>
      </c>
      <c r="BB875">
        <v>229</v>
      </c>
      <c r="BC875">
        <v>241</v>
      </c>
      <c r="BD875" t="s">
        <v>74</v>
      </c>
      <c r="BE875" t="s">
        <v>16555</v>
      </c>
      <c r="BF875" t="str">
        <f>HYPERLINK("http://dx.doi.org/10.1016/j.foreco.2019.03.038","http://dx.doi.org/10.1016/j.foreco.2019.03.038")</f>
        <v>http://dx.doi.org/10.1016/j.foreco.2019.03.038</v>
      </c>
      <c r="BG875" t="s">
        <v>74</v>
      </c>
      <c r="BH875" t="s">
        <v>74</v>
      </c>
      <c r="BI875">
        <v>13</v>
      </c>
      <c r="BJ875" t="s">
        <v>132</v>
      </c>
      <c r="BK875" t="s">
        <v>102</v>
      </c>
      <c r="BL875" t="s">
        <v>132</v>
      </c>
      <c r="BM875" t="s">
        <v>16556</v>
      </c>
      <c r="BN875" t="s">
        <v>74</v>
      </c>
      <c r="BO875" t="s">
        <v>74</v>
      </c>
      <c r="BP875" t="s">
        <v>74</v>
      </c>
      <c r="BQ875" t="s">
        <v>74</v>
      </c>
      <c r="BR875" t="s">
        <v>106</v>
      </c>
      <c r="BS875" t="s">
        <v>16557</v>
      </c>
      <c r="BT875" t="str">
        <f>HYPERLINK("https%3A%2F%2Fwww.webofscience.com%2Fwos%2Fwoscc%2Ffull-record%2FWOS:000471086600022","View Full Record in Web of Science")</f>
        <v>View Full Record in Web of Science</v>
      </c>
    </row>
    <row r="876" spans="1:72" x14ac:dyDescent="0.2">
      <c r="A876" t="s">
        <v>72</v>
      </c>
      <c r="B876" t="s">
        <v>16558</v>
      </c>
      <c r="C876" t="s">
        <v>74</v>
      </c>
      <c r="D876" t="s">
        <v>74</v>
      </c>
      <c r="E876" t="s">
        <v>74</v>
      </c>
      <c r="F876" t="s">
        <v>16559</v>
      </c>
      <c r="G876" t="s">
        <v>74</v>
      </c>
      <c r="H876" t="s">
        <v>74</v>
      </c>
      <c r="I876" t="s">
        <v>16560</v>
      </c>
      <c r="J876" t="s">
        <v>468</v>
      </c>
      <c r="K876" t="s">
        <v>74</v>
      </c>
      <c r="L876" t="s">
        <v>74</v>
      </c>
      <c r="M876" t="s">
        <v>78</v>
      </c>
      <c r="N876" t="s">
        <v>79</v>
      </c>
      <c r="O876" t="s">
        <v>74</v>
      </c>
      <c r="P876" t="s">
        <v>74</v>
      </c>
      <c r="Q876" t="s">
        <v>74</v>
      </c>
      <c r="R876" t="s">
        <v>74</v>
      </c>
      <c r="S876" t="s">
        <v>74</v>
      </c>
      <c r="T876" t="s">
        <v>16561</v>
      </c>
      <c r="U876" t="s">
        <v>16562</v>
      </c>
      <c r="V876" t="s">
        <v>16563</v>
      </c>
      <c r="W876" t="s">
        <v>16564</v>
      </c>
      <c r="X876" t="s">
        <v>16565</v>
      </c>
      <c r="Y876" t="s">
        <v>16566</v>
      </c>
      <c r="Z876" t="s">
        <v>16567</v>
      </c>
      <c r="AA876" t="s">
        <v>16568</v>
      </c>
      <c r="AB876" t="s">
        <v>16569</v>
      </c>
      <c r="AC876" t="s">
        <v>16570</v>
      </c>
      <c r="AD876" t="s">
        <v>16571</v>
      </c>
      <c r="AE876" t="s">
        <v>16572</v>
      </c>
      <c r="AF876" t="s">
        <v>74</v>
      </c>
      <c r="AG876">
        <v>49</v>
      </c>
      <c r="AH876">
        <v>7</v>
      </c>
      <c r="AI876">
        <v>7</v>
      </c>
      <c r="AJ876">
        <v>40</v>
      </c>
      <c r="AK876">
        <v>44</v>
      </c>
      <c r="AL876" t="s">
        <v>222</v>
      </c>
      <c r="AM876" t="s">
        <v>223</v>
      </c>
      <c r="AN876" t="s">
        <v>224</v>
      </c>
      <c r="AO876" t="s">
        <v>74</v>
      </c>
      <c r="AP876" t="s">
        <v>479</v>
      </c>
      <c r="AQ876" t="s">
        <v>74</v>
      </c>
      <c r="AR876" t="s">
        <v>480</v>
      </c>
      <c r="AS876" t="s">
        <v>481</v>
      </c>
      <c r="AT876" t="s">
        <v>227</v>
      </c>
      <c r="AU876">
        <v>2025</v>
      </c>
      <c r="AV876">
        <v>17</v>
      </c>
      <c r="AW876">
        <v>1</v>
      </c>
      <c r="AX876" t="s">
        <v>74</v>
      </c>
      <c r="AY876" t="s">
        <v>74</v>
      </c>
      <c r="AZ876" t="s">
        <v>74</v>
      </c>
      <c r="BA876" t="s">
        <v>74</v>
      </c>
      <c r="BB876" t="s">
        <v>74</v>
      </c>
      <c r="BC876" t="s">
        <v>74</v>
      </c>
      <c r="BD876">
        <v>55</v>
      </c>
      <c r="BE876" t="s">
        <v>16573</v>
      </c>
      <c r="BF876" t="str">
        <f>HYPERLINK("http://dx.doi.org/10.3390/su17010055","http://dx.doi.org/10.3390/su17010055")</f>
        <v>http://dx.doi.org/10.3390/su17010055</v>
      </c>
      <c r="BG876" t="s">
        <v>74</v>
      </c>
      <c r="BH876" t="s">
        <v>74</v>
      </c>
      <c r="BI876">
        <v>21</v>
      </c>
      <c r="BJ876" t="s">
        <v>484</v>
      </c>
      <c r="BK876" t="s">
        <v>186</v>
      </c>
      <c r="BL876" t="s">
        <v>485</v>
      </c>
      <c r="BM876" t="s">
        <v>16574</v>
      </c>
      <c r="BN876" t="s">
        <v>74</v>
      </c>
      <c r="BO876" t="s">
        <v>231</v>
      </c>
      <c r="BP876" t="s">
        <v>4815</v>
      </c>
      <c r="BQ876" t="s">
        <v>4816</v>
      </c>
      <c r="BR876" t="s">
        <v>106</v>
      </c>
      <c r="BS876" t="s">
        <v>16575</v>
      </c>
      <c r="BT876" t="str">
        <f>HYPERLINK("https%3A%2F%2Fwww.webofscience.com%2Fwos%2Fwoscc%2Ffull-record%2FWOS:001393834600001","View Full Record in Web of Science")</f>
        <v>View Full Record in Web of Science</v>
      </c>
    </row>
    <row r="877" spans="1:72" x14ac:dyDescent="0.2">
      <c r="A877" t="s">
        <v>72</v>
      </c>
      <c r="B877" t="s">
        <v>16576</v>
      </c>
      <c r="C877" t="s">
        <v>74</v>
      </c>
      <c r="D877" t="s">
        <v>74</v>
      </c>
      <c r="E877" t="s">
        <v>74</v>
      </c>
      <c r="F877" t="s">
        <v>16577</v>
      </c>
      <c r="G877" t="s">
        <v>74</v>
      </c>
      <c r="H877" t="s">
        <v>74</v>
      </c>
      <c r="I877" t="s">
        <v>16578</v>
      </c>
      <c r="J877" t="s">
        <v>5876</v>
      </c>
      <c r="K877" t="s">
        <v>74</v>
      </c>
      <c r="L877" t="s">
        <v>74</v>
      </c>
      <c r="M877" t="s">
        <v>78</v>
      </c>
      <c r="N877" t="s">
        <v>79</v>
      </c>
      <c r="O877" t="s">
        <v>74</v>
      </c>
      <c r="P877" t="s">
        <v>74</v>
      </c>
      <c r="Q877" t="s">
        <v>74</v>
      </c>
      <c r="R877" t="s">
        <v>74</v>
      </c>
      <c r="S877" t="s">
        <v>74</v>
      </c>
      <c r="T877" t="s">
        <v>16579</v>
      </c>
      <c r="U877" t="s">
        <v>16580</v>
      </c>
      <c r="V877" t="s">
        <v>16581</v>
      </c>
      <c r="W877" t="s">
        <v>16582</v>
      </c>
      <c r="X877" t="s">
        <v>12979</v>
      </c>
      <c r="Y877" t="s">
        <v>16583</v>
      </c>
      <c r="Z877" t="s">
        <v>16584</v>
      </c>
      <c r="AA877" t="s">
        <v>16585</v>
      </c>
      <c r="AB877" t="s">
        <v>74</v>
      </c>
      <c r="AC877" t="s">
        <v>16586</v>
      </c>
      <c r="AD877" t="s">
        <v>16587</v>
      </c>
      <c r="AE877" t="s">
        <v>16588</v>
      </c>
      <c r="AF877" t="s">
        <v>74</v>
      </c>
      <c r="AG877">
        <v>59</v>
      </c>
      <c r="AH877">
        <v>22</v>
      </c>
      <c r="AI877">
        <v>23</v>
      </c>
      <c r="AJ877">
        <v>20</v>
      </c>
      <c r="AK877">
        <v>128</v>
      </c>
      <c r="AL877" t="s">
        <v>123</v>
      </c>
      <c r="AM877" t="s">
        <v>124</v>
      </c>
      <c r="AN877" t="s">
        <v>125</v>
      </c>
      <c r="AO877" t="s">
        <v>5888</v>
      </c>
      <c r="AP877" t="s">
        <v>5889</v>
      </c>
      <c r="AQ877" t="s">
        <v>74</v>
      </c>
      <c r="AR877" t="s">
        <v>5890</v>
      </c>
      <c r="AS877" t="s">
        <v>5891</v>
      </c>
      <c r="AT877" t="s">
        <v>960</v>
      </c>
      <c r="AU877">
        <v>2024</v>
      </c>
      <c r="AV877">
        <v>306</v>
      </c>
      <c r="AW877" t="s">
        <v>74</v>
      </c>
      <c r="AX877" t="s">
        <v>74</v>
      </c>
      <c r="AY877" t="s">
        <v>74</v>
      </c>
      <c r="AZ877" t="s">
        <v>74</v>
      </c>
      <c r="BA877" t="s">
        <v>74</v>
      </c>
      <c r="BB877" t="s">
        <v>74</v>
      </c>
      <c r="BC877" t="s">
        <v>74</v>
      </c>
      <c r="BD877">
        <v>109232</v>
      </c>
      <c r="BE877" t="s">
        <v>16589</v>
      </c>
      <c r="BF877" t="str">
        <f>HYPERLINK("http://dx.doi.org/10.1016/j.fcr.2023.109232","http://dx.doi.org/10.1016/j.fcr.2023.109232")</f>
        <v>http://dx.doi.org/10.1016/j.fcr.2023.109232</v>
      </c>
      <c r="BG877" t="s">
        <v>74</v>
      </c>
      <c r="BH877" t="s">
        <v>1712</v>
      </c>
      <c r="BI877">
        <v>10</v>
      </c>
      <c r="BJ877" t="s">
        <v>1357</v>
      </c>
      <c r="BK877" t="s">
        <v>102</v>
      </c>
      <c r="BL877" t="s">
        <v>103</v>
      </c>
      <c r="BM877" t="s">
        <v>16590</v>
      </c>
      <c r="BN877" t="s">
        <v>74</v>
      </c>
      <c r="BO877" t="s">
        <v>74</v>
      </c>
      <c r="BP877" t="s">
        <v>74</v>
      </c>
      <c r="BQ877" t="s">
        <v>74</v>
      </c>
      <c r="BR877" t="s">
        <v>106</v>
      </c>
      <c r="BS877" t="s">
        <v>16591</v>
      </c>
      <c r="BT877" t="str">
        <f>HYPERLINK("https%3A%2F%2Fwww.webofscience.com%2Fwos%2Fwoscc%2Ffull-record%2FWOS:001145231300001","View Full Record in Web of Science")</f>
        <v>View Full Record in Web of Science</v>
      </c>
    </row>
    <row r="878" spans="1:72" x14ac:dyDescent="0.2">
      <c r="A878" t="s">
        <v>72</v>
      </c>
      <c r="B878" t="s">
        <v>16592</v>
      </c>
      <c r="C878" t="s">
        <v>74</v>
      </c>
      <c r="D878" t="s">
        <v>74</v>
      </c>
      <c r="E878" t="s">
        <v>74</v>
      </c>
      <c r="F878" t="s">
        <v>16593</v>
      </c>
      <c r="G878" t="s">
        <v>74</v>
      </c>
      <c r="H878" t="s">
        <v>74</v>
      </c>
      <c r="I878" t="s">
        <v>16594</v>
      </c>
      <c r="J878" t="s">
        <v>446</v>
      </c>
      <c r="K878" t="s">
        <v>74</v>
      </c>
      <c r="L878" t="s">
        <v>74</v>
      </c>
      <c r="M878" t="s">
        <v>78</v>
      </c>
      <c r="N878" t="s">
        <v>79</v>
      </c>
      <c r="O878" t="s">
        <v>74</v>
      </c>
      <c r="P878" t="s">
        <v>74</v>
      </c>
      <c r="Q878" t="s">
        <v>74</v>
      </c>
      <c r="R878" t="s">
        <v>74</v>
      </c>
      <c r="S878" t="s">
        <v>74</v>
      </c>
      <c r="T878" t="s">
        <v>16595</v>
      </c>
      <c r="U878" t="s">
        <v>16596</v>
      </c>
      <c r="V878" t="s">
        <v>16597</v>
      </c>
      <c r="W878" t="s">
        <v>16598</v>
      </c>
      <c r="X878" t="s">
        <v>16599</v>
      </c>
      <c r="Y878" t="s">
        <v>16600</v>
      </c>
      <c r="Z878" t="s">
        <v>16601</v>
      </c>
      <c r="AA878" t="s">
        <v>16602</v>
      </c>
      <c r="AB878" t="s">
        <v>16603</v>
      </c>
      <c r="AC878" t="s">
        <v>16604</v>
      </c>
      <c r="AD878" t="s">
        <v>16604</v>
      </c>
      <c r="AE878" t="s">
        <v>16605</v>
      </c>
      <c r="AF878" t="s">
        <v>74</v>
      </c>
      <c r="AG878">
        <v>55</v>
      </c>
      <c r="AH878">
        <v>10</v>
      </c>
      <c r="AI878">
        <v>10</v>
      </c>
      <c r="AJ878">
        <v>1</v>
      </c>
      <c r="AK878">
        <v>14</v>
      </c>
      <c r="AL878" t="s">
        <v>222</v>
      </c>
      <c r="AM878" t="s">
        <v>223</v>
      </c>
      <c r="AN878" t="s">
        <v>478</v>
      </c>
      <c r="AO878" t="s">
        <v>74</v>
      </c>
      <c r="AP878" t="s">
        <v>457</v>
      </c>
      <c r="AQ878" t="s">
        <v>74</v>
      </c>
      <c r="AR878" t="s">
        <v>446</v>
      </c>
      <c r="AS878" t="s">
        <v>458</v>
      </c>
      <c r="AT878" t="s">
        <v>1752</v>
      </c>
      <c r="AU878">
        <v>2023</v>
      </c>
      <c r="AV878">
        <v>13</v>
      </c>
      <c r="AW878">
        <v>8</v>
      </c>
      <c r="AX878" t="s">
        <v>74</v>
      </c>
      <c r="AY878" t="s">
        <v>74</v>
      </c>
      <c r="AZ878" t="s">
        <v>74</v>
      </c>
      <c r="BA878" t="s">
        <v>74</v>
      </c>
      <c r="BB878" t="s">
        <v>74</v>
      </c>
      <c r="BC878" t="s">
        <v>74</v>
      </c>
      <c r="BD878">
        <v>1973</v>
      </c>
      <c r="BE878" t="s">
        <v>16606</v>
      </c>
      <c r="BF878" t="str">
        <f>HYPERLINK("http://dx.doi.org/10.3390/agronomy13081973","http://dx.doi.org/10.3390/agronomy13081973")</f>
        <v>http://dx.doi.org/10.3390/agronomy13081973</v>
      </c>
      <c r="BG878" t="s">
        <v>74</v>
      </c>
      <c r="BH878" t="s">
        <v>74</v>
      </c>
      <c r="BI878">
        <v>17</v>
      </c>
      <c r="BJ878" t="s">
        <v>461</v>
      </c>
      <c r="BK878" t="s">
        <v>102</v>
      </c>
      <c r="BL878" t="s">
        <v>462</v>
      </c>
      <c r="BM878" t="s">
        <v>16607</v>
      </c>
      <c r="BN878" t="s">
        <v>74</v>
      </c>
      <c r="BO878" t="s">
        <v>161</v>
      </c>
      <c r="BP878" t="s">
        <v>74</v>
      </c>
      <c r="BQ878" t="s">
        <v>74</v>
      </c>
      <c r="BR878" t="s">
        <v>106</v>
      </c>
      <c r="BS878" t="s">
        <v>16608</v>
      </c>
      <c r="BT878" t="str">
        <f>HYPERLINK("https%3A%2F%2Fwww.webofscience.com%2Fwos%2Fwoscc%2Ffull-record%2FWOS:001057607100001","View Full Record in Web of Science")</f>
        <v>View Full Record in Web of Science</v>
      </c>
    </row>
    <row r="879" spans="1:72" x14ac:dyDescent="0.2">
      <c r="A879" t="s">
        <v>72</v>
      </c>
      <c r="B879" t="s">
        <v>16609</v>
      </c>
      <c r="C879" t="s">
        <v>74</v>
      </c>
      <c r="D879" t="s">
        <v>74</v>
      </c>
      <c r="E879" t="s">
        <v>74</v>
      </c>
      <c r="F879" t="s">
        <v>16610</v>
      </c>
      <c r="G879" t="s">
        <v>74</v>
      </c>
      <c r="H879" t="s">
        <v>74</v>
      </c>
      <c r="I879" t="s">
        <v>16611</v>
      </c>
      <c r="J879" t="s">
        <v>16217</v>
      </c>
      <c r="K879" t="s">
        <v>74</v>
      </c>
      <c r="L879" t="s">
        <v>74</v>
      </c>
      <c r="M879" t="s">
        <v>78</v>
      </c>
      <c r="N879" t="s">
        <v>79</v>
      </c>
      <c r="O879" t="s">
        <v>74</v>
      </c>
      <c r="P879" t="s">
        <v>74</v>
      </c>
      <c r="Q879" t="s">
        <v>74</v>
      </c>
      <c r="R879" t="s">
        <v>74</v>
      </c>
      <c r="S879" t="s">
        <v>74</v>
      </c>
      <c r="T879" t="s">
        <v>16612</v>
      </c>
      <c r="U879" t="s">
        <v>16613</v>
      </c>
      <c r="V879" t="s">
        <v>16614</v>
      </c>
      <c r="W879" t="s">
        <v>16615</v>
      </c>
      <c r="X879" t="s">
        <v>16616</v>
      </c>
      <c r="Y879" t="s">
        <v>16617</v>
      </c>
      <c r="Z879" t="s">
        <v>16618</v>
      </c>
      <c r="AA879" t="s">
        <v>16619</v>
      </c>
      <c r="AB879" t="s">
        <v>74</v>
      </c>
      <c r="AC879" t="s">
        <v>16620</v>
      </c>
      <c r="AD879" t="s">
        <v>16620</v>
      </c>
      <c r="AE879" t="s">
        <v>16621</v>
      </c>
      <c r="AF879" t="s">
        <v>74</v>
      </c>
      <c r="AG879">
        <v>98</v>
      </c>
      <c r="AH879">
        <v>0</v>
      </c>
      <c r="AI879">
        <v>0</v>
      </c>
      <c r="AJ879">
        <v>13</v>
      </c>
      <c r="AK879">
        <v>13</v>
      </c>
      <c r="AL879" t="s">
        <v>247</v>
      </c>
      <c r="AM879" t="s">
        <v>248</v>
      </c>
      <c r="AN879" t="s">
        <v>249</v>
      </c>
      <c r="AO879" t="s">
        <v>16228</v>
      </c>
      <c r="AP879" t="s">
        <v>16229</v>
      </c>
      <c r="AQ879" t="s">
        <v>74</v>
      </c>
      <c r="AR879" t="s">
        <v>16230</v>
      </c>
      <c r="AS879" t="s">
        <v>16231</v>
      </c>
      <c r="AT879" t="s">
        <v>16622</v>
      </c>
      <c r="AU879">
        <v>2025</v>
      </c>
      <c r="AV879">
        <v>76</v>
      </c>
      <c r="AW879">
        <v>5</v>
      </c>
      <c r="AX879" t="s">
        <v>74</v>
      </c>
      <c r="AY879" t="s">
        <v>74</v>
      </c>
      <c r="AZ879" t="s">
        <v>74</v>
      </c>
      <c r="BA879" t="s">
        <v>74</v>
      </c>
      <c r="BB879" t="s">
        <v>74</v>
      </c>
      <c r="BC879" t="s">
        <v>74</v>
      </c>
      <c r="BD879" t="s">
        <v>16623</v>
      </c>
      <c r="BE879" t="s">
        <v>16624</v>
      </c>
      <c r="BF879" t="str">
        <f>HYPERLINK("http://dx.doi.org/10.1111/ejss.70194","http://dx.doi.org/10.1111/ejss.70194")</f>
        <v>http://dx.doi.org/10.1111/ejss.70194</v>
      </c>
      <c r="BG879" t="s">
        <v>74</v>
      </c>
      <c r="BH879" t="s">
        <v>74</v>
      </c>
      <c r="BI879">
        <v>17</v>
      </c>
      <c r="BJ879" t="s">
        <v>256</v>
      </c>
      <c r="BK879" t="s">
        <v>102</v>
      </c>
      <c r="BL879" t="s">
        <v>103</v>
      </c>
      <c r="BM879" t="s">
        <v>16625</v>
      </c>
      <c r="BN879" t="s">
        <v>74</v>
      </c>
      <c r="BO879" t="s">
        <v>74</v>
      </c>
      <c r="BP879" t="s">
        <v>74</v>
      </c>
      <c r="BQ879" t="s">
        <v>74</v>
      </c>
      <c r="BR879" t="s">
        <v>106</v>
      </c>
      <c r="BS879" t="s">
        <v>16626</v>
      </c>
      <c r="BT879" t="str">
        <f>HYPERLINK("https%3A%2F%2Fwww.webofscience.com%2Fwos%2Fwoscc%2Ffull-record%2FWOS:001570364000001","View Full Record in Web of Science")</f>
        <v>View Full Record in Web of Science</v>
      </c>
    </row>
    <row r="880" spans="1:72" x14ac:dyDescent="0.2">
      <c r="A880" t="s">
        <v>72</v>
      </c>
      <c r="B880" t="s">
        <v>16627</v>
      </c>
      <c r="C880" t="s">
        <v>74</v>
      </c>
      <c r="D880" t="s">
        <v>74</v>
      </c>
      <c r="E880" t="s">
        <v>74</v>
      </c>
      <c r="F880" t="s">
        <v>16628</v>
      </c>
      <c r="G880" t="s">
        <v>74</v>
      </c>
      <c r="H880" t="s">
        <v>74</v>
      </c>
      <c r="I880" t="s">
        <v>16629</v>
      </c>
      <c r="J880" t="s">
        <v>12432</v>
      </c>
      <c r="K880" t="s">
        <v>74</v>
      </c>
      <c r="L880" t="s">
        <v>74</v>
      </c>
      <c r="M880" t="s">
        <v>78</v>
      </c>
      <c r="N880" t="s">
        <v>79</v>
      </c>
      <c r="O880" t="s">
        <v>74</v>
      </c>
      <c r="P880" t="s">
        <v>74</v>
      </c>
      <c r="Q880" t="s">
        <v>74</v>
      </c>
      <c r="R880" t="s">
        <v>74</v>
      </c>
      <c r="S880" t="s">
        <v>74</v>
      </c>
      <c r="T880" t="s">
        <v>16630</v>
      </c>
      <c r="U880" t="s">
        <v>16631</v>
      </c>
      <c r="V880" t="s">
        <v>16632</v>
      </c>
      <c r="W880" t="s">
        <v>16633</v>
      </c>
      <c r="X880" t="s">
        <v>16634</v>
      </c>
      <c r="Y880" t="s">
        <v>16635</v>
      </c>
      <c r="Z880" t="s">
        <v>16636</v>
      </c>
      <c r="AA880" t="s">
        <v>16637</v>
      </c>
      <c r="AB880" t="s">
        <v>16638</v>
      </c>
      <c r="AC880" t="s">
        <v>74</v>
      </c>
      <c r="AD880" t="s">
        <v>74</v>
      </c>
      <c r="AE880" t="s">
        <v>74</v>
      </c>
      <c r="AF880" t="s">
        <v>74</v>
      </c>
      <c r="AG880">
        <v>94</v>
      </c>
      <c r="AH880">
        <v>47</v>
      </c>
      <c r="AI880">
        <v>55</v>
      </c>
      <c r="AJ880">
        <v>19</v>
      </c>
      <c r="AK880">
        <v>213</v>
      </c>
      <c r="AL880" t="s">
        <v>12442</v>
      </c>
      <c r="AM880" t="s">
        <v>630</v>
      </c>
      <c r="AN880" t="s">
        <v>12443</v>
      </c>
      <c r="AO880" t="s">
        <v>12444</v>
      </c>
      <c r="AP880" t="s">
        <v>12445</v>
      </c>
      <c r="AQ880" t="s">
        <v>74</v>
      </c>
      <c r="AR880" t="s">
        <v>12446</v>
      </c>
      <c r="AS880" t="s">
        <v>12447</v>
      </c>
      <c r="AT880" t="s">
        <v>99</v>
      </c>
      <c r="AU880">
        <v>2021</v>
      </c>
      <c r="AV880">
        <v>9</v>
      </c>
      <c r="AW880">
        <v>1</v>
      </c>
      <c r="AX880" t="s">
        <v>74</v>
      </c>
      <c r="AY880" t="s">
        <v>74</v>
      </c>
      <c r="AZ880" t="s">
        <v>74</v>
      </c>
      <c r="BA880" t="s">
        <v>74</v>
      </c>
      <c r="BB880">
        <v>76</v>
      </c>
      <c r="BC880">
        <v>86</v>
      </c>
      <c r="BD880" t="s">
        <v>74</v>
      </c>
      <c r="BE880" t="s">
        <v>16639</v>
      </c>
      <c r="BF880" t="str">
        <f>HYPERLINK("http://dx.doi.org/10.1016/j.iswcr.2020.09.002","http://dx.doi.org/10.1016/j.iswcr.2020.09.002")</f>
        <v>http://dx.doi.org/10.1016/j.iswcr.2020.09.002</v>
      </c>
      <c r="BG880" t="s">
        <v>74</v>
      </c>
      <c r="BH880" t="s">
        <v>74</v>
      </c>
      <c r="BI880">
        <v>11</v>
      </c>
      <c r="BJ880" t="s">
        <v>4979</v>
      </c>
      <c r="BK880" t="s">
        <v>102</v>
      </c>
      <c r="BL880" t="s">
        <v>4980</v>
      </c>
      <c r="BM880" t="s">
        <v>16640</v>
      </c>
      <c r="BN880" t="s">
        <v>74</v>
      </c>
      <c r="BO880" t="s">
        <v>161</v>
      </c>
      <c r="BP880" t="s">
        <v>74</v>
      </c>
      <c r="BQ880" t="s">
        <v>74</v>
      </c>
      <c r="BR880" t="s">
        <v>106</v>
      </c>
      <c r="BS880" t="s">
        <v>16641</v>
      </c>
      <c r="BT880" t="str">
        <f>HYPERLINK("https%3A%2F%2Fwww.webofscience.com%2Fwos%2Fwoscc%2Ffull-record%2FWOS:000614576700008","View Full Record in Web of Science")</f>
        <v>View Full Record in Web of Science</v>
      </c>
    </row>
    <row r="881" spans="1:72" x14ac:dyDescent="0.2">
      <c r="A881" t="s">
        <v>72</v>
      </c>
      <c r="B881" t="s">
        <v>15912</v>
      </c>
      <c r="C881" t="s">
        <v>74</v>
      </c>
      <c r="D881" t="s">
        <v>74</v>
      </c>
      <c r="E881" t="s">
        <v>74</v>
      </c>
      <c r="F881" t="s">
        <v>15913</v>
      </c>
      <c r="G881" t="s">
        <v>74</v>
      </c>
      <c r="H881" t="s">
        <v>74</v>
      </c>
      <c r="I881" t="s">
        <v>16642</v>
      </c>
      <c r="J881" t="s">
        <v>995</v>
      </c>
      <c r="K881" t="s">
        <v>74</v>
      </c>
      <c r="L881" t="s">
        <v>74</v>
      </c>
      <c r="M881" t="s">
        <v>78</v>
      </c>
      <c r="N881" t="s">
        <v>79</v>
      </c>
      <c r="O881" t="s">
        <v>74</v>
      </c>
      <c r="P881" t="s">
        <v>74</v>
      </c>
      <c r="Q881" t="s">
        <v>74</v>
      </c>
      <c r="R881" t="s">
        <v>74</v>
      </c>
      <c r="S881" t="s">
        <v>74</v>
      </c>
      <c r="T881" t="s">
        <v>16643</v>
      </c>
      <c r="U881" t="s">
        <v>16644</v>
      </c>
      <c r="V881" t="s">
        <v>16645</v>
      </c>
      <c r="W881" t="s">
        <v>16646</v>
      </c>
      <c r="X881" t="s">
        <v>15919</v>
      </c>
      <c r="Y881" t="s">
        <v>16647</v>
      </c>
      <c r="Z881" t="s">
        <v>15921</v>
      </c>
      <c r="AA881" t="s">
        <v>16648</v>
      </c>
      <c r="AB881" t="s">
        <v>16649</v>
      </c>
      <c r="AC881" t="s">
        <v>15924</v>
      </c>
      <c r="AD881" t="s">
        <v>15925</v>
      </c>
      <c r="AE881" t="s">
        <v>16650</v>
      </c>
      <c r="AF881" t="s">
        <v>74</v>
      </c>
      <c r="AG881">
        <v>90</v>
      </c>
      <c r="AH881">
        <v>54</v>
      </c>
      <c r="AI881">
        <v>63</v>
      </c>
      <c r="AJ881">
        <v>7</v>
      </c>
      <c r="AK881">
        <v>184</v>
      </c>
      <c r="AL881" t="s">
        <v>123</v>
      </c>
      <c r="AM881" t="s">
        <v>124</v>
      </c>
      <c r="AN881" t="s">
        <v>125</v>
      </c>
      <c r="AO881" t="s">
        <v>1008</v>
      </c>
      <c r="AP881" t="s">
        <v>1009</v>
      </c>
      <c r="AQ881" t="s">
        <v>74</v>
      </c>
      <c r="AR881" t="s">
        <v>1010</v>
      </c>
      <c r="AS881" t="s">
        <v>1011</v>
      </c>
      <c r="AT881" t="s">
        <v>4711</v>
      </c>
      <c r="AU881">
        <v>2018</v>
      </c>
      <c r="AV881">
        <v>639</v>
      </c>
      <c r="AW881" t="s">
        <v>74</v>
      </c>
      <c r="AX881" t="s">
        <v>74</v>
      </c>
      <c r="AY881" t="s">
        <v>74</v>
      </c>
      <c r="AZ881" t="s">
        <v>74</v>
      </c>
      <c r="BA881" t="s">
        <v>74</v>
      </c>
      <c r="BB881">
        <v>350</v>
      </c>
      <c r="BC881">
        <v>359</v>
      </c>
      <c r="BD881" t="s">
        <v>74</v>
      </c>
      <c r="BE881" t="s">
        <v>16651</v>
      </c>
      <c r="BF881" t="str">
        <f>HYPERLINK("http://dx.doi.org/10.1016/j.scitotenv.2018.05.157","http://dx.doi.org/10.1016/j.scitotenv.2018.05.157")</f>
        <v>http://dx.doi.org/10.1016/j.scitotenv.2018.05.157</v>
      </c>
      <c r="BG881" t="s">
        <v>74</v>
      </c>
      <c r="BH881" t="s">
        <v>74</v>
      </c>
      <c r="BI881">
        <v>10</v>
      </c>
      <c r="BJ881" t="s">
        <v>567</v>
      </c>
      <c r="BK881" t="s">
        <v>102</v>
      </c>
      <c r="BL881" t="s">
        <v>568</v>
      </c>
      <c r="BM881" t="s">
        <v>16652</v>
      </c>
      <c r="BN881">
        <v>29791887</v>
      </c>
      <c r="BO881" t="s">
        <v>74</v>
      </c>
      <c r="BP881" t="s">
        <v>74</v>
      </c>
      <c r="BQ881" t="s">
        <v>74</v>
      </c>
      <c r="BR881" t="s">
        <v>106</v>
      </c>
      <c r="BS881" t="s">
        <v>16653</v>
      </c>
      <c r="BT881" t="str">
        <f>HYPERLINK("https%3A%2F%2Fwww.webofscience.com%2Fwos%2Fwoscc%2Ffull-record%2FWOS:000436806200034","View Full Record in Web of Science")</f>
        <v>View Full Record in Web of Science</v>
      </c>
    </row>
    <row r="882" spans="1:72" x14ac:dyDescent="0.2">
      <c r="A882" t="s">
        <v>72</v>
      </c>
      <c r="B882" t="s">
        <v>16654</v>
      </c>
      <c r="C882" t="s">
        <v>74</v>
      </c>
      <c r="D882" t="s">
        <v>74</v>
      </c>
      <c r="E882" t="s">
        <v>74</v>
      </c>
      <c r="F882" t="s">
        <v>16655</v>
      </c>
      <c r="G882" t="s">
        <v>74</v>
      </c>
      <c r="H882" t="s">
        <v>74</v>
      </c>
      <c r="I882" t="s">
        <v>16656</v>
      </c>
      <c r="J882" t="s">
        <v>16657</v>
      </c>
      <c r="K882" t="s">
        <v>74</v>
      </c>
      <c r="L882" t="s">
        <v>74</v>
      </c>
      <c r="M882" t="s">
        <v>78</v>
      </c>
      <c r="N882" t="s">
        <v>79</v>
      </c>
      <c r="O882" t="s">
        <v>74</v>
      </c>
      <c r="P882" t="s">
        <v>74</v>
      </c>
      <c r="Q882" t="s">
        <v>74</v>
      </c>
      <c r="R882" t="s">
        <v>74</v>
      </c>
      <c r="S882" t="s">
        <v>74</v>
      </c>
      <c r="T882" t="s">
        <v>16658</v>
      </c>
      <c r="U882" t="s">
        <v>16659</v>
      </c>
      <c r="V882" t="s">
        <v>16660</v>
      </c>
      <c r="W882" t="s">
        <v>16661</v>
      </c>
      <c r="X882" t="s">
        <v>16662</v>
      </c>
      <c r="Y882" t="s">
        <v>16663</v>
      </c>
      <c r="Z882" t="s">
        <v>16664</v>
      </c>
      <c r="AA882" t="s">
        <v>16665</v>
      </c>
      <c r="AB882" t="s">
        <v>16666</v>
      </c>
      <c r="AC882" t="s">
        <v>74</v>
      </c>
      <c r="AD882" t="s">
        <v>74</v>
      </c>
      <c r="AE882" t="s">
        <v>74</v>
      </c>
      <c r="AF882" t="s">
        <v>74</v>
      </c>
      <c r="AG882">
        <v>52</v>
      </c>
      <c r="AH882">
        <v>73</v>
      </c>
      <c r="AI882">
        <v>82</v>
      </c>
      <c r="AJ882">
        <v>4</v>
      </c>
      <c r="AK882">
        <v>137</v>
      </c>
      <c r="AL882" t="s">
        <v>176</v>
      </c>
      <c r="AM882" t="s">
        <v>177</v>
      </c>
      <c r="AN882" t="s">
        <v>178</v>
      </c>
      <c r="AO882" t="s">
        <v>16667</v>
      </c>
      <c r="AP882" t="s">
        <v>16668</v>
      </c>
      <c r="AQ882" t="s">
        <v>74</v>
      </c>
      <c r="AR882" t="s">
        <v>16669</v>
      </c>
      <c r="AS882" t="s">
        <v>16670</v>
      </c>
      <c r="AT882" t="s">
        <v>1963</v>
      </c>
      <c r="AU882">
        <v>2016</v>
      </c>
      <c r="AV882">
        <v>201</v>
      </c>
      <c r="AW882" t="s">
        <v>74</v>
      </c>
      <c r="AX882" t="s">
        <v>74</v>
      </c>
      <c r="AY882" t="s">
        <v>74</v>
      </c>
      <c r="AZ882" t="s">
        <v>74</v>
      </c>
      <c r="BA882" t="s">
        <v>74</v>
      </c>
      <c r="BB882">
        <v>370</v>
      </c>
      <c r="BC882">
        <v>376</v>
      </c>
      <c r="BD882" t="s">
        <v>74</v>
      </c>
      <c r="BE882" t="s">
        <v>16671</v>
      </c>
      <c r="BF882" t="str">
        <f>HYPERLINK("http://dx.doi.org/10.1016/j.biocon.2016.08.005","http://dx.doi.org/10.1016/j.biocon.2016.08.005")</f>
        <v>http://dx.doi.org/10.1016/j.biocon.2016.08.005</v>
      </c>
      <c r="BG882" t="s">
        <v>74</v>
      </c>
      <c r="BH882" t="s">
        <v>74</v>
      </c>
      <c r="BI882">
        <v>7</v>
      </c>
      <c r="BJ882" t="s">
        <v>755</v>
      </c>
      <c r="BK882" t="s">
        <v>102</v>
      </c>
      <c r="BL882" t="s">
        <v>756</v>
      </c>
      <c r="BM882" t="s">
        <v>16672</v>
      </c>
      <c r="BN882" t="s">
        <v>74</v>
      </c>
      <c r="BO882" t="s">
        <v>541</v>
      </c>
      <c r="BP882" t="s">
        <v>74</v>
      </c>
      <c r="BQ882" t="s">
        <v>74</v>
      </c>
      <c r="BR882" t="s">
        <v>106</v>
      </c>
      <c r="BS882" t="s">
        <v>16673</v>
      </c>
      <c r="BT882" t="str">
        <f>HYPERLINK("https%3A%2F%2Fwww.webofscience.com%2Fwos%2Fwoscc%2Ffull-record%2FWOS:000384782800044","View Full Record in Web of Science")</f>
        <v>View Full Record in Web of Science</v>
      </c>
    </row>
    <row r="883" spans="1:72" x14ac:dyDescent="0.2">
      <c r="A883" t="s">
        <v>72</v>
      </c>
      <c r="B883" t="s">
        <v>16674</v>
      </c>
      <c r="C883" t="s">
        <v>74</v>
      </c>
      <c r="D883" t="s">
        <v>74</v>
      </c>
      <c r="E883" t="s">
        <v>74</v>
      </c>
      <c r="F883" t="s">
        <v>16675</v>
      </c>
      <c r="G883" t="s">
        <v>74</v>
      </c>
      <c r="H883" t="s">
        <v>74</v>
      </c>
      <c r="I883" t="s">
        <v>16676</v>
      </c>
      <c r="J883" t="s">
        <v>16677</v>
      </c>
      <c r="K883" t="s">
        <v>74</v>
      </c>
      <c r="L883" t="s">
        <v>74</v>
      </c>
      <c r="M883" t="s">
        <v>78</v>
      </c>
      <c r="N883" t="s">
        <v>79</v>
      </c>
      <c r="O883" t="s">
        <v>74</v>
      </c>
      <c r="P883" t="s">
        <v>74</v>
      </c>
      <c r="Q883" t="s">
        <v>74</v>
      </c>
      <c r="R883" t="s">
        <v>74</v>
      </c>
      <c r="S883" t="s">
        <v>74</v>
      </c>
      <c r="T883" t="s">
        <v>74</v>
      </c>
      <c r="U883" t="s">
        <v>16678</v>
      </c>
      <c r="V883" t="s">
        <v>16679</v>
      </c>
      <c r="W883" t="s">
        <v>16680</v>
      </c>
      <c r="X883" t="s">
        <v>16681</v>
      </c>
      <c r="Y883" t="s">
        <v>16682</v>
      </c>
      <c r="Z883" t="s">
        <v>16683</v>
      </c>
      <c r="AA883" t="s">
        <v>16684</v>
      </c>
      <c r="AB883" t="s">
        <v>16685</v>
      </c>
      <c r="AC883" t="s">
        <v>74</v>
      </c>
      <c r="AD883" t="s">
        <v>74</v>
      </c>
      <c r="AE883" t="s">
        <v>74</v>
      </c>
      <c r="AF883" t="s">
        <v>74</v>
      </c>
      <c r="AG883">
        <v>101</v>
      </c>
      <c r="AH883">
        <v>404</v>
      </c>
      <c r="AI883">
        <v>440</v>
      </c>
      <c r="AJ883">
        <v>13</v>
      </c>
      <c r="AK883">
        <v>207</v>
      </c>
      <c r="AL883" t="s">
        <v>274</v>
      </c>
      <c r="AM883" t="s">
        <v>275</v>
      </c>
      <c r="AN883" t="s">
        <v>276</v>
      </c>
      <c r="AO883" t="s">
        <v>16686</v>
      </c>
      <c r="AP883" t="s">
        <v>74</v>
      </c>
      <c r="AQ883" t="s">
        <v>74</v>
      </c>
      <c r="AR883" t="s">
        <v>16687</v>
      </c>
      <c r="AS883" t="s">
        <v>16688</v>
      </c>
      <c r="AT883" t="s">
        <v>16689</v>
      </c>
      <c r="AU883">
        <v>2019</v>
      </c>
      <c r="AV883">
        <v>2</v>
      </c>
      <c r="AW883" t="s">
        <v>74</v>
      </c>
      <c r="AX883" t="s">
        <v>74</v>
      </c>
      <c r="AY883" t="s">
        <v>74</v>
      </c>
      <c r="AZ883" t="s">
        <v>74</v>
      </c>
      <c r="BA883" t="s">
        <v>74</v>
      </c>
      <c r="BB883" t="s">
        <v>74</v>
      </c>
      <c r="BC883" t="s">
        <v>74</v>
      </c>
      <c r="BD883">
        <v>35</v>
      </c>
      <c r="BE883" t="s">
        <v>16690</v>
      </c>
      <c r="BF883" t="str">
        <f>HYPERLINK("http://dx.doi.org/10.1038/s41612-019-0093-5","http://dx.doi.org/10.1038/s41612-019-0093-5")</f>
        <v>http://dx.doi.org/10.1038/s41612-019-0093-5</v>
      </c>
      <c r="BG883" t="s">
        <v>74</v>
      </c>
      <c r="BH883" t="s">
        <v>74</v>
      </c>
      <c r="BI883">
        <v>10</v>
      </c>
      <c r="BJ883" t="s">
        <v>4096</v>
      </c>
      <c r="BK883" t="s">
        <v>102</v>
      </c>
      <c r="BL883" t="s">
        <v>4096</v>
      </c>
      <c r="BM883" t="s">
        <v>16691</v>
      </c>
      <c r="BN883" t="s">
        <v>74</v>
      </c>
      <c r="BO883" t="s">
        <v>231</v>
      </c>
      <c r="BP883" t="s">
        <v>4815</v>
      </c>
      <c r="BQ883" t="s">
        <v>4816</v>
      </c>
      <c r="BR883" t="s">
        <v>106</v>
      </c>
      <c r="BS883" t="s">
        <v>16692</v>
      </c>
      <c r="BT883" t="str">
        <f>HYPERLINK("https%3A%2F%2Fwww.webofscience.com%2Fwos%2Fwoscc%2Ffull-record%2FWOS:000496231100001","View Full Record in Web of Science")</f>
        <v>View Full Record in Web of Science</v>
      </c>
    </row>
    <row r="884" spans="1:72" x14ac:dyDescent="0.2">
      <c r="A884" t="s">
        <v>72</v>
      </c>
      <c r="B884" t="s">
        <v>16693</v>
      </c>
      <c r="C884" t="s">
        <v>74</v>
      </c>
      <c r="D884" t="s">
        <v>74</v>
      </c>
      <c r="E884" t="s">
        <v>74</v>
      </c>
      <c r="F884" t="s">
        <v>16694</v>
      </c>
      <c r="G884" t="s">
        <v>74</v>
      </c>
      <c r="H884" t="s">
        <v>74</v>
      </c>
      <c r="I884" t="s">
        <v>16695</v>
      </c>
      <c r="J884" t="s">
        <v>347</v>
      </c>
      <c r="K884" t="s">
        <v>74</v>
      </c>
      <c r="L884" t="s">
        <v>74</v>
      </c>
      <c r="M884" t="s">
        <v>78</v>
      </c>
      <c r="N884" t="s">
        <v>79</v>
      </c>
      <c r="O884" t="s">
        <v>74</v>
      </c>
      <c r="P884" t="s">
        <v>74</v>
      </c>
      <c r="Q884" t="s">
        <v>74</v>
      </c>
      <c r="R884" t="s">
        <v>74</v>
      </c>
      <c r="S884" t="s">
        <v>74</v>
      </c>
      <c r="T884" t="s">
        <v>16696</v>
      </c>
      <c r="U884" t="s">
        <v>74</v>
      </c>
      <c r="V884" t="s">
        <v>16697</v>
      </c>
      <c r="W884" t="s">
        <v>16698</v>
      </c>
      <c r="X884" t="s">
        <v>16699</v>
      </c>
      <c r="Y884" t="s">
        <v>16700</v>
      </c>
      <c r="Z884" t="s">
        <v>16701</v>
      </c>
      <c r="AA884" t="s">
        <v>74</v>
      </c>
      <c r="AB884" t="s">
        <v>74</v>
      </c>
      <c r="AC884" t="s">
        <v>16702</v>
      </c>
      <c r="AD884" t="s">
        <v>16702</v>
      </c>
      <c r="AE884" t="s">
        <v>16703</v>
      </c>
      <c r="AF884" t="s">
        <v>74</v>
      </c>
      <c r="AG884">
        <v>59</v>
      </c>
      <c r="AH884">
        <v>0</v>
      </c>
      <c r="AI884">
        <v>0</v>
      </c>
      <c r="AJ884">
        <v>0</v>
      </c>
      <c r="AK884">
        <v>0</v>
      </c>
      <c r="AL884" t="s">
        <v>274</v>
      </c>
      <c r="AM884" t="s">
        <v>275</v>
      </c>
      <c r="AN884" t="s">
        <v>276</v>
      </c>
      <c r="AO884" t="s">
        <v>357</v>
      </c>
      <c r="AP884" t="s">
        <v>74</v>
      </c>
      <c r="AQ884" t="s">
        <v>74</v>
      </c>
      <c r="AR884" t="s">
        <v>358</v>
      </c>
      <c r="AS884" t="s">
        <v>359</v>
      </c>
      <c r="AT884" t="s">
        <v>16704</v>
      </c>
      <c r="AU884">
        <v>2025</v>
      </c>
      <c r="AV884">
        <v>15</v>
      </c>
      <c r="AW884">
        <v>1</v>
      </c>
      <c r="AX884" t="s">
        <v>74</v>
      </c>
      <c r="AY884" t="s">
        <v>74</v>
      </c>
      <c r="AZ884" t="s">
        <v>74</v>
      </c>
      <c r="BA884" t="s">
        <v>74</v>
      </c>
      <c r="BB884" t="s">
        <v>74</v>
      </c>
      <c r="BC884" t="s">
        <v>74</v>
      </c>
      <c r="BD884">
        <v>40142</v>
      </c>
      <c r="BE884" t="s">
        <v>16705</v>
      </c>
      <c r="BF884" t="str">
        <f>HYPERLINK("http://dx.doi.org/10.1038/s41598-025-23922-y","http://dx.doi.org/10.1038/s41598-025-23922-y")</f>
        <v>http://dx.doi.org/10.1038/s41598-025-23922-y</v>
      </c>
      <c r="BG884" t="s">
        <v>74</v>
      </c>
      <c r="BH884" t="s">
        <v>74</v>
      </c>
      <c r="BI884">
        <v>25</v>
      </c>
      <c r="BJ884" t="s">
        <v>158</v>
      </c>
      <c r="BK884" t="s">
        <v>102</v>
      </c>
      <c r="BL884" t="s">
        <v>159</v>
      </c>
      <c r="BM884" t="s">
        <v>16706</v>
      </c>
      <c r="BN884">
        <v>41249268</v>
      </c>
      <c r="BO884" t="s">
        <v>161</v>
      </c>
      <c r="BP884" t="s">
        <v>74</v>
      </c>
      <c r="BQ884" t="s">
        <v>74</v>
      </c>
      <c r="BR884" t="s">
        <v>106</v>
      </c>
      <c r="BS884" t="s">
        <v>16707</v>
      </c>
      <c r="BT884" t="str">
        <f>HYPERLINK("https%3A%2F%2Fwww.webofscience.com%2Fwos%2Fwoscc%2Ffull-record%2FWOS:001617754400031","View Full Record in Web of Science")</f>
        <v>View Full Record in Web of Science</v>
      </c>
    </row>
    <row r="885" spans="1:72" x14ac:dyDescent="0.2">
      <c r="A885" t="s">
        <v>72</v>
      </c>
      <c r="B885" t="s">
        <v>16708</v>
      </c>
      <c r="C885" t="s">
        <v>74</v>
      </c>
      <c r="D885" t="s">
        <v>74</v>
      </c>
      <c r="E885" t="s">
        <v>74</v>
      </c>
      <c r="F885" t="s">
        <v>16709</v>
      </c>
      <c r="G885" t="s">
        <v>74</v>
      </c>
      <c r="H885" t="s">
        <v>74</v>
      </c>
      <c r="I885" t="s">
        <v>16710</v>
      </c>
      <c r="J885" t="s">
        <v>1948</v>
      </c>
      <c r="K885" t="s">
        <v>74</v>
      </c>
      <c r="L885" t="s">
        <v>74</v>
      </c>
      <c r="M885" t="s">
        <v>78</v>
      </c>
      <c r="N885" t="s">
        <v>79</v>
      </c>
      <c r="O885" t="s">
        <v>74</v>
      </c>
      <c r="P885" t="s">
        <v>74</v>
      </c>
      <c r="Q885" t="s">
        <v>74</v>
      </c>
      <c r="R885" t="s">
        <v>74</v>
      </c>
      <c r="S885" t="s">
        <v>74</v>
      </c>
      <c r="T885" t="s">
        <v>16711</v>
      </c>
      <c r="U885" t="s">
        <v>16712</v>
      </c>
      <c r="V885" t="s">
        <v>16713</v>
      </c>
      <c r="W885" t="s">
        <v>16714</v>
      </c>
      <c r="X885" t="s">
        <v>9290</v>
      </c>
      <c r="Y885" t="s">
        <v>16715</v>
      </c>
      <c r="Z885" t="s">
        <v>16716</v>
      </c>
      <c r="AA885" t="s">
        <v>74</v>
      </c>
      <c r="AB885" t="s">
        <v>74</v>
      </c>
      <c r="AC885" t="s">
        <v>16717</v>
      </c>
      <c r="AD885" t="s">
        <v>16718</v>
      </c>
      <c r="AE885" t="s">
        <v>16719</v>
      </c>
      <c r="AF885" t="s">
        <v>74</v>
      </c>
      <c r="AG885">
        <v>117</v>
      </c>
      <c r="AH885">
        <v>18</v>
      </c>
      <c r="AI885">
        <v>20</v>
      </c>
      <c r="AJ885">
        <v>10</v>
      </c>
      <c r="AK885">
        <v>112</v>
      </c>
      <c r="AL885" t="s">
        <v>123</v>
      </c>
      <c r="AM885" t="s">
        <v>124</v>
      </c>
      <c r="AN885" t="s">
        <v>125</v>
      </c>
      <c r="AO885" t="s">
        <v>1959</v>
      </c>
      <c r="AP885" t="s">
        <v>1960</v>
      </c>
      <c r="AQ885" t="s">
        <v>74</v>
      </c>
      <c r="AR885" t="s">
        <v>1961</v>
      </c>
      <c r="AS885" t="s">
        <v>1962</v>
      </c>
      <c r="AT885" t="s">
        <v>1752</v>
      </c>
      <c r="AU885">
        <v>2023</v>
      </c>
      <c r="AV885">
        <v>148</v>
      </c>
      <c r="AW885" t="s">
        <v>74</v>
      </c>
      <c r="AX885" t="s">
        <v>74</v>
      </c>
      <c r="AY885" t="s">
        <v>74</v>
      </c>
      <c r="AZ885" t="s">
        <v>74</v>
      </c>
      <c r="BA885" t="s">
        <v>74</v>
      </c>
      <c r="BB885" t="s">
        <v>74</v>
      </c>
      <c r="BC885" t="s">
        <v>74</v>
      </c>
      <c r="BD885">
        <v>126881</v>
      </c>
      <c r="BE885" t="s">
        <v>16720</v>
      </c>
      <c r="BF885" t="str">
        <f>HYPERLINK("http://dx.doi.org/10.1016/j.eja.2023.126881","http://dx.doi.org/10.1016/j.eja.2023.126881")</f>
        <v>http://dx.doi.org/10.1016/j.eja.2023.126881</v>
      </c>
      <c r="BG885" t="s">
        <v>74</v>
      </c>
      <c r="BH885" t="s">
        <v>6031</v>
      </c>
      <c r="BI885">
        <v>18</v>
      </c>
      <c r="BJ885" t="s">
        <v>1357</v>
      </c>
      <c r="BK885" t="s">
        <v>102</v>
      </c>
      <c r="BL885" t="s">
        <v>103</v>
      </c>
      <c r="BM885" t="s">
        <v>16721</v>
      </c>
      <c r="BN885" t="s">
        <v>74</v>
      </c>
      <c r="BO885" t="s">
        <v>74</v>
      </c>
      <c r="BP885" t="s">
        <v>74</v>
      </c>
      <c r="BQ885" t="s">
        <v>74</v>
      </c>
      <c r="BR885" t="s">
        <v>106</v>
      </c>
      <c r="BS885" t="s">
        <v>16722</v>
      </c>
      <c r="BT885" t="str">
        <f>HYPERLINK("https%3A%2F%2Fwww.webofscience.com%2Fwos%2Fwoscc%2Ffull-record%2FWOS:001012756200001","View Full Record in Web of Science")</f>
        <v>View Full Record in Web of Science</v>
      </c>
    </row>
    <row r="886" spans="1:72" x14ac:dyDescent="0.2">
      <c r="A886" t="s">
        <v>72</v>
      </c>
      <c r="B886" t="s">
        <v>16723</v>
      </c>
      <c r="C886" t="s">
        <v>74</v>
      </c>
      <c r="D886" t="s">
        <v>74</v>
      </c>
      <c r="E886" t="s">
        <v>74</v>
      </c>
      <c r="F886" t="s">
        <v>16724</v>
      </c>
      <c r="G886" t="s">
        <v>74</v>
      </c>
      <c r="H886" t="s">
        <v>74</v>
      </c>
      <c r="I886" t="s">
        <v>16725</v>
      </c>
      <c r="J886" t="s">
        <v>1526</v>
      </c>
      <c r="K886" t="s">
        <v>74</v>
      </c>
      <c r="L886" t="s">
        <v>74</v>
      </c>
      <c r="M886" t="s">
        <v>78</v>
      </c>
      <c r="N886" t="s">
        <v>79</v>
      </c>
      <c r="O886" t="s">
        <v>74</v>
      </c>
      <c r="P886" t="s">
        <v>74</v>
      </c>
      <c r="Q886" t="s">
        <v>74</v>
      </c>
      <c r="R886" t="s">
        <v>74</v>
      </c>
      <c r="S886" t="s">
        <v>74</v>
      </c>
      <c r="T886" t="s">
        <v>16726</v>
      </c>
      <c r="U886" t="s">
        <v>16727</v>
      </c>
      <c r="V886" t="s">
        <v>16728</v>
      </c>
      <c r="W886" t="s">
        <v>16729</v>
      </c>
      <c r="X886" t="s">
        <v>16730</v>
      </c>
      <c r="Y886" t="s">
        <v>16731</v>
      </c>
      <c r="Z886" t="s">
        <v>16732</v>
      </c>
      <c r="AA886" t="s">
        <v>16733</v>
      </c>
      <c r="AB886" t="s">
        <v>16734</v>
      </c>
      <c r="AC886" t="s">
        <v>16735</v>
      </c>
      <c r="AD886" t="s">
        <v>16736</v>
      </c>
      <c r="AE886" t="s">
        <v>16737</v>
      </c>
      <c r="AF886" t="s">
        <v>74</v>
      </c>
      <c r="AG886">
        <v>52</v>
      </c>
      <c r="AH886">
        <v>89</v>
      </c>
      <c r="AI886">
        <v>114</v>
      </c>
      <c r="AJ886">
        <v>19</v>
      </c>
      <c r="AK886">
        <v>411</v>
      </c>
      <c r="AL886" t="s">
        <v>176</v>
      </c>
      <c r="AM886" t="s">
        <v>177</v>
      </c>
      <c r="AN886" t="s">
        <v>178</v>
      </c>
      <c r="AO886" t="s">
        <v>1538</v>
      </c>
      <c r="AP886" t="s">
        <v>1539</v>
      </c>
      <c r="AQ886" t="s">
        <v>74</v>
      </c>
      <c r="AR886" t="s">
        <v>1540</v>
      </c>
      <c r="AS886" t="s">
        <v>1541</v>
      </c>
      <c r="AT886" t="s">
        <v>6996</v>
      </c>
      <c r="AU886">
        <v>2018</v>
      </c>
      <c r="AV886">
        <v>195</v>
      </c>
      <c r="AW886" t="s">
        <v>74</v>
      </c>
      <c r="AX886" t="s">
        <v>74</v>
      </c>
      <c r="AY886" t="s">
        <v>74</v>
      </c>
      <c r="AZ886" t="s">
        <v>74</v>
      </c>
      <c r="BA886" t="s">
        <v>74</v>
      </c>
      <c r="BB886">
        <v>289</v>
      </c>
      <c r="BC886">
        <v>300</v>
      </c>
      <c r="BD886" t="s">
        <v>74</v>
      </c>
      <c r="BE886" t="s">
        <v>16738</v>
      </c>
      <c r="BF886" t="str">
        <f>HYPERLINK("http://dx.doi.org/10.1016/j.jclepro.2018.05.115","http://dx.doi.org/10.1016/j.jclepro.2018.05.115")</f>
        <v>http://dx.doi.org/10.1016/j.jclepro.2018.05.115</v>
      </c>
      <c r="BG886" t="s">
        <v>74</v>
      </c>
      <c r="BH886" t="s">
        <v>74</v>
      </c>
      <c r="BI886">
        <v>12</v>
      </c>
      <c r="BJ886" t="s">
        <v>1543</v>
      </c>
      <c r="BK886" t="s">
        <v>102</v>
      </c>
      <c r="BL886" t="s">
        <v>1544</v>
      </c>
      <c r="BM886" t="s">
        <v>16739</v>
      </c>
      <c r="BN886" t="s">
        <v>74</v>
      </c>
      <c r="BO886" t="s">
        <v>74</v>
      </c>
      <c r="BP886" t="s">
        <v>74</v>
      </c>
      <c r="BQ886" t="s">
        <v>74</v>
      </c>
      <c r="BR886" t="s">
        <v>106</v>
      </c>
      <c r="BS886" t="s">
        <v>16740</v>
      </c>
      <c r="BT886" t="str">
        <f>HYPERLINK("https%3A%2F%2Fwww.webofscience.com%2Fwos%2Fwoscc%2Ffull-record%2FWOS:000440390900025","View Full Record in Web of Science")</f>
        <v>View Full Record in Web of Science</v>
      </c>
    </row>
    <row r="887" spans="1:72" x14ac:dyDescent="0.2">
      <c r="A887" t="s">
        <v>72</v>
      </c>
      <c r="B887" t="s">
        <v>16741</v>
      </c>
      <c r="C887" t="s">
        <v>74</v>
      </c>
      <c r="D887" t="s">
        <v>74</v>
      </c>
      <c r="E887" t="s">
        <v>74</v>
      </c>
      <c r="F887" t="s">
        <v>16742</v>
      </c>
      <c r="G887" t="s">
        <v>74</v>
      </c>
      <c r="H887" t="s">
        <v>74</v>
      </c>
      <c r="I887" t="s">
        <v>16743</v>
      </c>
      <c r="J887" t="s">
        <v>12797</v>
      </c>
      <c r="K887" t="s">
        <v>74</v>
      </c>
      <c r="L887" t="s">
        <v>74</v>
      </c>
      <c r="M887" t="s">
        <v>78</v>
      </c>
      <c r="N887" t="s">
        <v>16744</v>
      </c>
      <c r="O887" t="s">
        <v>74</v>
      </c>
      <c r="P887" t="s">
        <v>74</v>
      </c>
      <c r="Q887" t="s">
        <v>74</v>
      </c>
      <c r="R887" t="s">
        <v>74</v>
      </c>
      <c r="S887" t="s">
        <v>74</v>
      </c>
      <c r="T887" t="s">
        <v>74</v>
      </c>
      <c r="U887" t="s">
        <v>16745</v>
      </c>
      <c r="V887" t="s">
        <v>74</v>
      </c>
      <c r="W887" t="s">
        <v>16746</v>
      </c>
      <c r="X887" t="s">
        <v>16747</v>
      </c>
      <c r="Y887" t="s">
        <v>16748</v>
      </c>
      <c r="Z887" t="s">
        <v>16749</v>
      </c>
      <c r="AA887" t="s">
        <v>16750</v>
      </c>
      <c r="AB887" t="s">
        <v>16751</v>
      </c>
      <c r="AC887" t="s">
        <v>16752</v>
      </c>
      <c r="AD887" t="s">
        <v>16752</v>
      </c>
      <c r="AE887" t="s">
        <v>16753</v>
      </c>
      <c r="AF887" t="s">
        <v>74</v>
      </c>
      <c r="AG887">
        <v>15</v>
      </c>
      <c r="AH887">
        <v>125</v>
      </c>
      <c r="AI887">
        <v>138</v>
      </c>
      <c r="AJ887">
        <v>8</v>
      </c>
      <c r="AK887">
        <v>150</v>
      </c>
      <c r="AL887" t="s">
        <v>12809</v>
      </c>
      <c r="AM887" t="s">
        <v>531</v>
      </c>
      <c r="AN887" t="s">
        <v>12810</v>
      </c>
      <c r="AO887" t="s">
        <v>12811</v>
      </c>
      <c r="AP887" t="s">
        <v>12812</v>
      </c>
      <c r="AQ887" t="s">
        <v>74</v>
      </c>
      <c r="AR887" t="s">
        <v>12797</v>
      </c>
      <c r="AS887" t="s">
        <v>12813</v>
      </c>
      <c r="AT887" t="s">
        <v>16754</v>
      </c>
      <c r="AU887">
        <v>2022</v>
      </c>
      <c r="AV887">
        <v>375</v>
      </c>
      <c r="AW887">
        <v>6586</v>
      </c>
      <c r="AX887" t="s">
        <v>74</v>
      </c>
      <c r="AY887" t="s">
        <v>74</v>
      </c>
      <c r="AZ887" t="s">
        <v>74</v>
      </c>
      <c r="BA887" t="s">
        <v>74</v>
      </c>
      <c r="BB887">
        <v>1222</v>
      </c>
      <c r="BC887">
        <v>1225</v>
      </c>
      <c r="BD887" t="s">
        <v>74</v>
      </c>
      <c r="BE887" t="s">
        <v>16755</v>
      </c>
      <c r="BF887" t="str">
        <f>HYPERLINK("http://dx.doi.org/10.1126/science.abl7991","http://dx.doi.org/10.1126/science.abl7991")</f>
        <v>http://dx.doi.org/10.1126/science.abl7991</v>
      </c>
      <c r="BG887" t="s">
        <v>74</v>
      </c>
      <c r="BH887" t="s">
        <v>74</v>
      </c>
      <c r="BI887">
        <v>4</v>
      </c>
      <c r="BJ887" t="s">
        <v>158</v>
      </c>
      <c r="BK887" t="s">
        <v>186</v>
      </c>
      <c r="BL887" t="s">
        <v>159</v>
      </c>
      <c r="BM887" t="s">
        <v>16756</v>
      </c>
      <c r="BN887">
        <v>35298251</v>
      </c>
      <c r="BO887" t="s">
        <v>74</v>
      </c>
      <c r="BP887" t="s">
        <v>74</v>
      </c>
      <c r="BQ887" t="s">
        <v>74</v>
      </c>
      <c r="BR887" t="s">
        <v>106</v>
      </c>
      <c r="BS887" t="s">
        <v>16757</v>
      </c>
      <c r="BT887" t="str">
        <f>HYPERLINK("https%3A%2F%2Fwww.webofscience.com%2Fwos%2Fwoscc%2Ffull-record%2FWOS:000770386600016","View Full Record in Web of Science")</f>
        <v>View Full Record in Web of Science</v>
      </c>
    </row>
    <row r="888" spans="1:72" x14ac:dyDescent="0.2">
      <c r="A888" t="s">
        <v>72</v>
      </c>
      <c r="B888" t="s">
        <v>16758</v>
      </c>
      <c r="C888" t="s">
        <v>74</v>
      </c>
      <c r="D888" t="s">
        <v>74</v>
      </c>
      <c r="E888" t="s">
        <v>74</v>
      </c>
      <c r="F888" t="s">
        <v>16759</v>
      </c>
      <c r="G888" t="s">
        <v>74</v>
      </c>
      <c r="H888" t="s">
        <v>74</v>
      </c>
      <c r="I888" t="s">
        <v>16760</v>
      </c>
      <c r="J888" t="s">
        <v>468</v>
      </c>
      <c r="K888" t="s">
        <v>74</v>
      </c>
      <c r="L888" t="s">
        <v>74</v>
      </c>
      <c r="M888" t="s">
        <v>78</v>
      </c>
      <c r="N888" t="s">
        <v>79</v>
      </c>
      <c r="O888" t="s">
        <v>74</v>
      </c>
      <c r="P888" t="s">
        <v>74</v>
      </c>
      <c r="Q888" t="s">
        <v>74</v>
      </c>
      <c r="R888" t="s">
        <v>74</v>
      </c>
      <c r="S888" t="s">
        <v>74</v>
      </c>
      <c r="T888" t="s">
        <v>16761</v>
      </c>
      <c r="U888" t="s">
        <v>16762</v>
      </c>
      <c r="V888" t="s">
        <v>16763</v>
      </c>
      <c r="W888" t="s">
        <v>16764</v>
      </c>
      <c r="X888" t="s">
        <v>16765</v>
      </c>
      <c r="Y888" t="s">
        <v>16766</v>
      </c>
      <c r="Z888" t="s">
        <v>16767</v>
      </c>
      <c r="AA888" t="s">
        <v>74</v>
      </c>
      <c r="AB888" t="s">
        <v>16768</v>
      </c>
      <c r="AC888" t="s">
        <v>16769</v>
      </c>
      <c r="AD888" t="s">
        <v>16770</v>
      </c>
      <c r="AE888" t="s">
        <v>16771</v>
      </c>
      <c r="AF888" t="s">
        <v>74</v>
      </c>
      <c r="AG888">
        <v>70</v>
      </c>
      <c r="AH888">
        <v>2</v>
      </c>
      <c r="AI888">
        <v>2</v>
      </c>
      <c r="AJ888">
        <v>7</v>
      </c>
      <c r="AK888">
        <v>30</v>
      </c>
      <c r="AL888" t="s">
        <v>222</v>
      </c>
      <c r="AM888" t="s">
        <v>223</v>
      </c>
      <c r="AN888" t="s">
        <v>478</v>
      </c>
      <c r="AO888" t="s">
        <v>74</v>
      </c>
      <c r="AP888" t="s">
        <v>479</v>
      </c>
      <c r="AQ888" t="s">
        <v>74</v>
      </c>
      <c r="AR888" t="s">
        <v>480</v>
      </c>
      <c r="AS888" t="s">
        <v>481</v>
      </c>
      <c r="AT888" t="s">
        <v>1752</v>
      </c>
      <c r="AU888">
        <v>2024</v>
      </c>
      <c r="AV888">
        <v>16</v>
      </c>
      <c r="AW888">
        <v>15</v>
      </c>
      <c r="AX888" t="s">
        <v>74</v>
      </c>
      <c r="AY888" t="s">
        <v>74</v>
      </c>
      <c r="AZ888" t="s">
        <v>74</v>
      </c>
      <c r="BA888" t="s">
        <v>74</v>
      </c>
      <c r="BB888" t="s">
        <v>74</v>
      </c>
      <c r="BC888" t="s">
        <v>74</v>
      </c>
      <c r="BD888">
        <v>6392</v>
      </c>
      <c r="BE888" t="s">
        <v>16772</v>
      </c>
      <c r="BF888" t="str">
        <f>HYPERLINK("http://dx.doi.org/10.3390/su16156392","http://dx.doi.org/10.3390/su16156392")</f>
        <v>http://dx.doi.org/10.3390/su16156392</v>
      </c>
      <c r="BG888" t="s">
        <v>74</v>
      </c>
      <c r="BH888" t="s">
        <v>74</v>
      </c>
      <c r="BI888">
        <v>22</v>
      </c>
      <c r="BJ888" t="s">
        <v>484</v>
      </c>
      <c r="BK888" t="s">
        <v>186</v>
      </c>
      <c r="BL888" t="s">
        <v>485</v>
      </c>
      <c r="BM888" t="s">
        <v>16773</v>
      </c>
      <c r="BN888" t="s">
        <v>74</v>
      </c>
      <c r="BO888" t="s">
        <v>231</v>
      </c>
      <c r="BP888" t="s">
        <v>74</v>
      </c>
      <c r="BQ888" t="s">
        <v>74</v>
      </c>
      <c r="BR888" t="s">
        <v>106</v>
      </c>
      <c r="BS888" t="s">
        <v>16774</v>
      </c>
      <c r="BT888" t="str">
        <f>HYPERLINK("https%3A%2F%2Fwww.webofscience.com%2Fwos%2Fwoscc%2Ffull-record%2FWOS:001287031400001","View Full Record in Web of Science")</f>
        <v>View Full Record in Web of Science</v>
      </c>
    </row>
    <row r="889" spans="1:72" x14ac:dyDescent="0.2">
      <c r="A889" t="s">
        <v>72</v>
      </c>
      <c r="B889" t="s">
        <v>16775</v>
      </c>
      <c r="C889" t="s">
        <v>74</v>
      </c>
      <c r="D889" t="s">
        <v>74</v>
      </c>
      <c r="E889" t="s">
        <v>74</v>
      </c>
      <c r="F889" t="s">
        <v>16776</v>
      </c>
      <c r="G889" t="s">
        <v>74</v>
      </c>
      <c r="H889" t="s">
        <v>74</v>
      </c>
      <c r="I889" t="s">
        <v>16777</v>
      </c>
      <c r="J889" t="s">
        <v>828</v>
      </c>
      <c r="K889" t="s">
        <v>74</v>
      </c>
      <c r="L889" t="s">
        <v>74</v>
      </c>
      <c r="M889" t="s">
        <v>78</v>
      </c>
      <c r="N889" t="s">
        <v>79</v>
      </c>
      <c r="O889" t="s">
        <v>74</v>
      </c>
      <c r="P889" t="s">
        <v>74</v>
      </c>
      <c r="Q889" t="s">
        <v>74</v>
      </c>
      <c r="R889" t="s">
        <v>74</v>
      </c>
      <c r="S889" t="s">
        <v>74</v>
      </c>
      <c r="T889" t="s">
        <v>74</v>
      </c>
      <c r="U889" t="s">
        <v>74</v>
      </c>
      <c r="V889" t="s">
        <v>16778</v>
      </c>
      <c r="W889" t="s">
        <v>16779</v>
      </c>
      <c r="X889" t="s">
        <v>74</v>
      </c>
      <c r="Y889" t="s">
        <v>16780</v>
      </c>
      <c r="Z889" t="s">
        <v>16781</v>
      </c>
      <c r="AA889" t="s">
        <v>16782</v>
      </c>
      <c r="AB889" t="s">
        <v>74</v>
      </c>
      <c r="AC889" t="s">
        <v>74</v>
      </c>
      <c r="AD889" t="s">
        <v>74</v>
      </c>
      <c r="AE889" t="s">
        <v>74</v>
      </c>
      <c r="AF889" t="s">
        <v>74</v>
      </c>
      <c r="AG889">
        <v>24</v>
      </c>
      <c r="AH889">
        <v>0</v>
      </c>
      <c r="AI889">
        <v>0</v>
      </c>
      <c r="AJ889">
        <v>1</v>
      </c>
      <c r="AK889">
        <v>8</v>
      </c>
      <c r="AL889" t="s">
        <v>835</v>
      </c>
      <c r="AM889" t="s">
        <v>836</v>
      </c>
      <c r="AN889" t="s">
        <v>3254</v>
      </c>
      <c r="AO889" t="s">
        <v>838</v>
      </c>
      <c r="AP889" t="s">
        <v>74</v>
      </c>
      <c r="AQ889" t="s">
        <v>74</v>
      </c>
      <c r="AR889" t="s">
        <v>839</v>
      </c>
      <c r="AS889" t="s">
        <v>840</v>
      </c>
      <c r="AT889" t="s">
        <v>3255</v>
      </c>
      <c r="AU889">
        <v>2018</v>
      </c>
      <c r="AV889">
        <v>49</v>
      </c>
      <c r="AW889">
        <v>2</v>
      </c>
      <c r="AX889" t="s">
        <v>74</v>
      </c>
      <c r="AY889" t="s">
        <v>74</v>
      </c>
      <c r="AZ889" t="s">
        <v>1070</v>
      </c>
      <c r="BA889" t="s">
        <v>74</v>
      </c>
      <c r="BB889">
        <v>125</v>
      </c>
      <c r="BC889">
        <v>134</v>
      </c>
      <c r="BD889" t="s">
        <v>74</v>
      </c>
      <c r="BE889" t="s">
        <v>74</v>
      </c>
      <c r="BF889" t="s">
        <v>74</v>
      </c>
      <c r="BG889" t="s">
        <v>74</v>
      </c>
      <c r="BH889" t="s">
        <v>74</v>
      </c>
      <c r="BI889">
        <v>10</v>
      </c>
      <c r="BJ889" t="s">
        <v>842</v>
      </c>
      <c r="BK889" t="s">
        <v>102</v>
      </c>
      <c r="BL889" t="s">
        <v>103</v>
      </c>
      <c r="BM889" t="s">
        <v>3256</v>
      </c>
      <c r="BN889" t="s">
        <v>74</v>
      </c>
      <c r="BO889" t="s">
        <v>74</v>
      </c>
      <c r="BP889" t="s">
        <v>74</v>
      </c>
      <c r="BQ889" t="s">
        <v>74</v>
      </c>
      <c r="BR889" t="s">
        <v>106</v>
      </c>
      <c r="BS889" t="s">
        <v>16783</v>
      </c>
      <c r="BT889" t="str">
        <f>HYPERLINK("https%3A%2F%2Fwww.webofscience.com%2Fwos%2Fwoscc%2Ffull-record%2FWOS:000433525500016","View Full Record in Web of Science")</f>
        <v>View Full Record in Web of Science</v>
      </c>
    </row>
    <row r="890" spans="1:72" x14ac:dyDescent="0.2">
      <c r="A890" t="s">
        <v>72</v>
      </c>
      <c r="B890" t="s">
        <v>16784</v>
      </c>
      <c r="C890" t="s">
        <v>74</v>
      </c>
      <c r="D890" t="s">
        <v>74</v>
      </c>
      <c r="E890" t="s">
        <v>74</v>
      </c>
      <c r="F890" t="s">
        <v>16785</v>
      </c>
      <c r="G890" t="s">
        <v>74</v>
      </c>
      <c r="H890" t="s">
        <v>74</v>
      </c>
      <c r="I890" t="s">
        <v>16786</v>
      </c>
      <c r="J890" t="s">
        <v>16787</v>
      </c>
      <c r="K890" t="s">
        <v>74</v>
      </c>
      <c r="L890" t="s">
        <v>74</v>
      </c>
      <c r="M890" t="s">
        <v>78</v>
      </c>
      <c r="N890" t="s">
        <v>79</v>
      </c>
      <c r="O890" t="s">
        <v>74</v>
      </c>
      <c r="P890" t="s">
        <v>74</v>
      </c>
      <c r="Q890" t="s">
        <v>74</v>
      </c>
      <c r="R890" t="s">
        <v>74</v>
      </c>
      <c r="S890" t="s">
        <v>74</v>
      </c>
      <c r="T890" t="s">
        <v>16788</v>
      </c>
      <c r="U890" t="s">
        <v>16789</v>
      </c>
      <c r="V890" t="s">
        <v>16790</v>
      </c>
      <c r="W890" t="s">
        <v>16791</v>
      </c>
      <c r="X890" t="s">
        <v>16792</v>
      </c>
      <c r="Y890" t="s">
        <v>16793</v>
      </c>
      <c r="Z890" t="s">
        <v>16794</v>
      </c>
      <c r="AA890" t="s">
        <v>16795</v>
      </c>
      <c r="AB890" t="s">
        <v>74</v>
      </c>
      <c r="AC890" t="s">
        <v>16796</v>
      </c>
      <c r="AD890" t="s">
        <v>16797</v>
      </c>
      <c r="AE890" t="s">
        <v>16798</v>
      </c>
      <c r="AF890" t="s">
        <v>74</v>
      </c>
      <c r="AG890">
        <v>57</v>
      </c>
      <c r="AH890">
        <v>4</v>
      </c>
      <c r="AI890">
        <v>5</v>
      </c>
      <c r="AJ890">
        <v>0</v>
      </c>
      <c r="AK890">
        <v>8</v>
      </c>
      <c r="AL890" t="s">
        <v>247</v>
      </c>
      <c r="AM890" t="s">
        <v>248</v>
      </c>
      <c r="AN890" t="s">
        <v>249</v>
      </c>
      <c r="AO890" t="s">
        <v>16799</v>
      </c>
      <c r="AP890" t="s">
        <v>16800</v>
      </c>
      <c r="AQ890" t="s">
        <v>74</v>
      </c>
      <c r="AR890" t="s">
        <v>16801</v>
      </c>
      <c r="AS890" t="s">
        <v>16802</v>
      </c>
      <c r="AT890" t="s">
        <v>1963</v>
      </c>
      <c r="AU890">
        <v>2023</v>
      </c>
      <c r="AV890">
        <v>25</v>
      </c>
      <c r="AW890">
        <v>5</v>
      </c>
      <c r="AX890" t="s">
        <v>74</v>
      </c>
      <c r="AY890" t="s">
        <v>74</v>
      </c>
      <c r="AZ890" t="s">
        <v>74</v>
      </c>
      <c r="BA890" t="s">
        <v>74</v>
      </c>
      <c r="BB890">
        <v>3395</v>
      </c>
      <c r="BC890">
        <v>3411</v>
      </c>
      <c r="BD890" t="s">
        <v>74</v>
      </c>
      <c r="BE890" t="s">
        <v>16803</v>
      </c>
      <c r="BF890" t="str">
        <f>HYPERLINK("http://dx.doi.org/10.1002/asjc.3058","http://dx.doi.org/10.1002/asjc.3058")</f>
        <v>http://dx.doi.org/10.1002/asjc.3058</v>
      </c>
      <c r="BG890" t="s">
        <v>74</v>
      </c>
      <c r="BH890" t="s">
        <v>13220</v>
      </c>
      <c r="BI890">
        <v>17</v>
      </c>
      <c r="BJ890" t="s">
        <v>16804</v>
      </c>
      <c r="BK890" t="s">
        <v>102</v>
      </c>
      <c r="BL890" t="s">
        <v>16804</v>
      </c>
      <c r="BM890" t="s">
        <v>16805</v>
      </c>
      <c r="BN890" t="s">
        <v>74</v>
      </c>
      <c r="BO890" t="s">
        <v>74</v>
      </c>
      <c r="BP890" t="s">
        <v>74</v>
      </c>
      <c r="BQ890" t="s">
        <v>74</v>
      </c>
      <c r="BR890" t="s">
        <v>106</v>
      </c>
      <c r="BS890" t="s">
        <v>16806</v>
      </c>
      <c r="BT890" t="str">
        <f>HYPERLINK("https%3A%2F%2Fwww.webofscience.com%2Fwos%2Fwoscc%2Ffull-record%2FWOS:000956602100001","View Full Record in Web of Science")</f>
        <v>View Full Record in Web of Science</v>
      </c>
    </row>
    <row r="891" spans="1:72" x14ac:dyDescent="0.2">
      <c r="A891" t="s">
        <v>72</v>
      </c>
      <c r="B891" t="s">
        <v>16807</v>
      </c>
      <c r="C891" t="s">
        <v>74</v>
      </c>
      <c r="D891" t="s">
        <v>74</v>
      </c>
      <c r="E891" t="s">
        <v>74</v>
      </c>
      <c r="F891" t="s">
        <v>16808</v>
      </c>
      <c r="G891" t="s">
        <v>74</v>
      </c>
      <c r="H891" t="s">
        <v>74</v>
      </c>
      <c r="I891" t="s">
        <v>16809</v>
      </c>
      <c r="J891" t="s">
        <v>16810</v>
      </c>
      <c r="K891" t="s">
        <v>74</v>
      </c>
      <c r="L891" t="s">
        <v>74</v>
      </c>
      <c r="M891" t="s">
        <v>78</v>
      </c>
      <c r="N891" t="s">
        <v>79</v>
      </c>
      <c r="O891" t="s">
        <v>74</v>
      </c>
      <c r="P891" t="s">
        <v>74</v>
      </c>
      <c r="Q891" t="s">
        <v>74</v>
      </c>
      <c r="R891" t="s">
        <v>74</v>
      </c>
      <c r="S891" t="s">
        <v>74</v>
      </c>
      <c r="T891" t="s">
        <v>16811</v>
      </c>
      <c r="U891" t="s">
        <v>16812</v>
      </c>
      <c r="V891" t="s">
        <v>16813</v>
      </c>
      <c r="W891" t="s">
        <v>16814</v>
      </c>
      <c r="X891" t="s">
        <v>16815</v>
      </c>
      <c r="Y891" t="s">
        <v>16816</v>
      </c>
      <c r="Z891" t="s">
        <v>16817</v>
      </c>
      <c r="AA891" t="s">
        <v>16818</v>
      </c>
      <c r="AB891" t="s">
        <v>74</v>
      </c>
      <c r="AC891" t="s">
        <v>74</v>
      </c>
      <c r="AD891" t="s">
        <v>74</v>
      </c>
      <c r="AE891" t="s">
        <v>74</v>
      </c>
      <c r="AF891" t="s">
        <v>74</v>
      </c>
      <c r="AG891">
        <v>127</v>
      </c>
      <c r="AH891">
        <v>0</v>
      </c>
      <c r="AI891">
        <v>0</v>
      </c>
      <c r="AJ891">
        <v>0</v>
      </c>
      <c r="AK891">
        <v>0</v>
      </c>
      <c r="AL891" t="s">
        <v>123</v>
      </c>
      <c r="AM891" t="s">
        <v>124</v>
      </c>
      <c r="AN891" t="s">
        <v>125</v>
      </c>
      <c r="AO891" t="s">
        <v>16819</v>
      </c>
      <c r="AP891" t="s">
        <v>16820</v>
      </c>
      <c r="AQ891" t="s">
        <v>74</v>
      </c>
      <c r="AR891" t="s">
        <v>16821</v>
      </c>
      <c r="AS891" t="s">
        <v>16822</v>
      </c>
      <c r="AT891" t="s">
        <v>1109</v>
      </c>
      <c r="AU891">
        <v>2025</v>
      </c>
      <c r="AV891">
        <v>89</v>
      </c>
      <c r="AW891" t="s">
        <v>74</v>
      </c>
      <c r="AX891" t="s">
        <v>74</v>
      </c>
      <c r="AY891" t="s">
        <v>74</v>
      </c>
      <c r="AZ891" t="s">
        <v>74</v>
      </c>
      <c r="BA891" t="s">
        <v>74</v>
      </c>
      <c r="BB891" t="s">
        <v>74</v>
      </c>
      <c r="BC891" t="s">
        <v>74</v>
      </c>
      <c r="BD891">
        <v>101858</v>
      </c>
      <c r="BE891" t="s">
        <v>16823</v>
      </c>
      <c r="BF891" t="str">
        <f>HYPERLINK("http://dx.doi.org/10.1016/j.esd.2025.101858","http://dx.doi.org/10.1016/j.esd.2025.101858")</f>
        <v>http://dx.doi.org/10.1016/j.esd.2025.101858</v>
      </c>
      <c r="BG891" t="s">
        <v>74</v>
      </c>
      <c r="BH891" t="s">
        <v>2319</v>
      </c>
      <c r="BI891">
        <v>12</v>
      </c>
      <c r="BJ891" t="s">
        <v>1496</v>
      </c>
      <c r="BK891" t="s">
        <v>102</v>
      </c>
      <c r="BL891" t="s">
        <v>1497</v>
      </c>
      <c r="BM891" t="s">
        <v>16824</v>
      </c>
      <c r="BN891" t="s">
        <v>74</v>
      </c>
      <c r="BO891" t="s">
        <v>74</v>
      </c>
      <c r="BP891" t="s">
        <v>74</v>
      </c>
      <c r="BQ891" t="s">
        <v>74</v>
      </c>
      <c r="BR891" t="s">
        <v>106</v>
      </c>
      <c r="BS891" t="s">
        <v>16825</v>
      </c>
      <c r="BT891" t="str">
        <f>HYPERLINK("https%3A%2F%2Fwww.webofscience.com%2Fwos%2Fwoscc%2Ffull-record%2FWOS:001598671100001","View Full Record in Web of Science")</f>
        <v>View Full Record in Web of Science</v>
      </c>
    </row>
    <row r="892" spans="1:72" x14ac:dyDescent="0.2">
      <c r="A892" t="s">
        <v>72</v>
      </c>
      <c r="B892" t="s">
        <v>16826</v>
      </c>
      <c r="C892" t="s">
        <v>74</v>
      </c>
      <c r="D892" t="s">
        <v>74</v>
      </c>
      <c r="E892" t="s">
        <v>74</v>
      </c>
      <c r="F892" t="s">
        <v>16827</v>
      </c>
      <c r="G892" t="s">
        <v>74</v>
      </c>
      <c r="H892" t="s">
        <v>74</v>
      </c>
      <c r="I892" t="s">
        <v>16828</v>
      </c>
      <c r="J892" t="s">
        <v>468</v>
      </c>
      <c r="K892" t="s">
        <v>74</v>
      </c>
      <c r="L892" t="s">
        <v>74</v>
      </c>
      <c r="M892" t="s">
        <v>78</v>
      </c>
      <c r="N892" t="s">
        <v>79</v>
      </c>
      <c r="O892" t="s">
        <v>74</v>
      </c>
      <c r="P892" t="s">
        <v>74</v>
      </c>
      <c r="Q892" t="s">
        <v>74</v>
      </c>
      <c r="R892" t="s">
        <v>74</v>
      </c>
      <c r="S892" t="s">
        <v>74</v>
      </c>
      <c r="T892" t="s">
        <v>16829</v>
      </c>
      <c r="U892" t="s">
        <v>74</v>
      </c>
      <c r="V892" t="s">
        <v>16830</v>
      </c>
      <c r="W892" t="s">
        <v>16831</v>
      </c>
      <c r="X892" t="s">
        <v>16832</v>
      </c>
      <c r="Y892" t="s">
        <v>16833</v>
      </c>
      <c r="Z892" t="s">
        <v>16834</v>
      </c>
      <c r="AA892" t="s">
        <v>74</v>
      </c>
      <c r="AB892" t="s">
        <v>16835</v>
      </c>
      <c r="AC892" t="s">
        <v>16836</v>
      </c>
      <c r="AD892" t="s">
        <v>16837</v>
      </c>
      <c r="AE892" t="s">
        <v>16838</v>
      </c>
      <c r="AF892" t="s">
        <v>74</v>
      </c>
      <c r="AG892">
        <v>45</v>
      </c>
      <c r="AH892">
        <v>3</v>
      </c>
      <c r="AI892">
        <v>4</v>
      </c>
      <c r="AJ892">
        <v>6</v>
      </c>
      <c r="AK892">
        <v>58</v>
      </c>
      <c r="AL892" t="s">
        <v>222</v>
      </c>
      <c r="AM892" t="s">
        <v>223</v>
      </c>
      <c r="AN892" t="s">
        <v>478</v>
      </c>
      <c r="AO892" t="s">
        <v>74</v>
      </c>
      <c r="AP892" t="s">
        <v>479</v>
      </c>
      <c r="AQ892" t="s">
        <v>74</v>
      </c>
      <c r="AR892" t="s">
        <v>480</v>
      </c>
      <c r="AS892" t="s">
        <v>481</v>
      </c>
      <c r="AT892" t="s">
        <v>636</v>
      </c>
      <c r="AU892">
        <v>2022</v>
      </c>
      <c r="AV892">
        <v>14</v>
      </c>
      <c r="AW892">
        <v>8</v>
      </c>
      <c r="AX892" t="s">
        <v>74</v>
      </c>
      <c r="AY892" t="s">
        <v>74</v>
      </c>
      <c r="AZ892" t="s">
        <v>74</v>
      </c>
      <c r="BA892" t="s">
        <v>74</v>
      </c>
      <c r="BB892" t="s">
        <v>74</v>
      </c>
      <c r="BC892" t="s">
        <v>74</v>
      </c>
      <c r="BD892">
        <v>4518</v>
      </c>
      <c r="BE892" t="s">
        <v>16839</v>
      </c>
      <c r="BF892" t="str">
        <f>HYPERLINK("http://dx.doi.org/10.3390/su14084518","http://dx.doi.org/10.3390/su14084518")</f>
        <v>http://dx.doi.org/10.3390/su14084518</v>
      </c>
      <c r="BG892" t="s">
        <v>74</v>
      </c>
      <c r="BH892" t="s">
        <v>74</v>
      </c>
      <c r="BI892">
        <v>19</v>
      </c>
      <c r="BJ892" t="s">
        <v>484</v>
      </c>
      <c r="BK892" t="s">
        <v>186</v>
      </c>
      <c r="BL892" t="s">
        <v>485</v>
      </c>
      <c r="BM892" t="s">
        <v>16840</v>
      </c>
      <c r="BN892" t="s">
        <v>74</v>
      </c>
      <c r="BO892" t="s">
        <v>161</v>
      </c>
      <c r="BP892" t="s">
        <v>74</v>
      </c>
      <c r="BQ892" t="s">
        <v>74</v>
      </c>
      <c r="BR892" t="s">
        <v>106</v>
      </c>
      <c r="BS892" t="s">
        <v>16841</v>
      </c>
      <c r="BT892" t="str">
        <f>HYPERLINK("https%3A%2F%2Fwww.webofscience.com%2Fwos%2Fwoscc%2Ffull-record%2FWOS:000786201900001","View Full Record in Web of Science")</f>
        <v>View Full Record in Web of Science</v>
      </c>
    </row>
    <row r="893" spans="1:72" x14ac:dyDescent="0.2">
      <c r="A893" t="s">
        <v>72</v>
      </c>
      <c r="B893" t="s">
        <v>16842</v>
      </c>
      <c r="C893" t="s">
        <v>74</v>
      </c>
      <c r="D893" t="s">
        <v>74</v>
      </c>
      <c r="E893" t="s">
        <v>74</v>
      </c>
      <c r="F893" t="s">
        <v>16843</v>
      </c>
      <c r="G893" t="s">
        <v>74</v>
      </c>
      <c r="H893" t="s">
        <v>74</v>
      </c>
      <c r="I893" t="s">
        <v>16844</v>
      </c>
      <c r="J893" t="s">
        <v>16845</v>
      </c>
      <c r="K893" t="s">
        <v>74</v>
      </c>
      <c r="L893" t="s">
        <v>74</v>
      </c>
      <c r="M893" t="s">
        <v>78</v>
      </c>
      <c r="N893" t="s">
        <v>79</v>
      </c>
      <c r="O893" t="s">
        <v>74</v>
      </c>
      <c r="P893" t="s">
        <v>74</v>
      </c>
      <c r="Q893" t="s">
        <v>74</v>
      </c>
      <c r="R893" t="s">
        <v>74</v>
      </c>
      <c r="S893" t="s">
        <v>74</v>
      </c>
      <c r="T893" t="s">
        <v>74</v>
      </c>
      <c r="U893" t="s">
        <v>16846</v>
      </c>
      <c r="V893" t="s">
        <v>16847</v>
      </c>
      <c r="W893" t="s">
        <v>16848</v>
      </c>
      <c r="X893" t="s">
        <v>16849</v>
      </c>
      <c r="Y893" t="s">
        <v>16850</v>
      </c>
      <c r="Z893" t="s">
        <v>16851</v>
      </c>
      <c r="AA893" t="s">
        <v>74</v>
      </c>
      <c r="AB893" t="s">
        <v>16852</v>
      </c>
      <c r="AC893" t="s">
        <v>16853</v>
      </c>
      <c r="AD893" t="s">
        <v>16854</v>
      </c>
      <c r="AE893" t="s">
        <v>16855</v>
      </c>
      <c r="AF893" t="s">
        <v>74</v>
      </c>
      <c r="AG893">
        <v>66</v>
      </c>
      <c r="AH893">
        <v>3</v>
      </c>
      <c r="AI893">
        <v>3</v>
      </c>
      <c r="AJ893">
        <v>3</v>
      </c>
      <c r="AK893">
        <v>11</v>
      </c>
      <c r="AL893" t="s">
        <v>3289</v>
      </c>
      <c r="AM893" t="s">
        <v>3290</v>
      </c>
      <c r="AN893" t="s">
        <v>3291</v>
      </c>
      <c r="AO893" t="s">
        <v>16856</v>
      </c>
      <c r="AP893" t="s">
        <v>16857</v>
      </c>
      <c r="AQ893" t="s">
        <v>74</v>
      </c>
      <c r="AR893" t="s">
        <v>16858</v>
      </c>
      <c r="AS893" t="s">
        <v>16859</v>
      </c>
      <c r="AT893" t="s">
        <v>16860</v>
      </c>
      <c r="AU893">
        <v>2023</v>
      </c>
      <c r="AV893">
        <v>9</v>
      </c>
      <c r="AW893">
        <v>2</v>
      </c>
      <c r="AX893" t="s">
        <v>74</v>
      </c>
      <c r="AY893" t="s">
        <v>74</v>
      </c>
      <c r="AZ893" t="s">
        <v>74</v>
      </c>
      <c r="BA893" t="s">
        <v>74</v>
      </c>
      <c r="BB893">
        <v>545</v>
      </c>
      <c r="BC893">
        <v>560</v>
      </c>
      <c r="BD893" t="s">
        <v>74</v>
      </c>
      <c r="BE893" t="s">
        <v>16861</v>
      </c>
      <c r="BF893" t="str">
        <f>HYPERLINK("http://dx.doi.org/10.5194/soil-9-545-2023","http://dx.doi.org/10.5194/soil-9-545-2023")</f>
        <v>http://dx.doi.org/10.5194/soil-9-545-2023</v>
      </c>
      <c r="BG893" t="s">
        <v>74</v>
      </c>
      <c r="BH893" t="s">
        <v>74</v>
      </c>
      <c r="BI893">
        <v>16</v>
      </c>
      <c r="BJ893" t="s">
        <v>256</v>
      </c>
      <c r="BK893" t="s">
        <v>102</v>
      </c>
      <c r="BL893" t="s">
        <v>103</v>
      </c>
      <c r="BM893" t="s">
        <v>16862</v>
      </c>
      <c r="BN893" t="s">
        <v>74</v>
      </c>
      <c r="BO893" t="s">
        <v>161</v>
      </c>
      <c r="BP893" t="s">
        <v>74</v>
      </c>
      <c r="BQ893" t="s">
        <v>74</v>
      </c>
      <c r="BR893" t="s">
        <v>106</v>
      </c>
      <c r="BS893" t="s">
        <v>16863</v>
      </c>
      <c r="BT893" t="str">
        <f>HYPERLINK("https%3A%2F%2Fwww.webofscience.com%2Fwos%2Fwoscc%2Ffull-record%2FWOS:001169066300001","View Full Record in Web of Science")</f>
        <v>View Full Record in Web of Science</v>
      </c>
    </row>
    <row r="894" spans="1:72" x14ac:dyDescent="0.2">
      <c r="A894" t="s">
        <v>72</v>
      </c>
      <c r="B894" t="s">
        <v>16864</v>
      </c>
      <c r="C894" t="s">
        <v>74</v>
      </c>
      <c r="D894" t="s">
        <v>74</v>
      </c>
      <c r="E894" t="s">
        <v>74</v>
      </c>
      <c r="F894" t="s">
        <v>16865</v>
      </c>
      <c r="G894" t="s">
        <v>74</v>
      </c>
      <c r="H894" t="s">
        <v>74</v>
      </c>
      <c r="I894" t="s">
        <v>16866</v>
      </c>
      <c r="J894" t="s">
        <v>1231</v>
      </c>
      <c r="K894" t="s">
        <v>74</v>
      </c>
      <c r="L894" t="s">
        <v>74</v>
      </c>
      <c r="M894" t="s">
        <v>78</v>
      </c>
      <c r="N894" t="s">
        <v>79</v>
      </c>
      <c r="O894" t="s">
        <v>74</v>
      </c>
      <c r="P894" t="s">
        <v>74</v>
      </c>
      <c r="Q894" t="s">
        <v>74</v>
      </c>
      <c r="R894" t="s">
        <v>74</v>
      </c>
      <c r="S894" t="s">
        <v>74</v>
      </c>
      <c r="T894" t="s">
        <v>16867</v>
      </c>
      <c r="U894" t="s">
        <v>16868</v>
      </c>
      <c r="V894" t="s">
        <v>16869</v>
      </c>
      <c r="W894" t="s">
        <v>16870</v>
      </c>
      <c r="X894" t="s">
        <v>16871</v>
      </c>
      <c r="Y894" t="s">
        <v>16872</v>
      </c>
      <c r="Z894" t="s">
        <v>16873</v>
      </c>
      <c r="AA894" t="s">
        <v>16874</v>
      </c>
      <c r="AB894" t="s">
        <v>16875</v>
      </c>
      <c r="AC894" t="s">
        <v>16876</v>
      </c>
      <c r="AD894" t="s">
        <v>16877</v>
      </c>
      <c r="AE894" t="s">
        <v>16878</v>
      </c>
      <c r="AF894" t="s">
        <v>74</v>
      </c>
      <c r="AG894">
        <v>90</v>
      </c>
      <c r="AH894">
        <v>34</v>
      </c>
      <c r="AI894">
        <v>35</v>
      </c>
      <c r="AJ894">
        <v>2</v>
      </c>
      <c r="AK894">
        <v>88</v>
      </c>
      <c r="AL894" t="s">
        <v>1242</v>
      </c>
      <c r="AM894" t="s">
        <v>1243</v>
      </c>
      <c r="AN894" t="s">
        <v>1244</v>
      </c>
      <c r="AO894" t="s">
        <v>1245</v>
      </c>
      <c r="AP894" t="s">
        <v>1246</v>
      </c>
      <c r="AQ894" t="s">
        <v>74</v>
      </c>
      <c r="AR894" t="s">
        <v>1247</v>
      </c>
      <c r="AS894" t="s">
        <v>1248</v>
      </c>
      <c r="AT894" t="s">
        <v>1752</v>
      </c>
      <c r="AU894">
        <v>2021</v>
      </c>
      <c r="AV894">
        <v>28</v>
      </c>
      <c r="AW894">
        <v>32</v>
      </c>
      <c r="AX894" t="s">
        <v>74</v>
      </c>
      <c r="AY894" t="s">
        <v>74</v>
      </c>
      <c r="AZ894" t="s">
        <v>74</v>
      </c>
      <c r="BA894" t="s">
        <v>74</v>
      </c>
      <c r="BB894">
        <v>44165</v>
      </c>
      <c r="BC894">
        <v>44182</v>
      </c>
      <c r="BD894" t="s">
        <v>74</v>
      </c>
      <c r="BE894" t="s">
        <v>16879</v>
      </c>
      <c r="BF894" t="str">
        <f>HYPERLINK("http://dx.doi.org/10.1007/s11356-021-13508-2","http://dx.doi.org/10.1007/s11356-021-13508-2")</f>
        <v>http://dx.doi.org/10.1007/s11356-021-13508-2</v>
      </c>
      <c r="BG894" t="s">
        <v>74</v>
      </c>
      <c r="BH894" t="s">
        <v>13843</v>
      </c>
      <c r="BI894">
        <v>18</v>
      </c>
      <c r="BJ894" t="s">
        <v>567</v>
      </c>
      <c r="BK894" t="s">
        <v>186</v>
      </c>
      <c r="BL894" t="s">
        <v>568</v>
      </c>
      <c r="BM894" t="s">
        <v>16880</v>
      </c>
      <c r="BN894">
        <v>33847881</v>
      </c>
      <c r="BO894" t="s">
        <v>74</v>
      </c>
      <c r="BP894" t="s">
        <v>74</v>
      </c>
      <c r="BQ894" t="s">
        <v>74</v>
      </c>
      <c r="BR894" t="s">
        <v>106</v>
      </c>
      <c r="BS894" t="s">
        <v>16881</v>
      </c>
      <c r="BT894" t="str">
        <f>HYPERLINK("https%3A%2F%2Fwww.webofscience.com%2Fwos%2Fwoscc%2Ffull-record%2FWOS:000639770400017","View Full Record in Web of Science")</f>
        <v>View Full Record in Web of Science</v>
      </c>
    </row>
    <row r="895" spans="1:72" x14ac:dyDescent="0.2">
      <c r="A895" t="s">
        <v>72</v>
      </c>
      <c r="B895" t="s">
        <v>16882</v>
      </c>
      <c r="C895" t="s">
        <v>74</v>
      </c>
      <c r="D895" t="s">
        <v>74</v>
      </c>
      <c r="E895" t="s">
        <v>74</v>
      </c>
      <c r="F895" t="s">
        <v>16883</v>
      </c>
      <c r="G895" t="s">
        <v>74</v>
      </c>
      <c r="H895" t="s">
        <v>74</v>
      </c>
      <c r="I895" t="s">
        <v>16884</v>
      </c>
      <c r="J895" t="s">
        <v>16885</v>
      </c>
      <c r="K895" t="s">
        <v>74</v>
      </c>
      <c r="L895" t="s">
        <v>74</v>
      </c>
      <c r="M895" t="s">
        <v>78</v>
      </c>
      <c r="N895" t="s">
        <v>79</v>
      </c>
      <c r="O895" t="s">
        <v>74</v>
      </c>
      <c r="P895" t="s">
        <v>74</v>
      </c>
      <c r="Q895" t="s">
        <v>74</v>
      </c>
      <c r="R895" t="s">
        <v>74</v>
      </c>
      <c r="S895" t="s">
        <v>74</v>
      </c>
      <c r="T895" t="s">
        <v>74</v>
      </c>
      <c r="U895" t="s">
        <v>16886</v>
      </c>
      <c r="V895" t="s">
        <v>16887</v>
      </c>
      <c r="W895" t="s">
        <v>16888</v>
      </c>
      <c r="X895" t="s">
        <v>16889</v>
      </c>
      <c r="Y895" t="s">
        <v>16890</v>
      </c>
      <c r="Z895" t="s">
        <v>16891</v>
      </c>
      <c r="AA895" t="s">
        <v>74</v>
      </c>
      <c r="AB895" t="s">
        <v>74</v>
      </c>
      <c r="AC895" t="s">
        <v>16892</v>
      </c>
      <c r="AD895" t="s">
        <v>16892</v>
      </c>
      <c r="AE895" t="s">
        <v>16893</v>
      </c>
      <c r="AF895" t="s">
        <v>74</v>
      </c>
      <c r="AG895">
        <v>30</v>
      </c>
      <c r="AH895">
        <v>24</v>
      </c>
      <c r="AI895">
        <v>29</v>
      </c>
      <c r="AJ895">
        <v>3</v>
      </c>
      <c r="AK895">
        <v>42</v>
      </c>
      <c r="AL895" t="s">
        <v>6061</v>
      </c>
      <c r="AM895" t="s">
        <v>248</v>
      </c>
      <c r="AN895" t="s">
        <v>249</v>
      </c>
      <c r="AO895" t="s">
        <v>16894</v>
      </c>
      <c r="AP895" t="s">
        <v>16895</v>
      </c>
      <c r="AQ895" t="s">
        <v>74</v>
      </c>
      <c r="AR895" t="s">
        <v>16896</v>
      </c>
      <c r="AS895" t="s">
        <v>16897</v>
      </c>
      <c r="AT895" t="s">
        <v>281</v>
      </c>
      <c r="AU895">
        <v>2015</v>
      </c>
      <c r="AV895">
        <v>63</v>
      </c>
      <c r="AW895">
        <v>2</v>
      </c>
      <c r="AX895" t="s">
        <v>74</v>
      </c>
      <c r="AY895" t="s">
        <v>74</v>
      </c>
      <c r="AZ895" t="s">
        <v>74</v>
      </c>
      <c r="BA895" t="s">
        <v>74</v>
      </c>
      <c r="BB895">
        <v>235</v>
      </c>
      <c r="BC895">
        <v>257</v>
      </c>
      <c r="BD895" t="s">
        <v>74</v>
      </c>
      <c r="BE895" t="s">
        <v>16898</v>
      </c>
      <c r="BF895" t="str">
        <f>HYPERLINK("http://dx.doi.org/10.1111/cjag.12048","http://dx.doi.org/10.1111/cjag.12048")</f>
        <v>http://dx.doi.org/10.1111/cjag.12048</v>
      </c>
      <c r="BG895" t="s">
        <v>74</v>
      </c>
      <c r="BH895" t="s">
        <v>74</v>
      </c>
      <c r="BI895">
        <v>23</v>
      </c>
      <c r="BJ895" t="s">
        <v>1073</v>
      </c>
      <c r="BK895" t="s">
        <v>186</v>
      </c>
      <c r="BL895" t="s">
        <v>1074</v>
      </c>
      <c r="BM895" t="s">
        <v>16899</v>
      </c>
      <c r="BN895" t="s">
        <v>74</v>
      </c>
      <c r="BO895" t="s">
        <v>74</v>
      </c>
      <c r="BP895" t="s">
        <v>74</v>
      </c>
      <c r="BQ895" t="s">
        <v>74</v>
      </c>
      <c r="BR895" t="s">
        <v>106</v>
      </c>
      <c r="BS895" t="s">
        <v>16900</v>
      </c>
      <c r="BT895" t="str">
        <f>HYPERLINK("https%3A%2F%2Fwww.webofscience.com%2Fwos%2Fwoscc%2Ffull-record%2FWOS:000354239200004","View Full Record in Web of Science")</f>
        <v>View Full Record in Web of Science</v>
      </c>
    </row>
    <row r="896" spans="1:72" x14ac:dyDescent="0.2">
      <c r="A896" t="s">
        <v>72</v>
      </c>
      <c r="B896" t="s">
        <v>16901</v>
      </c>
      <c r="C896" t="s">
        <v>74</v>
      </c>
      <c r="D896" t="s">
        <v>74</v>
      </c>
      <c r="E896" t="s">
        <v>74</v>
      </c>
      <c r="F896" t="s">
        <v>16902</v>
      </c>
      <c r="G896" t="s">
        <v>74</v>
      </c>
      <c r="H896" t="s">
        <v>74</v>
      </c>
      <c r="I896" t="s">
        <v>16903</v>
      </c>
      <c r="J896" t="s">
        <v>11820</v>
      </c>
      <c r="K896" t="s">
        <v>74</v>
      </c>
      <c r="L896" t="s">
        <v>74</v>
      </c>
      <c r="M896" t="s">
        <v>78</v>
      </c>
      <c r="N896" t="s">
        <v>79</v>
      </c>
      <c r="O896" t="s">
        <v>74</v>
      </c>
      <c r="P896" t="s">
        <v>74</v>
      </c>
      <c r="Q896" t="s">
        <v>74</v>
      </c>
      <c r="R896" t="s">
        <v>74</v>
      </c>
      <c r="S896" t="s">
        <v>74</v>
      </c>
      <c r="T896" t="s">
        <v>16904</v>
      </c>
      <c r="U896" t="s">
        <v>16905</v>
      </c>
      <c r="V896" t="s">
        <v>16906</v>
      </c>
      <c r="W896" t="s">
        <v>16907</v>
      </c>
      <c r="X896" t="s">
        <v>16908</v>
      </c>
      <c r="Y896" t="s">
        <v>16909</v>
      </c>
      <c r="Z896" t="s">
        <v>16910</v>
      </c>
      <c r="AA896" t="s">
        <v>74</v>
      </c>
      <c r="AB896" t="s">
        <v>16911</v>
      </c>
      <c r="AC896" t="s">
        <v>74</v>
      </c>
      <c r="AD896" t="s">
        <v>74</v>
      </c>
      <c r="AE896" t="s">
        <v>74</v>
      </c>
      <c r="AF896" t="s">
        <v>74</v>
      </c>
      <c r="AG896">
        <v>53</v>
      </c>
      <c r="AH896">
        <v>13</v>
      </c>
      <c r="AI896">
        <v>14</v>
      </c>
      <c r="AJ896">
        <v>1</v>
      </c>
      <c r="AK896">
        <v>33</v>
      </c>
      <c r="AL896" t="s">
        <v>176</v>
      </c>
      <c r="AM896" t="s">
        <v>177</v>
      </c>
      <c r="AN896" t="s">
        <v>178</v>
      </c>
      <c r="AO896" t="s">
        <v>11833</v>
      </c>
      <c r="AP896" t="s">
        <v>11834</v>
      </c>
      <c r="AQ896" t="s">
        <v>74</v>
      </c>
      <c r="AR896" t="s">
        <v>11835</v>
      </c>
      <c r="AS896" t="s">
        <v>11836</v>
      </c>
      <c r="AT896" t="s">
        <v>805</v>
      </c>
      <c r="AU896">
        <v>2019</v>
      </c>
      <c r="AV896">
        <v>101</v>
      </c>
      <c r="AW896" t="s">
        <v>74</v>
      </c>
      <c r="AX896" t="s">
        <v>74</v>
      </c>
      <c r="AY896" t="s">
        <v>74</v>
      </c>
      <c r="AZ896" t="s">
        <v>74</v>
      </c>
      <c r="BA896" t="s">
        <v>74</v>
      </c>
      <c r="BB896">
        <v>38</v>
      </c>
      <c r="BC896">
        <v>45</v>
      </c>
      <c r="BD896" t="s">
        <v>74</v>
      </c>
      <c r="BE896" t="s">
        <v>16912</v>
      </c>
      <c r="BF896" t="str">
        <f>HYPERLINK("http://dx.doi.org/10.1016/j.envsci.2019.07.008","http://dx.doi.org/10.1016/j.envsci.2019.07.008")</f>
        <v>http://dx.doi.org/10.1016/j.envsci.2019.07.008</v>
      </c>
      <c r="BG896" t="s">
        <v>74</v>
      </c>
      <c r="BH896" t="s">
        <v>74</v>
      </c>
      <c r="BI896">
        <v>8</v>
      </c>
      <c r="BJ896" t="s">
        <v>567</v>
      </c>
      <c r="BK896" t="s">
        <v>102</v>
      </c>
      <c r="BL896" t="s">
        <v>568</v>
      </c>
      <c r="BM896" t="s">
        <v>16913</v>
      </c>
      <c r="BN896" t="s">
        <v>74</v>
      </c>
      <c r="BO896" t="s">
        <v>74</v>
      </c>
      <c r="BP896" t="s">
        <v>74</v>
      </c>
      <c r="BQ896" t="s">
        <v>74</v>
      </c>
      <c r="BR896" t="s">
        <v>106</v>
      </c>
      <c r="BS896" t="s">
        <v>16914</v>
      </c>
      <c r="BT896" t="str">
        <f>HYPERLINK("https%3A%2F%2Fwww.webofscience.com%2Fwos%2Fwoscc%2Ffull-record%2FWOS:000497600400006","View Full Record in Web of Science")</f>
        <v>View Full Record in Web of Science</v>
      </c>
    </row>
    <row r="897" spans="1:72" x14ac:dyDescent="0.2">
      <c r="A897" t="s">
        <v>72</v>
      </c>
      <c r="B897" t="s">
        <v>16915</v>
      </c>
      <c r="C897" t="s">
        <v>74</v>
      </c>
      <c r="D897" t="s">
        <v>74</v>
      </c>
      <c r="E897" t="s">
        <v>74</v>
      </c>
      <c r="F897" t="s">
        <v>16916</v>
      </c>
      <c r="G897" t="s">
        <v>74</v>
      </c>
      <c r="H897" t="s">
        <v>74</v>
      </c>
      <c r="I897" t="s">
        <v>16917</v>
      </c>
      <c r="J897" t="s">
        <v>16918</v>
      </c>
      <c r="K897" t="s">
        <v>74</v>
      </c>
      <c r="L897" t="s">
        <v>74</v>
      </c>
      <c r="M897" t="s">
        <v>78</v>
      </c>
      <c r="N897" t="s">
        <v>492</v>
      </c>
      <c r="O897" t="s">
        <v>74</v>
      </c>
      <c r="P897" t="s">
        <v>74</v>
      </c>
      <c r="Q897" t="s">
        <v>74</v>
      </c>
      <c r="R897" t="s">
        <v>74</v>
      </c>
      <c r="S897" t="s">
        <v>74</v>
      </c>
      <c r="T897" t="s">
        <v>16919</v>
      </c>
      <c r="U897" t="s">
        <v>74</v>
      </c>
      <c r="V897" t="s">
        <v>16920</v>
      </c>
      <c r="W897" t="s">
        <v>16921</v>
      </c>
      <c r="X897" t="s">
        <v>16922</v>
      </c>
      <c r="Y897" t="s">
        <v>16923</v>
      </c>
      <c r="Z897" t="s">
        <v>16924</v>
      </c>
      <c r="AA897" t="s">
        <v>74</v>
      </c>
      <c r="AB897" t="s">
        <v>16925</v>
      </c>
      <c r="AC897" t="s">
        <v>74</v>
      </c>
      <c r="AD897" t="s">
        <v>74</v>
      </c>
      <c r="AE897" t="s">
        <v>74</v>
      </c>
      <c r="AF897" t="s">
        <v>74</v>
      </c>
      <c r="AG897">
        <v>50</v>
      </c>
      <c r="AH897">
        <v>1</v>
      </c>
      <c r="AI897">
        <v>2</v>
      </c>
      <c r="AJ897">
        <v>0</v>
      </c>
      <c r="AK897">
        <v>3</v>
      </c>
      <c r="AL897" t="s">
        <v>16926</v>
      </c>
      <c r="AM897" t="s">
        <v>16927</v>
      </c>
      <c r="AN897" t="s">
        <v>16928</v>
      </c>
      <c r="AO897" t="s">
        <v>16929</v>
      </c>
      <c r="AP897" t="s">
        <v>16930</v>
      </c>
      <c r="AQ897" t="s">
        <v>74</v>
      </c>
      <c r="AR897" t="s">
        <v>16931</v>
      </c>
      <c r="AS897" t="s">
        <v>16932</v>
      </c>
      <c r="AT897" t="s">
        <v>16933</v>
      </c>
      <c r="AU897">
        <v>2024</v>
      </c>
      <c r="AV897" t="s">
        <v>74</v>
      </c>
      <c r="AW897" t="s">
        <v>74</v>
      </c>
      <c r="AX897" t="s">
        <v>74</v>
      </c>
      <c r="AY897" t="s">
        <v>74</v>
      </c>
      <c r="AZ897" t="s">
        <v>74</v>
      </c>
      <c r="BA897" t="s">
        <v>74</v>
      </c>
      <c r="BB897" t="s">
        <v>74</v>
      </c>
      <c r="BC897" t="s">
        <v>74</v>
      </c>
      <c r="BD897" t="s">
        <v>74</v>
      </c>
      <c r="BE897" t="s">
        <v>16934</v>
      </c>
      <c r="BF897" t="str">
        <f>HYPERLINK("http://dx.doi.org/10.1007/s12210-024-01227-y","http://dx.doi.org/10.1007/s12210-024-01227-y")</f>
        <v>http://dx.doi.org/10.1007/s12210-024-01227-y</v>
      </c>
      <c r="BG897" t="s">
        <v>74</v>
      </c>
      <c r="BH897" t="s">
        <v>5349</v>
      </c>
      <c r="BI897">
        <v>10</v>
      </c>
      <c r="BJ897" t="s">
        <v>158</v>
      </c>
      <c r="BK897" t="s">
        <v>102</v>
      </c>
      <c r="BL897" t="s">
        <v>159</v>
      </c>
      <c r="BM897" t="s">
        <v>16935</v>
      </c>
      <c r="BN897" t="s">
        <v>74</v>
      </c>
      <c r="BO897" t="s">
        <v>74</v>
      </c>
      <c r="BP897" t="s">
        <v>74</v>
      </c>
      <c r="BQ897" t="s">
        <v>74</v>
      </c>
      <c r="BR897" t="s">
        <v>106</v>
      </c>
      <c r="BS897" t="s">
        <v>16936</v>
      </c>
      <c r="BT897" t="str">
        <f>HYPERLINK("https%3A%2F%2Fwww.webofscience.com%2Fwos%2Fwoscc%2Ffull-record%2FWOS:001179190200001","View Full Record in Web of Science")</f>
        <v>View Full Record in Web of Science</v>
      </c>
    </row>
    <row r="898" spans="1:72" x14ac:dyDescent="0.2">
      <c r="A898" t="s">
        <v>72</v>
      </c>
      <c r="B898" t="s">
        <v>16937</v>
      </c>
      <c r="C898" t="s">
        <v>74</v>
      </c>
      <c r="D898" t="s">
        <v>74</v>
      </c>
      <c r="E898" t="s">
        <v>74</v>
      </c>
      <c r="F898" t="s">
        <v>16938</v>
      </c>
      <c r="G898" t="s">
        <v>74</v>
      </c>
      <c r="H898" t="s">
        <v>74</v>
      </c>
      <c r="I898" t="s">
        <v>16939</v>
      </c>
      <c r="J898" t="s">
        <v>1526</v>
      </c>
      <c r="K898" t="s">
        <v>74</v>
      </c>
      <c r="L898" t="s">
        <v>74</v>
      </c>
      <c r="M898" t="s">
        <v>78</v>
      </c>
      <c r="N898" t="s">
        <v>79</v>
      </c>
      <c r="O898" t="s">
        <v>74</v>
      </c>
      <c r="P898" t="s">
        <v>74</v>
      </c>
      <c r="Q898" t="s">
        <v>74</v>
      </c>
      <c r="R898" t="s">
        <v>74</v>
      </c>
      <c r="S898" t="s">
        <v>74</v>
      </c>
      <c r="T898" t="s">
        <v>16940</v>
      </c>
      <c r="U898" t="s">
        <v>16941</v>
      </c>
      <c r="V898" t="s">
        <v>16942</v>
      </c>
      <c r="W898" t="s">
        <v>16943</v>
      </c>
      <c r="X898" t="s">
        <v>6820</v>
      </c>
      <c r="Y898" t="s">
        <v>16944</v>
      </c>
      <c r="Z898" t="s">
        <v>16945</v>
      </c>
      <c r="AA898" t="s">
        <v>16946</v>
      </c>
      <c r="AB898" t="s">
        <v>74</v>
      </c>
      <c r="AC898" t="s">
        <v>16947</v>
      </c>
      <c r="AD898" t="s">
        <v>16948</v>
      </c>
      <c r="AE898" t="s">
        <v>16949</v>
      </c>
      <c r="AF898" t="s">
        <v>74</v>
      </c>
      <c r="AG898">
        <v>46</v>
      </c>
      <c r="AH898">
        <v>29</v>
      </c>
      <c r="AI898">
        <v>30</v>
      </c>
      <c r="AJ898">
        <v>24</v>
      </c>
      <c r="AK898">
        <v>94</v>
      </c>
      <c r="AL898" t="s">
        <v>176</v>
      </c>
      <c r="AM898" t="s">
        <v>1610</v>
      </c>
      <c r="AN898" t="s">
        <v>1611</v>
      </c>
      <c r="AO898" t="s">
        <v>1538</v>
      </c>
      <c r="AP898" t="s">
        <v>1539</v>
      </c>
      <c r="AQ898" t="s">
        <v>74</v>
      </c>
      <c r="AR898" t="s">
        <v>1540</v>
      </c>
      <c r="AS898" t="s">
        <v>1541</v>
      </c>
      <c r="AT898" t="s">
        <v>1632</v>
      </c>
      <c r="AU898">
        <v>2024</v>
      </c>
      <c r="AV898">
        <v>434</v>
      </c>
      <c r="AW898" t="s">
        <v>74</v>
      </c>
      <c r="AX898" t="s">
        <v>74</v>
      </c>
      <c r="AY898" t="s">
        <v>74</v>
      </c>
      <c r="AZ898" t="s">
        <v>74</v>
      </c>
      <c r="BA898" t="s">
        <v>74</v>
      </c>
      <c r="BB898" t="s">
        <v>74</v>
      </c>
      <c r="BC898" t="s">
        <v>74</v>
      </c>
      <c r="BD898">
        <v>140365</v>
      </c>
      <c r="BE898" t="s">
        <v>16950</v>
      </c>
      <c r="BF898" t="str">
        <f>HYPERLINK("http://dx.doi.org/10.1016/j.jclepro.2023.140365","http://dx.doi.org/10.1016/j.jclepro.2023.140365")</f>
        <v>http://dx.doi.org/10.1016/j.jclepro.2023.140365</v>
      </c>
      <c r="BG898" t="s">
        <v>74</v>
      </c>
      <c r="BH898" t="s">
        <v>1712</v>
      </c>
      <c r="BI898">
        <v>10</v>
      </c>
      <c r="BJ898" t="s">
        <v>1543</v>
      </c>
      <c r="BK898" t="s">
        <v>102</v>
      </c>
      <c r="BL898" t="s">
        <v>1544</v>
      </c>
      <c r="BM898" t="s">
        <v>16951</v>
      </c>
      <c r="BN898" t="s">
        <v>74</v>
      </c>
      <c r="BO898" t="s">
        <v>74</v>
      </c>
      <c r="BP898" t="s">
        <v>74</v>
      </c>
      <c r="BQ898" t="s">
        <v>74</v>
      </c>
      <c r="BR898" t="s">
        <v>106</v>
      </c>
      <c r="BS898" t="s">
        <v>16952</v>
      </c>
      <c r="BT898" t="str">
        <f>HYPERLINK("https%3A%2F%2Fwww.webofscience.com%2Fwos%2Fwoscc%2Ffull-record%2FWOS:001165864400001","View Full Record in Web of Science")</f>
        <v>View Full Record in Web of Science</v>
      </c>
    </row>
    <row r="899" spans="1:72" x14ac:dyDescent="0.2">
      <c r="A899" t="s">
        <v>72</v>
      </c>
      <c r="B899" t="s">
        <v>16953</v>
      </c>
      <c r="C899" t="s">
        <v>74</v>
      </c>
      <c r="D899" t="s">
        <v>74</v>
      </c>
      <c r="E899" t="s">
        <v>74</v>
      </c>
      <c r="F899" t="s">
        <v>16954</v>
      </c>
      <c r="G899" t="s">
        <v>74</v>
      </c>
      <c r="H899" t="s">
        <v>74</v>
      </c>
      <c r="I899" t="s">
        <v>16955</v>
      </c>
      <c r="J899" t="s">
        <v>1344</v>
      </c>
      <c r="K899" t="s">
        <v>74</v>
      </c>
      <c r="L899" t="s">
        <v>74</v>
      </c>
      <c r="M899" t="s">
        <v>78</v>
      </c>
      <c r="N899" t="s">
        <v>79</v>
      </c>
      <c r="O899" t="s">
        <v>74</v>
      </c>
      <c r="P899" t="s">
        <v>74</v>
      </c>
      <c r="Q899" t="s">
        <v>74</v>
      </c>
      <c r="R899" t="s">
        <v>74</v>
      </c>
      <c r="S899" t="s">
        <v>74</v>
      </c>
      <c r="T899" t="s">
        <v>16956</v>
      </c>
      <c r="U899" t="s">
        <v>16957</v>
      </c>
      <c r="V899" t="s">
        <v>16958</v>
      </c>
      <c r="W899" t="s">
        <v>16959</v>
      </c>
      <c r="X899" t="s">
        <v>16960</v>
      </c>
      <c r="Y899" t="s">
        <v>16961</v>
      </c>
      <c r="Z899" t="s">
        <v>16962</v>
      </c>
      <c r="AA899" t="s">
        <v>16963</v>
      </c>
      <c r="AB899" t="s">
        <v>16964</v>
      </c>
      <c r="AC899" t="s">
        <v>74</v>
      </c>
      <c r="AD899" t="s">
        <v>74</v>
      </c>
      <c r="AE899" t="s">
        <v>74</v>
      </c>
      <c r="AF899" t="s">
        <v>74</v>
      </c>
      <c r="AG899">
        <v>73</v>
      </c>
      <c r="AH899">
        <v>16</v>
      </c>
      <c r="AI899">
        <v>19</v>
      </c>
      <c r="AJ899">
        <v>7</v>
      </c>
      <c r="AK899">
        <v>55</v>
      </c>
      <c r="AL899" t="s">
        <v>222</v>
      </c>
      <c r="AM899" t="s">
        <v>223</v>
      </c>
      <c r="AN899" t="s">
        <v>478</v>
      </c>
      <c r="AO899" t="s">
        <v>74</v>
      </c>
      <c r="AP899" t="s">
        <v>1354</v>
      </c>
      <c r="AQ899" t="s">
        <v>74</v>
      </c>
      <c r="AR899" t="s">
        <v>1344</v>
      </c>
      <c r="AS899" t="s">
        <v>1355</v>
      </c>
      <c r="AT899" t="s">
        <v>183</v>
      </c>
      <c r="AU899">
        <v>2022</v>
      </c>
      <c r="AV899">
        <v>12</v>
      </c>
      <c r="AW899">
        <v>7</v>
      </c>
      <c r="AX899" t="s">
        <v>74</v>
      </c>
      <c r="AY899" t="s">
        <v>74</v>
      </c>
      <c r="AZ899" t="s">
        <v>74</v>
      </c>
      <c r="BA899" t="s">
        <v>74</v>
      </c>
      <c r="BB899" t="s">
        <v>74</v>
      </c>
      <c r="BC899" t="s">
        <v>74</v>
      </c>
      <c r="BD899">
        <v>1004</v>
      </c>
      <c r="BE899" t="s">
        <v>16965</v>
      </c>
      <c r="BF899" t="str">
        <f>HYPERLINK("http://dx.doi.org/10.3390/agriculture12071004","http://dx.doi.org/10.3390/agriculture12071004")</f>
        <v>http://dx.doi.org/10.3390/agriculture12071004</v>
      </c>
      <c r="BG899" t="s">
        <v>74</v>
      </c>
      <c r="BH899" t="s">
        <v>74</v>
      </c>
      <c r="BI899">
        <v>14</v>
      </c>
      <c r="BJ899" t="s">
        <v>1357</v>
      </c>
      <c r="BK899" t="s">
        <v>102</v>
      </c>
      <c r="BL899" t="s">
        <v>103</v>
      </c>
      <c r="BM899" t="s">
        <v>16966</v>
      </c>
      <c r="BN899" t="s">
        <v>74</v>
      </c>
      <c r="BO899" t="s">
        <v>161</v>
      </c>
      <c r="BP899" t="s">
        <v>74</v>
      </c>
      <c r="BQ899" t="s">
        <v>74</v>
      </c>
      <c r="BR899" t="s">
        <v>106</v>
      </c>
      <c r="BS899" t="s">
        <v>16967</v>
      </c>
      <c r="BT899" t="str">
        <f>HYPERLINK("https%3A%2F%2Fwww.webofscience.com%2Fwos%2Fwoscc%2Ffull-record%2FWOS:000831513000001","View Full Record in Web of Science")</f>
        <v>View Full Record in Web of Science</v>
      </c>
    </row>
    <row r="900" spans="1:72" x14ac:dyDescent="0.2">
      <c r="A900" t="s">
        <v>72</v>
      </c>
      <c r="B900" t="s">
        <v>16968</v>
      </c>
      <c r="C900" t="s">
        <v>74</v>
      </c>
      <c r="D900" t="s">
        <v>74</v>
      </c>
      <c r="E900" t="s">
        <v>74</v>
      </c>
      <c r="F900" t="s">
        <v>16969</v>
      </c>
      <c r="G900" t="s">
        <v>74</v>
      </c>
      <c r="H900" t="s">
        <v>74</v>
      </c>
      <c r="I900" t="s">
        <v>16970</v>
      </c>
      <c r="J900" t="s">
        <v>16971</v>
      </c>
      <c r="K900" t="s">
        <v>74</v>
      </c>
      <c r="L900" t="s">
        <v>74</v>
      </c>
      <c r="M900" t="s">
        <v>78</v>
      </c>
      <c r="N900" t="s">
        <v>79</v>
      </c>
      <c r="O900" t="s">
        <v>74</v>
      </c>
      <c r="P900" t="s">
        <v>74</v>
      </c>
      <c r="Q900" t="s">
        <v>74</v>
      </c>
      <c r="R900" t="s">
        <v>74</v>
      </c>
      <c r="S900" t="s">
        <v>74</v>
      </c>
      <c r="T900" t="s">
        <v>74</v>
      </c>
      <c r="U900" t="s">
        <v>16972</v>
      </c>
      <c r="V900" t="s">
        <v>16973</v>
      </c>
      <c r="W900" t="s">
        <v>16974</v>
      </c>
      <c r="X900" t="s">
        <v>16975</v>
      </c>
      <c r="Y900" t="s">
        <v>16976</v>
      </c>
      <c r="Z900" t="s">
        <v>16977</v>
      </c>
      <c r="AA900" t="s">
        <v>74</v>
      </c>
      <c r="AB900" t="s">
        <v>74</v>
      </c>
      <c r="AC900" t="s">
        <v>16978</v>
      </c>
      <c r="AD900" t="s">
        <v>16979</v>
      </c>
      <c r="AE900" t="s">
        <v>16980</v>
      </c>
      <c r="AF900" t="s">
        <v>74</v>
      </c>
      <c r="AG900">
        <v>39</v>
      </c>
      <c r="AH900">
        <v>17</v>
      </c>
      <c r="AI900">
        <v>21</v>
      </c>
      <c r="AJ900">
        <v>0</v>
      </c>
      <c r="AK900">
        <v>29</v>
      </c>
      <c r="AL900" t="s">
        <v>5663</v>
      </c>
      <c r="AM900" t="s">
        <v>5664</v>
      </c>
      <c r="AN900" t="s">
        <v>5665</v>
      </c>
      <c r="AO900" t="s">
        <v>16981</v>
      </c>
      <c r="AP900" t="s">
        <v>16982</v>
      </c>
      <c r="AQ900" t="s">
        <v>74</v>
      </c>
      <c r="AR900" t="s">
        <v>16983</v>
      </c>
      <c r="AS900" t="s">
        <v>16984</v>
      </c>
      <c r="AT900" t="s">
        <v>636</v>
      </c>
      <c r="AU900">
        <v>2019</v>
      </c>
      <c r="AV900">
        <v>128</v>
      </c>
      <c r="AW900">
        <v>3</v>
      </c>
      <c r="AX900" t="s">
        <v>74</v>
      </c>
      <c r="AY900" t="s">
        <v>74</v>
      </c>
      <c r="AZ900" t="s">
        <v>74</v>
      </c>
      <c r="BA900" t="s">
        <v>74</v>
      </c>
      <c r="BB900" t="s">
        <v>74</v>
      </c>
      <c r="BC900" t="s">
        <v>74</v>
      </c>
      <c r="BD900">
        <v>56</v>
      </c>
      <c r="BE900" t="s">
        <v>16985</v>
      </c>
      <c r="BF900" t="str">
        <f>HYPERLINK("http://dx.doi.org/10.1007/s12040-019-1071-3","http://dx.doi.org/10.1007/s12040-019-1071-3")</f>
        <v>http://dx.doi.org/10.1007/s12040-019-1071-3</v>
      </c>
      <c r="BG900" t="s">
        <v>74</v>
      </c>
      <c r="BH900" t="s">
        <v>74</v>
      </c>
      <c r="BI900">
        <v>9</v>
      </c>
      <c r="BJ900" t="s">
        <v>16986</v>
      </c>
      <c r="BK900" t="s">
        <v>102</v>
      </c>
      <c r="BL900" t="s">
        <v>16987</v>
      </c>
      <c r="BM900" t="s">
        <v>16988</v>
      </c>
      <c r="BN900" t="s">
        <v>74</v>
      </c>
      <c r="BO900" t="s">
        <v>74</v>
      </c>
      <c r="BP900" t="s">
        <v>74</v>
      </c>
      <c r="BQ900" t="s">
        <v>74</v>
      </c>
      <c r="BR900" t="s">
        <v>106</v>
      </c>
      <c r="BS900" t="s">
        <v>16989</v>
      </c>
      <c r="BT900" t="str">
        <f>HYPERLINK("https%3A%2F%2Fwww.webofscience.com%2Fwos%2Fwoscc%2Ffull-record%2FWOS:000459796800005","View Full Record in Web of Science")</f>
        <v>View Full Record in Web of Science</v>
      </c>
    </row>
    <row r="901" spans="1:72" x14ac:dyDescent="0.2">
      <c r="A901" t="s">
        <v>72</v>
      </c>
      <c r="B901" t="s">
        <v>16990</v>
      </c>
      <c r="C901" t="s">
        <v>74</v>
      </c>
      <c r="D901" t="s">
        <v>74</v>
      </c>
      <c r="E901" t="s">
        <v>74</v>
      </c>
      <c r="F901" t="s">
        <v>16991</v>
      </c>
      <c r="G901" t="s">
        <v>74</v>
      </c>
      <c r="H901" t="s">
        <v>74</v>
      </c>
      <c r="I901" t="s">
        <v>16992</v>
      </c>
      <c r="J901" t="s">
        <v>5809</v>
      </c>
      <c r="K901" t="s">
        <v>74</v>
      </c>
      <c r="L901" t="s">
        <v>74</v>
      </c>
      <c r="M901" t="s">
        <v>78</v>
      </c>
      <c r="N901" t="s">
        <v>79</v>
      </c>
      <c r="O901" t="s">
        <v>74</v>
      </c>
      <c r="P901" t="s">
        <v>74</v>
      </c>
      <c r="Q901" t="s">
        <v>74</v>
      </c>
      <c r="R901" t="s">
        <v>74</v>
      </c>
      <c r="S901" t="s">
        <v>74</v>
      </c>
      <c r="T901" t="s">
        <v>16993</v>
      </c>
      <c r="U901" t="s">
        <v>16994</v>
      </c>
      <c r="V901" t="s">
        <v>16995</v>
      </c>
      <c r="W901" t="s">
        <v>16996</v>
      </c>
      <c r="X901" t="s">
        <v>16997</v>
      </c>
      <c r="Y901" t="s">
        <v>16998</v>
      </c>
      <c r="Z901" t="s">
        <v>16999</v>
      </c>
      <c r="AA901" t="s">
        <v>74</v>
      </c>
      <c r="AB901" t="s">
        <v>17000</v>
      </c>
      <c r="AC901" t="s">
        <v>17001</v>
      </c>
      <c r="AD901" t="s">
        <v>17002</v>
      </c>
      <c r="AE901" t="s">
        <v>17003</v>
      </c>
      <c r="AF901" t="s">
        <v>74</v>
      </c>
      <c r="AG901">
        <v>63</v>
      </c>
      <c r="AH901">
        <v>16</v>
      </c>
      <c r="AI901">
        <v>18</v>
      </c>
      <c r="AJ901">
        <v>0</v>
      </c>
      <c r="AK901">
        <v>39</v>
      </c>
      <c r="AL901" t="s">
        <v>2162</v>
      </c>
      <c r="AM901" t="s">
        <v>124</v>
      </c>
      <c r="AN901" t="s">
        <v>2163</v>
      </c>
      <c r="AO901" t="s">
        <v>5822</v>
      </c>
      <c r="AP901" t="s">
        <v>5823</v>
      </c>
      <c r="AQ901" t="s">
        <v>74</v>
      </c>
      <c r="AR901" t="s">
        <v>5824</v>
      </c>
      <c r="AS901" t="s">
        <v>5825</v>
      </c>
      <c r="AT901" t="s">
        <v>183</v>
      </c>
      <c r="AU901">
        <v>2016</v>
      </c>
      <c r="AV901">
        <v>127</v>
      </c>
      <c r="AW901" t="s">
        <v>74</v>
      </c>
      <c r="AX901" t="s">
        <v>74</v>
      </c>
      <c r="AY901" t="s">
        <v>74</v>
      </c>
      <c r="AZ901" t="s">
        <v>74</v>
      </c>
      <c r="BA901" t="s">
        <v>74</v>
      </c>
      <c r="BB901">
        <v>102</v>
      </c>
      <c r="BC901">
        <v>120</v>
      </c>
      <c r="BD901" t="s">
        <v>74</v>
      </c>
      <c r="BE901" t="s">
        <v>17004</v>
      </c>
      <c r="BF901" t="str">
        <f>HYPERLINK("http://dx.doi.org/10.1016/j.ecolecon.2016.03.015","http://dx.doi.org/10.1016/j.ecolecon.2016.03.015")</f>
        <v>http://dx.doi.org/10.1016/j.ecolecon.2016.03.015</v>
      </c>
      <c r="BG901" t="s">
        <v>74</v>
      </c>
      <c r="BH901" t="s">
        <v>74</v>
      </c>
      <c r="BI901">
        <v>19</v>
      </c>
      <c r="BJ901" t="s">
        <v>5827</v>
      </c>
      <c r="BK901" t="s">
        <v>186</v>
      </c>
      <c r="BL901" t="s">
        <v>5828</v>
      </c>
      <c r="BM901" t="s">
        <v>17005</v>
      </c>
      <c r="BN901" t="s">
        <v>74</v>
      </c>
      <c r="BO901" t="s">
        <v>74</v>
      </c>
      <c r="BP901" t="s">
        <v>74</v>
      </c>
      <c r="BQ901" t="s">
        <v>74</v>
      </c>
      <c r="BR901" t="s">
        <v>106</v>
      </c>
      <c r="BS901" t="s">
        <v>17006</v>
      </c>
      <c r="BT901" t="str">
        <f>HYPERLINK("https%3A%2F%2Fwww.webofscience.com%2Fwos%2Fwoscc%2Ffull-record%2FWOS:000376713100009","View Full Record in Web of Science")</f>
        <v>View Full Record in Web of Science</v>
      </c>
    </row>
    <row r="902" spans="1:72" x14ac:dyDescent="0.2">
      <c r="A902" t="s">
        <v>72</v>
      </c>
      <c r="B902" t="s">
        <v>17007</v>
      </c>
      <c r="C902" t="s">
        <v>74</v>
      </c>
      <c r="D902" t="s">
        <v>74</v>
      </c>
      <c r="E902" t="s">
        <v>74</v>
      </c>
      <c r="F902" t="s">
        <v>17008</v>
      </c>
      <c r="G902" t="s">
        <v>74</v>
      </c>
      <c r="H902" t="s">
        <v>74</v>
      </c>
      <c r="I902" t="s">
        <v>17009</v>
      </c>
      <c r="J902" t="s">
        <v>17010</v>
      </c>
      <c r="K902" t="s">
        <v>74</v>
      </c>
      <c r="L902" t="s">
        <v>74</v>
      </c>
      <c r="M902" t="s">
        <v>78</v>
      </c>
      <c r="N902" t="s">
        <v>79</v>
      </c>
      <c r="O902" t="s">
        <v>74</v>
      </c>
      <c r="P902" t="s">
        <v>74</v>
      </c>
      <c r="Q902" t="s">
        <v>74</v>
      </c>
      <c r="R902" t="s">
        <v>74</v>
      </c>
      <c r="S902" t="s">
        <v>74</v>
      </c>
      <c r="T902" t="s">
        <v>17011</v>
      </c>
      <c r="U902" t="s">
        <v>17012</v>
      </c>
      <c r="V902" t="s">
        <v>17013</v>
      </c>
      <c r="W902" t="s">
        <v>17014</v>
      </c>
      <c r="X902" t="s">
        <v>17015</v>
      </c>
      <c r="Y902" t="s">
        <v>17016</v>
      </c>
      <c r="Z902" t="s">
        <v>17017</v>
      </c>
      <c r="AA902" t="s">
        <v>17018</v>
      </c>
      <c r="AB902" t="s">
        <v>74</v>
      </c>
      <c r="AC902" t="s">
        <v>74</v>
      </c>
      <c r="AD902" t="s">
        <v>74</v>
      </c>
      <c r="AE902" t="s">
        <v>74</v>
      </c>
      <c r="AF902" t="s">
        <v>74</v>
      </c>
      <c r="AG902">
        <v>131</v>
      </c>
      <c r="AH902">
        <v>0</v>
      </c>
      <c r="AI902">
        <v>0</v>
      </c>
      <c r="AJ902">
        <v>0</v>
      </c>
      <c r="AK902">
        <v>0</v>
      </c>
      <c r="AL902" t="s">
        <v>123</v>
      </c>
      <c r="AM902" t="s">
        <v>124</v>
      </c>
      <c r="AN902" t="s">
        <v>125</v>
      </c>
      <c r="AO902" t="s">
        <v>17019</v>
      </c>
      <c r="AP902" t="s">
        <v>17020</v>
      </c>
      <c r="AQ902" t="s">
        <v>74</v>
      </c>
      <c r="AR902" t="s">
        <v>17021</v>
      </c>
      <c r="AS902" t="s">
        <v>17022</v>
      </c>
      <c r="AT902" t="s">
        <v>227</v>
      </c>
      <c r="AU902">
        <v>2026</v>
      </c>
      <c r="AV902">
        <v>186</v>
      </c>
      <c r="AW902" t="s">
        <v>74</v>
      </c>
      <c r="AX902" t="s">
        <v>17023</v>
      </c>
      <c r="AY902" t="s">
        <v>74</v>
      </c>
      <c r="AZ902" t="s">
        <v>74</v>
      </c>
      <c r="BA902" t="s">
        <v>74</v>
      </c>
      <c r="BB902" t="s">
        <v>74</v>
      </c>
      <c r="BC902" t="s">
        <v>74</v>
      </c>
      <c r="BD902">
        <v>114216</v>
      </c>
      <c r="BE902" t="s">
        <v>17024</v>
      </c>
      <c r="BF902" t="str">
        <f>HYPERLINK("http://dx.doi.org/10.1016/j.asoc.2025.114216","http://dx.doi.org/10.1016/j.asoc.2025.114216")</f>
        <v>http://dx.doi.org/10.1016/j.asoc.2025.114216</v>
      </c>
      <c r="BG902" t="s">
        <v>74</v>
      </c>
      <c r="BH902" t="s">
        <v>74</v>
      </c>
      <c r="BI902">
        <v>21</v>
      </c>
      <c r="BJ902" t="s">
        <v>17025</v>
      </c>
      <c r="BK902" t="s">
        <v>102</v>
      </c>
      <c r="BL902" t="s">
        <v>6597</v>
      </c>
      <c r="BM902" t="s">
        <v>17026</v>
      </c>
      <c r="BN902" t="s">
        <v>74</v>
      </c>
      <c r="BO902" t="s">
        <v>74</v>
      </c>
      <c r="BP902" t="s">
        <v>74</v>
      </c>
      <c r="BQ902" t="s">
        <v>74</v>
      </c>
      <c r="BR902" t="s">
        <v>106</v>
      </c>
      <c r="BS902" t="s">
        <v>17027</v>
      </c>
      <c r="BT902" t="str">
        <f>HYPERLINK("https%3A%2F%2Fwww.webofscience.com%2Fwos%2Fwoscc%2Ffull-record%2FWOS:001626709000004","View Full Record in Web of Science")</f>
        <v>View Full Record in Web of Science</v>
      </c>
    </row>
    <row r="903" spans="1:72" x14ac:dyDescent="0.2">
      <c r="A903" t="s">
        <v>72</v>
      </c>
      <c r="B903" t="s">
        <v>17028</v>
      </c>
      <c r="C903" t="s">
        <v>74</v>
      </c>
      <c r="D903" t="s">
        <v>74</v>
      </c>
      <c r="E903" t="s">
        <v>74</v>
      </c>
      <c r="F903" t="s">
        <v>17029</v>
      </c>
      <c r="G903" t="s">
        <v>74</v>
      </c>
      <c r="H903" t="s">
        <v>74</v>
      </c>
      <c r="I903" t="s">
        <v>17030</v>
      </c>
      <c r="J903" t="s">
        <v>2236</v>
      </c>
      <c r="K903" t="s">
        <v>74</v>
      </c>
      <c r="L903" t="s">
        <v>74</v>
      </c>
      <c r="M903" t="s">
        <v>78</v>
      </c>
      <c r="N903" t="s">
        <v>79</v>
      </c>
      <c r="O903" t="s">
        <v>74</v>
      </c>
      <c r="P903" t="s">
        <v>74</v>
      </c>
      <c r="Q903" t="s">
        <v>74</v>
      </c>
      <c r="R903" t="s">
        <v>74</v>
      </c>
      <c r="S903" t="s">
        <v>74</v>
      </c>
      <c r="T903" t="s">
        <v>17031</v>
      </c>
      <c r="U903" t="s">
        <v>74</v>
      </c>
      <c r="V903" t="s">
        <v>17032</v>
      </c>
      <c r="W903" t="s">
        <v>17033</v>
      </c>
      <c r="X903" t="s">
        <v>17034</v>
      </c>
      <c r="Y903" t="s">
        <v>17035</v>
      </c>
      <c r="Z903" t="s">
        <v>17036</v>
      </c>
      <c r="AA903" t="s">
        <v>17037</v>
      </c>
      <c r="AB903" t="s">
        <v>17038</v>
      </c>
      <c r="AC903" t="s">
        <v>17039</v>
      </c>
      <c r="AD903" t="s">
        <v>17040</v>
      </c>
      <c r="AE903" t="s">
        <v>17041</v>
      </c>
      <c r="AF903" t="s">
        <v>74</v>
      </c>
      <c r="AG903">
        <v>48</v>
      </c>
      <c r="AH903">
        <v>127</v>
      </c>
      <c r="AI903">
        <v>142</v>
      </c>
      <c r="AJ903">
        <v>8</v>
      </c>
      <c r="AK903">
        <v>76</v>
      </c>
      <c r="AL903" t="s">
        <v>176</v>
      </c>
      <c r="AM903" t="s">
        <v>177</v>
      </c>
      <c r="AN903" t="s">
        <v>178</v>
      </c>
      <c r="AO903" t="s">
        <v>2248</v>
      </c>
      <c r="AP903" t="s">
        <v>2249</v>
      </c>
      <c r="AQ903" t="s">
        <v>74</v>
      </c>
      <c r="AR903" t="s">
        <v>2250</v>
      </c>
      <c r="AS903" t="s">
        <v>2251</v>
      </c>
      <c r="AT903" t="s">
        <v>636</v>
      </c>
      <c r="AU903">
        <v>2020</v>
      </c>
      <c r="AV903">
        <v>180</v>
      </c>
      <c r="AW903" t="s">
        <v>74</v>
      </c>
      <c r="AX903" t="s">
        <v>74</v>
      </c>
      <c r="AY903" t="s">
        <v>74</v>
      </c>
      <c r="AZ903" t="s">
        <v>74</v>
      </c>
      <c r="BA903" t="s">
        <v>74</v>
      </c>
      <c r="BB903" t="s">
        <v>74</v>
      </c>
      <c r="BC903" t="s">
        <v>74</v>
      </c>
      <c r="BD903">
        <v>102792</v>
      </c>
      <c r="BE903" t="s">
        <v>17042</v>
      </c>
      <c r="BF903" t="str">
        <f>HYPERLINK("http://dx.doi.org/10.1016/j.agsy.2020.102792","http://dx.doi.org/10.1016/j.agsy.2020.102792")</f>
        <v>http://dx.doi.org/10.1016/j.agsy.2020.102792</v>
      </c>
      <c r="BG903" t="s">
        <v>74</v>
      </c>
      <c r="BH903" t="s">
        <v>74</v>
      </c>
      <c r="BI903">
        <v>13</v>
      </c>
      <c r="BJ903" t="s">
        <v>101</v>
      </c>
      <c r="BK903" t="s">
        <v>102</v>
      </c>
      <c r="BL903" t="s">
        <v>103</v>
      </c>
      <c r="BM903" t="s">
        <v>17043</v>
      </c>
      <c r="BN903">
        <v>32255893</v>
      </c>
      <c r="BO903" t="s">
        <v>2296</v>
      </c>
      <c r="BP903" t="s">
        <v>74</v>
      </c>
      <c r="BQ903" t="s">
        <v>74</v>
      </c>
      <c r="BR903" t="s">
        <v>106</v>
      </c>
      <c r="BS903" t="s">
        <v>17044</v>
      </c>
      <c r="BT903" t="str">
        <f>HYPERLINK("https%3A%2F%2Fwww.webofscience.com%2Fwos%2Fwoscc%2Ffull-record%2FWOS:000524975500015","View Full Record in Web of Science")</f>
        <v>View Full Record in Web of Science</v>
      </c>
    </row>
    <row r="904" spans="1:72" x14ac:dyDescent="0.2">
      <c r="A904" t="s">
        <v>72</v>
      </c>
      <c r="B904" t="s">
        <v>17045</v>
      </c>
      <c r="C904" t="s">
        <v>74</v>
      </c>
      <c r="D904" t="s">
        <v>74</v>
      </c>
      <c r="E904" t="s">
        <v>74</v>
      </c>
      <c r="F904" t="s">
        <v>17046</v>
      </c>
      <c r="G904" t="s">
        <v>74</v>
      </c>
      <c r="H904" t="s">
        <v>74</v>
      </c>
      <c r="I904" t="s">
        <v>17047</v>
      </c>
      <c r="J904" t="s">
        <v>17048</v>
      </c>
      <c r="K904" t="s">
        <v>74</v>
      </c>
      <c r="L904" t="s">
        <v>74</v>
      </c>
      <c r="M904" t="s">
        <v>78</v>
      </c>
      <c r="N904" t="s">
        <v>79</v>
      </c>
      <c r="O904" t="s">
        <v>74</v>
      </c>
      <c r="P904" t="s">
        <v>74</v>
      </c>
      <c r="Q904" t="s">
        <v>74</v>
      </c>
      <c r="R904" t="s">
        <v>74</v>
      </c>
      <c r="S904" t="s">
        <v>74</v>
      </c>
      <c r="T904" t="s">
        <v>17049</v>
      </c>
      <c r="U904" t="s">
        <v>17050</v>
      </c>
      <c r="V904" t="s">
        <v>17051</v>
      </c>
      <c r="W904" t="s">
        <v>17052</v>
      </c>
      <c r="X904" t="s">
        <v>74</v>
      </c>
      <c r="Y904" t="s">
        <v>17053</v>
      </c>
      <c r="Z904" t="s">
        <v>74</v>
      </c>
      <c r="AA904" t="s">
        <v>74</v>
      </c>
      <c r="AB904" t="s">
        <v>17054</v>
      </c>
      <c r="AC904" t="s">
        <v>74</v>
      </c>
      <c r="AD904" t="s">
        <v>74</v>
      </c>
      <c r="AE904" t="s">
        <v>74</v>
      </c>
      <c r="AF904" t="s">
        <v>74</v>
      </c>
      <c r="AG904">
        <v>27</v>
      </c>
      <c r="AH904">
        <v>7</v>
      </c>
      <c r="AI904">
        <v>8</v>
      </c>
      <c r="AJ904">
        <v>0</v>
      </c>
      <c r="AK904">
        <v>7</v>
      </c>
      <c r="AL904" t="s">
        <v>17055</v>
      </c>
      <c r="AM904" t="s">
        <v>17056</v>
      </c>
      <c r="AN904" t="s">
        <v>17057</v>
      </c>
      <c r="AO904" t="s">
        <v>17058</v>
      </c>
      <c r="AP904" t="s">
        <v>17059</v>
      </c>
      <c r="AQ904" t="s">
        <v>74</v>
      </c>
      <c r="AR904" t="s">
        <v>17060</v>
      </c>
      <c r="AS904" t="s">
        <v>17061</v>
      </c>
      <c r="AT904" t="s">
        <v>99</v>
      </c>
      <c r="AU904">
        <v>2016</v>
      </c>
      <c r="AV904">
        <v>116</v>
      </c>
      <c r="AW904">
        <v>3</v>
      </c>
      <c r="AX904" t="s">
        <v>74</v>
      </c>
      <c r="AY904" t="s">
        <v>74</v>
      </c>
      <c r="AZ904" t="s">
        <v>74</v>
      </c>
      <c r="BA904" t="s">
        <v>74</v>
      </c>
      <c r="BB904">
        <v>265</v>
      </c>
      <c r="BC904">
        <v>274</v>
      </c>
      <c r="BD904" t="s">
        <v>74</v>
      </c>
      <c r="BE904" t="s">
        <v>17062</v>
      </c>
      <c r="BF904" t="str">
        <f>HYPERLINK("http://dx.doi.org/10.17159/2411-9717/2016/v116n3a8","http://dx.doi.org/10.17159/2411-9717/2016/v116n3a8")</f>
        <v>http://dx.doi.org/10.17159/2411-9717/2016/v116n3a8</v>
      </c>
      <c r="BG904" t="s">
        <v>74</v>
      </c>
      <c r="BH904" t="s">
        <v>74</v>
      </c>
      <c r="BI904">
        <v>10</v>
      </c>
      <c r="BJ904" t="s">
        <v>17063</v>
      </c>
      <c r="BK904" t="s">
        <v>102</v>
      </c>
      <c r="BL904" t="s">
        <v>17063</v>
      </c>
      <c r="BM904" t="s">
        <v>17064</v>
      </c>
      <c r="BN904" t="s">
        <v>74</v>
      </c>
      <c r="BO904" t="s">
        <v>231</v>
      </c>
      <c r="BP904" t="s">
        <v>74</v>
      </c>
      <c r="BQ904" t="s">
        <v>74</v>
      </c>
      <c r="BR904" t="s">
        <v>106</v>
      </c>
      <c r="BS904" t="s">
        <v>17065</v>
      </c>
      <c r="BT904" t="str">
        <f>HYPERLINK("https%3A%2F%2Fwww.webofscience.com%2Fwos%2Fwoscc%2Ffull-record%2FWOS:000376797300010","View Full Record in Web of Science")</f>
        <v>View Full Record in Web of Science</v>
      </c>
    </row>
    <row r="905" spans="1:72" x14ac:dyDescent="0.2">
      <c r="A905" t="s">
        <v>72</v>
      </c>
      <c r="B905" t="s">
        <v>17066</v>
      </c>
      <c r="C905" t="s">
        <v>74</v>
      </c>
      <c r="D905" t="s">
        <v>74</v>
      </c>
      <c r="E905" t="s">
        <v>74</v>
      </c>
      <c r="F905" t="s">
        <v>17067</v>
      </c>
      <c r="G905" t="s">
        <v>74</v>
      </c>
      <c r="H905" t="s">
        <v>74</v>
      </c>
      <c r="I905" t="s">
        <v>17068</v>
      </c>
      <c r="J905" t="s">
        <v>17069</v>
      </c>
      <c r="K905" t="s">
        <v>74</v>
      </c>
      <c r="L905" t="s">
        <v>74</v>
      </c>
      <c r="M905" t="s">
        <v>78</v>
      </c>
      <c r="N905" t="s">
        <v>2506</v>
      </c>
      <c r="O905" t="s">
        <v>74</v>
      </c>
      <c r="P905" t="s">
        <v>74</v>
      </c>
      <c r="Q905" t="s">
        <v>74</v>
      </c>
      <c r="R905" t="s">
        <v>74</v>
      </c>
      <c r="S905" t="s">
        <v>74</v>
      </c>
      <c r="T905" t="s">
        <v>17070</v>
      </c>
      <c r="U905" t="s">
        <v>17071</v>
      </c>
      <c r="V905" t="s">
        <v>17072</v>
      </c>
      <c r="W905" t="s">
        <v>17073</v>
      </c>
      <c r="X905" t="s">
        <v>17074</v>
      </c>
      <c r="Y905" t="s">
        <v>17075</v>
      </c>
      <c r="Z905" t="s">
        <v>17076</v>
      </c>
      <c r="AA905" t="s">
        <v>17077</v>
      </c>
      <c r="AB905" t="s">
        <v>17078</v>
      </c>
      <c r="AC905" t="s">
        <v>74</v>
      </c>
      <c r="AD905" t="s">
        <v>74</v>
      </c>
      <c r="AE905" t="s">
        <v>74</v>
      </c>
      <c r="AF905" t="s">
        <v>74</v>
      </c>
      <c r="AG905">
        <v>204</v>
      </c>
      <c r="AH905">
        <v>38</v>
      </c>
      <c r="AI905">
        <v>47</v>
      </c>
      <c r="AJ905">
        <v>2</v>
      </c>
      <c r="AK905">
        <v>23</v>
      </c>
      <c r="AL905" t="s">
        <v>17079</v>
      </c>
      <c r="AM905" t="s">
        <v>17080</v>
      </c>
      <c r="AN905" t="s">
        <v>17081</v>
      </c>
      <c r="AO905" t="s">
        <v>17082</v>
      </c>
      <c r="AP905" t="s">
        <v>74</v>
      </c>
      <c r="AQ905" t="s">
        <v>74</v>
      </c>
      <c r="AR905" t="s">
        <v>17083</v>
      </c>
      <c r="AS905" t="s">
        <v>17084</v>
      </c>
      <c r="AT905" t="s">
        <v>281</v>
      </c>
      <c r="AU905">
        <v>2020</v>
      </c>
      <c r="AV905">
        <v>6</v>
      </c>
      <c r="AW905">
        <v>2</v>
      </c>
      <c r="AX905" t="s">
        <v>74</v>
      </c>
      <c r="AY905" t="s">
        <v>74</v>
      </c>
      <c r="AZ905" t="s">
        <v>74</v>
      </c>
      <c r="BA905" t="s">
        <v>74</v>
      </c>
      <c r="BB905">
        <v>143</v>
      </c>
      <c r="BC905">
        <v>158</v>
      </c>
      <c r="BD905" t="s">
        <v>74</v>
      </c>
      <c r="BE905" t="s">
        <v>17085</v>
      </c>
      <c r="BF905" t="str">
        <f>HYPERLINK("http://dx.doi.org/10.1007/s40725-020-00114-7","http://dx.doi.org/10.1007/s40725-020-00114-7")</f>
        <v>http://dx.doi.org/10.1007/s40725-020-00114-7</v>
      </c>
      <c r="BG905" t="s">
        <v>74</v>
      </c>
      <c r="BH905" t="s">
        <v>5336</v>
      </c>
      <c r="BI905">
        <v>16</v>
      </c>
      <c r="BJ905" t="s">
        <v>132</v>
      </c>
      <c r="BK905" t="s">
        <v>102</v>
      </c>
      <c r="BL905" t="s">
        <v>132</v>
      </c>
      <c r="BM905" t="s">
        <v>17086</v>
      </c>
      <c r="BN905" t="s">
        <v>74</v>
      </c>
      <c r="BO905" t="s">
        <v>74</v>
      </c>
      <c r="BP905" t="s">
        <v>74</v>
      </c>
      <c r="BQ905" t="s">
        <v>74</v>
      </c>
      <c r="BR905" t="s">
        <v>106</v>
      </c>
      <c r="BS905" t="s">
        <v>17087</v>
      </c>
      <c r="BT905" t="str">
        <f>HYPERLINK("https%3A%2F%2Fwww.webofscience.com%2Fwos%2Fwoscc%2Ffull-record%2FWOS:000530216500001","View Full Record in Web of Science")</f>
        <v>View Full Record in Web of Science</v>
      </c>
    </row>
    <row r="906" spans="1:72" x14ac:dyDescent="0.2">
      <c r="A906" t="s">
        <v>72</v>
      </c>
      <c r="B906" t="s">
        <v>17088</v>
      </c>
      <c r="C906" t="s">
        <v>74</v>
      </c>
      <c r="D906" t="s">
        <v>74</v>
      </c>
      <c r="E906" t="s">
        <v>74</v>
      </c>
      <c r="F906" t="s">
        <v>17089</v>
      </c>
      <c r="G906" t="s">
        <v>74</v>
      </c>
      <c r="H906" t="s">
        <v>74</v>
      </c>
      <c r="I906" t="s">
        <v>17090</v>
      </c>
      <c r="J906" t="s">
        <v>17091</v>
      </c>
      <c r="K906" t="s">
        <v>74</v>
      </c>
      <c r="L906" t="s">
        <v>74</v>
      </c>
      <c r="M906" t="s">
        <v>78</v>
      </c>
      <c r="N906" t="s">
        <v>79</v>
      </c>
      <c r="O906" t="s">
        <v>74</v>
      </c>
      <c r="P906" t="s">
        <v>74</v>
      </c>
      <c r="Q906" t="s">
        <v>74</v>
      </c>
      <c r="R906" t="s">
        <v>74</v>
      </c>
      <c r="S906" t="s">
        <v>74</v>
      </c>
      <c r="T906" t="s">
        <v>17092</v>
      </c>
      <c r="U906" t="s">
        <v>17093</v>
      </c>
      <c r="V906" t="s">
        <v>17094</v>
      </c>
      <c r="W906" t="s">
        <v>17095</v>
      </c>
      <c r="X906" t="s">
        <v>17096</v>
      </c>
      <c r="Y906" t="s">
        <v>17097</v>
      </c>
      <c r="Z906" t="s">
        <v>17098</v>
      </c>
      <c r="AA906" t="s">
        <v>74</v>
      </c>
      <c r="AB906" t="s">
        <v>74</v>
      </c>
      <c r="AC906" t="s">
        <v>17099</v>
      </c>
      <c r="AD906" t="s">
        <v>17100</v>
      </c>
      <c r="AE906" t="s">
        <v>17101</v>
      </c>
      <c r="AF906" t="s">
        <v>74</v>
      </c>
      <c r="AG906">
        <v>46</v>
      </c>
      <c r="AH906">
        <v>56</v>
      </c>
      <c r="AI906">
        <v>61</v>
      </c>
      <c r="AJ906">
        <v>43</v>
      </c>
      <c r="AK906">
        <v>253</v>
      </c>
      <c r="AL906" t="s">
        <v>17102</v>
      </c>
      <c r="AM906" t="s">
        <v>177</v>
      </c>
      <c r="AN906" t="s">
        <v>17103</v>
      </c>
      <c r="AO906" t="s">
        <v>17104</v>
      </c>
      <c r="AP906" t="s">
        <v>17105</v>
      </c>
      <c r="AQ906" t="s">
        <v>74</v>
      </c>
      <c r="AR906" t="s">
        <v>17106</v>
      </c>
      <c r="AS906" t="s">
        <v>17107</v>
      </c>
      <c r="AT906" t="s">
        <v>4711</v>
      </c>
      <c r="AU906">
        <v>2023</v>
      </c>
      <c r="AV906">
        <v>238</v>
      </c>
      <c r="AW906" t="s">
        <v>74</v>
      </c>
      <c r="AX906" t="s">
        <v>74</v>
      </c>
      <c r="AY906" t="s">
        <v>74</v>
      </c>
      <c r="AZ906" t="s">
        <v>74</v>
      </c>
      <c r="BA906" t="s">
        <v>74</v>
      </c>
      <c r="BB906" t="s">
        <v>74</v>
      </c>
      <c r="BC906" t="s">
        <v>74</v>
      </c>
      <c r="BD906">
        <v>115559</v>
      </c>
      <c r="BE906" t="s">
        <v>17108</v>
      </c>
      <c r="BF906" t="str">
        <f>HYPERLINK("http://dx.doi.org/10.1016/j.bios.2023.115559","http://dx.doi.org/10.1016/j.bios.2023.115559")</f>
        <v>http://dx.doi.org/10.1016/j.bios.2023.115559</v>
      </c>
      <c r="BG906" t="s">
        <v>74</v>
      </c>
      <c r="BH906" t="s">
        <v>1754</v>
      </c>
      <c r="BI906">
        <v>7</v>
      </c>
      <c r="BJ906" t="s">
        <v>17109</v>
      </c>
      <c r="BK906" t="s">
        <v>102</v>
      </c>
      <c r="BL906" t="s">
        <v>17110</v>
      </c>
      <c r="BM906" t="s">
        <v>17111</v>
      </c>
      <c r="BN906">
        <v>37542976</v>
      </c>
      <c r="BO906" t="s">
        <v>74</v>
      </c>
      <c r="BP906" t="s">
        <v>74</v>
      </c>
      <c r="BQ906" t="s">
        <v>74</v>
      </c>
      <c r="BR906" t="s">
        <v>106</v>
      </c>
      <c r="BS906" t="s">
        <v>17112</v>
      </c>
      <c r="BT906" t="str">
        <f>HYPERLINK("https%3A%2F%2Fwww.webofscience.com%2Fwos%2Fwoscc%2Ffull-record%2FWOS:001052034700001","View Full Record in Web of Science")</f>
        <v>View Full Record in Web of Science</v>
      </c>
    </row>
    <row r="907" spans="1:72" x14ac:dyDescent="0.2">
      <c r="A907" t="s">
        <v>72</v>
      </c>
      <c r="B907" t="s">
        <v>17113</v>
      </c>
      <c r="C907" t="s">
        <v>74</v>
      </c>
      <c r="D907" t="s">
        <v>74</v>
      </c>
      <c r="E907" t="s">
        <v>74</v>
      </c>
      <c r="F907" t="s">
        <v>17114</v>
      </c>
      <c r="G907" t="s">
        <v>74</v>
      </c>
      <c r="H907" t="s">
        <v>74</v>
      </c>
      <c r="I907" t="s">
        <v>17115</v>
      </c>
      <c r="J907" t="s">
        <v>17116</v>
      </c>
      <c r="K907" t="s">
        <v>74</v>
      </c>
      <c r="L907" t="s">
        <v>74</v>
      </c>
      <c r="M907" t="s">
        <v>78</v>
      </c>
      <c r="N907" t="s">
        <v>79</v>
      </c>
      <c r="O907" t="s">
        <v>74</v>
      </c>
      <c r="P907" t="s">
        <v>74</v>
      </c>
      <c r="Q907" t="s">
        <v>74</v>
      </c>
      <c r="R907" t="s">
        <v>74</v>
      </c>
      <c r="S907" t="s">
        <v>74</v>
      </c>
      <c r="T907" t="s">
        <v>17117</v>
      </c>
      <c r="U907" t="s">
        <v>17118</v>
      </c>
      <c r="V907" t="s">
        <v>17119</v>
      </c>
      <c r="W907" t="s">
        <v>17120</v>
      </c>
      <c r="X907" t="s">
        <v>17121</v>
      </c>
      <c r="Y907" t="s">
        <v>17122</v>
      </c>
      <c r="Z907" t="s">
        <v>17123</v>
      </c>
      <c r="AA907" t="s">
        <v>17124</v>
      </c>
      <c r="AB907" t="s">
        <v>17125</v>
      </c>
      <c r="AC907" t="s">
        <v>17126</v>
      </c>
      <c r="AD907" t="s">
        <v>17127</v>
      </c>
      <c r="AE907" t="s">
        <v>17128</v>
      </c>
      <c r="AF907" t="s">
        <v>74</v>
      </c>
      <c r="AG907">
        <v>41</v>
      </c>
      <c r="AH907">
        <v>34</v>
      </c>
      <c r="AI907">
        <v>37</v>
      </c>
      <c r="AJ907">
        <v>1</v>
      </c>
      <c r="AK907">
        <v>39</v>
      </c>
      <c r="AL907" t="s">
        <v>3169</v>
      </c>
      <c r="AM907" t="s">
        <v>531</v>
      </c>
      <c r="AN907" t="s">
        <v>3170</v>
      </c>
      <c r="AO907" t="s">
        <v>17129</v>
      </c>
      <c r="AP907" t="s">
        <v>17130</v>
      </c>
      <c r="AQ907" t="s">
        <v>74</v>
      </c>
      <c r="AR907" t="s">
        <v>17131</v>
      </c>
      <c r="AS907" t="s">
        <v>17132</v>
      </c>
      <c r="AT907" t="s">
        <v>17133</v>
      </c>
      <c r="AU907">
        <v>2017</v>
      </c>
      <c r="AV907">
        <v>122</v>
      </c>
      <c r="AW907">
        <v>6</v>
      </c>
      <c r="AX907" t="s">
        <v>74</v>
      </c>
      <c r="AY907" t="s">
        <v>74</v>
      </c>
      <c r="AZ907" t="s">
        <v>74</v>
      </c>
      <c r="BA907" t="s">
        <v>74</v>
      </c>
      <c r="BB907">
        <v>3653</v>
      </c>
      <c r="BC907">
        <v>3671</v>
      </c>
      <c r="BD907" t="s">
        <v>74</v>
      </c>
      <c r="BE907" t="s">
        <v>17134</v>
      </c>
      <c r="BF907" t="str">
        <f>HYPERLINK("http://dx.doi.org/10.1002/2016JD025617","http://dx.doi.org/10.1002/2016JD025617")</f>
        <v>http://dx.doi.org/10.1002/2016JD025617</v>
      </c>
      <c r="BG907" t="s">
        <v>74</v>
      </c>
      <c r="BH907" t="s">
        <v>74</v>
      </c>
      <c r="BI907">
        <v>19</v>
      </c>
      <c r="BJ907" t="s">
        <v>4096</v>
      </c>
      <c r="BK907" t="s">
        <v>102</v>
      </c>
      <c r="BL907" t="s">
        <v>4096</v>
      </c>
      <c r="BM907" t="s">
        <v>17135</v>
      </c>
      <c r="BN907" t="s">
        <v>74</v>
      </c>
      <c r="BO907" t="s">
        <v>105</v>
      </c>
      <c r="BP907" t="s">
        <v>74</v>
      </c>
      <c r="BQ907" t="s">
        <v>74</v>
      </c>
      <c r="BR907" t="s">
        <v>106</v>
      </c>
      <c r="BS907" t="s">
        <v>17136</v>
      </c>
      <c r="BT907" t="str">
        <f>HYPERLINK("https%3A%2F%2Fwww.webofscience.com%2Fwos%2Fwoscc%2Ffull-record%2FWOS:000399655200027","View Full Record in Web of Science")</f>
        <v>View Full Record in Web of Science</v>
      </c>
    </row>
    <row r="908" spans="1:72" x14ac:dyDescent="0.2">
      <c r="A908" t="s">
        <v>72</v>
      </c>
      <c r="B908" t="s">
        <v>17137</v>
      </c>
      <c r="C908" t="s">
        <v>74</v>
      </c>
      <c r="D908" t="s">
        <v>74</v>
      </c>
      <c r="E908" t="s">
        <v>74</v>
      </c>
      <c r="F908" t="s">
        <v>17138</v>
      </c>
      <c r="G908" t="s">
        <v>74</v>
      </c>
      <c r="H908" t="s">
        <v>74</v>
      </c>
      <c r="I908" t="s">
        <v>17139</v>
      </c>
      <c r="J908" t="s">
        <v>11071</v>
      </c>
      <c r="K908" t="s">
        <v>74</v>
      </c>
      <c r="L908" t="s">
        <v>74</v>
      </c>
      <c r="M908" t="s">
        <v>78</v>
      </c>
      <c r="N908" t="s">
        <v>79</v>
      </c>
      <c r="O908" t="s">
        <v>74</v>
      </c>
      <c r="P908" t="s">
        <v>74</v>
      </c>
      <c r="Q908" t="s">
        <v>74</v>
      </c>
      <c r="R908" t="s">
        <v>74</v>
      </c>
      <c r="S908" t="s">
        <v>74</v>
      </c>
      <c r="T908" t="s">
        <v>17140</v>
      </c>
      <c r="U908" t="s">
        <v>74</v>
      </c>
      <c r="V908" t="s">
        <v>17141</v>
      </c>
      <c r="W908" t="s">
        <v>17142</v>
      </c>
      <c r="X908" t="s">
        <v>17143</v>
      </c>
      <c r="Y908" t="s">
        <v>17144</v>
      </c>
      <c r="Z908" t="s">
        <v>17145</v>
      </c>
      <c r="AA908" t="s">
        <v>17146</v>
      </c>
      <c r="AB908" t="s">
        <v>17147</v>
      </c>
      <c r="AC908" t="s">
        <v>74</v>
      </c>
      <c r="AD908" t="s">
        <v>74</v>
      </c>
      <c r="AE908" t="s">
        <v>74</v>
      </c>
      <c r="AF908" t="s">
        <v>74</v>
      </c>
      <c r="AG908">
        <v>18</v>
      </c>
      <c r="AH908">
        <v>45</v>
      </c>
      <c r="AI908">
        <v>46</v>
      </c>
      <c r="AJ908">
        <v>1</v>
      </c>
      <c r="AK908">
        <v>53</v>
      </c>
      <c r="AL908" t="s">
        <v>176</v>
      </c>
      <c r="AM908" t="s">
        <v>177</v>
      </c>
      <c r="AN908" t="s">
        <v>178</v>
      </c>
      <c r="AO908" t="s">
        <v>11085</v>
      </c>
      <c r="AP908" t="s">
        <v>11086</v>
      </c>
      <c r="AQ908" t="s">
        <v>74</v>
      </c>
      <c r="AR908" t="s">
        <v>11087</v>
      </c>
      <c r="AS908" t="s">
        <v>11088</v>
      </c>
      <c r="AT908" t="s">
        <v>281</v>
      </c>
      <c r="AU908">
        <v>2016</v>
      </c>
      <c r="AV908">
        <v>49</v>
      </c>
      <c r="AW908" t="s">
        <v>74</v>
      </c>
      <c r="AX908" t="s">
        <v>74</v>
      </c>
      <c r="AY908" t="s">
        <v>74</v>
      </c>
      <c r="AZ908" t="s">
        <v>74</v>
      </c>
      <c r="BA908" t="s">
        <v>74</v>
      </c>
      <c r="BB908">
        <v>330</v>
      </c>
      <c r="BC908">
        <v>342</v>
      </c>
      <c r="BD908" t="s">
        <v>74</v>
      </c>
      <c r="BE908" t="s">
        <v>17148</v>
      </c>
      <c r="BF908" t="str">
        <f>HYPERLINK("http://dx.doi.org/10.1016/j.ijggc.2016.03.017","http://dx.doi.org/10.1016/j.ijggc.2016.03.017")</f>
        <v>http://dx.doi.org/10.1016/j.ijggc.2016.03.017</v>
      </c>
      <c r="BG908" t="s">
        <v>74</v>
      </c>
      <c r="BH908" t="s">
        <v>74</v>
      </c>
      <c r="BI908">
        <v>13</v>
      </c>
      <c r="BJ908" t="s">
        <v>11090</v>
      </c>
      <c r="BK908" t="s">
        <v>102</v>
      </c>
      <c r="BL908" t="s">
        <v>11091</v>
      </c>
      <c r="BM908" t="s">
        <v>17149</v>
      </c>
      <c r="BN908" t="s">
        <v>74</v>
      </c>
      <c r="BO908" t="s">
        <v>541</v>
      </c>
      <c r="BP908" t="s">
        <v>74</v>
      </c>
      <c r="BQ908" t="s">
        <v>74</v>
      </c>
      <c r="BR908" t="s">
        <v>106</v>
      </c>
      <c r="BS908" t="s">
        <v>17150</v>
      </c>
      <c r="BT908" t="str">
        <f>HYPERLINK("https%3A%2F%2Fwww.webofscience.com%2Fwos%2Fwoscc%2Ffull-record%2FWOS:000376459200031","View Full Record in Web of Science")</f>
        <v>View Full Record in Web of Science</v>
      </c>
    </row>
    <row r="909" spans="1:72" x14ac:dyDescent="0.2">
      <c r="A909" t="s">
        <v>72</v>
      </c>
      <c r="B909" t="s">
        <v>17151</v>
      </c>
      <c r="C909" t="s">
        <v>74</v>
      </c>
      <c r="D909" t="s">
        <v>74</v>
      </c>
      <c r="E909" t="s">
        <v>74</v>
      </c>
      <c r="F909" t="s">
        <v>17152</v>
      </c>
      <c r="G909" t="s">
        <v>74</v>
      </c>
      <c r="H909" t="s">
        <v>74</v>
      </c>
      <c r="I909" t="s">
        <v>17153</v>
      </c>
      <c r="J909" t="s">
        <v>347</v>
      </c>
      <c r="K909" t="s">
        <v>74</v>
      </c>
      <c r="L909" t="s">
        <v>74</v>
      </c>
      <c r="M909" t="s">
        <v>78</v>
      </c>
      <c r="N909" t="s">
        <v>79</v>
      </c>
      <c r="O909" t="s">
        <v>74</v>
      </c>
      <c r="P909" t="s">
        <v>74</v>
      </c>
      <c r="Q909" t="s">
        <v>74</v>
      </c>
      <c r="R909" t="s">
        <v>74</v>
      </c>
      <c r="S909" t="s">
        <v>74</v>
      </c>
      <c r="T909" t="s">
        <v>74</v>
      </c>
      <c r="U909" t="s">
        <v>17154</v>
      </c>
      <c r="V909" t="s">
        <v>17155</v>
      </c>
      <c r="W909" t="s">
        <v>17156</v>
      </c>
      <c r="X909" t="s">
        <v>17157</v>
      </c>
      <c r="Y909" t="s">
        <v>17158</v>
      </c>
      <c r="Z909" t="s">
        <v>17159</v>
      </c>
      <c r="AA909" t="s">
        <v>17160</v>
      </c>
      <c r="AB909" t="s">
        <v>74</v>
      </c>
      <c r="AC909" t="s">
        <v>17161</v>
      </c>
      <c r="AD909" t="s">
        <v>17162</v>
      </c>
      <c r="AE909" t="s">
        <v>17163</v>
      </c>
      <c r="AF909" t="s">
        <v>74</v>
      </c>
      <c r="AG909">
        <v>43</v>
      </c>
      <c r="AH909">
        <v>10</v>
      </c>
      <c r="AI909">
        <v>11</v>
      </c>
      <c r="AJ909">
        <v>12</v>
      </c>
      <c r="AK909">
        <v>109</v>
      </c>
      <c r="AL909" t="s">
        <v>274</v>
      </c>
      <c r="AM909" t="s">
        <v>275</v>
      </c>
      <c r="AN909" t="s">
        <v>276</v>
      </c>
      <c r="AO909" t="s">
        <v>357</v>
      </c>
      <c r="AP909" t="s">
        <v>74</v>
      </c>
      <c r="AQ909" t="s">
        <v>74</v>
      </c>
      <c r="AR909" t="s">
        <v>358</v>
      </c>
      <c r="AS909" t="s">
        <v>359</v>
      </c>
      <c r="AT909" t="s">
        <v>17164</v>
      </c>
      <c r="AU909">
        <v>2022</v>
      </c>
      <c r="AV909">
        <v>12</v>
      </c>
      <c r="AW909">
        <v>1</v>
      </c>
      <c r="AX909" t="s">
        <v>74</v>
      </c>
      <c r="AY909" t="s">
        <v>74</v>
      </c>
      <c r="AZ909" t="s">
        <v>74</v>
      </c>
      <c r="BA909" t="s">
        <v>74</v>
      </c>
      <c r="BB909" t="s">
        <v>74</v>
      </c>
      <c r="BC909" t="s">
        <v>74</v>
      </c>
      <c r="BD909">
        <v>15202</v>
      </c>
      <c r="BE909" t="s">
        <v>17165</v>
      </c>
      <c r="BF909" t="str">
        <f>HYPERLINK("http://dx.doi.org/10.1038/s41598-022-19592-9","http://dx.doi.org/10.1038/s41598-022-19592-9")</f>
        <v>http://dx.doi.org/10.1038/s41598-022-19592-9</v>
      </c>
      <c r="BG909" t="s">
        <v>74</v>
      </c>
      <c r="BH909" t="s">
        <v>74</v>
      </c>
      <c r="BI909">
        <v>9</v>
      </c>
      <c r="BJ909" t="s">
        <v>158</v>
      </c>
      <c r="BK909" t="s">
        <v>102</v>
      </c>
      <c r="BL909" t="s">
        <v>159</v>
      </c>
      <c r="BM909" t="s">
        <v>17166</v>
      </c>
      <c r="BN909">
        <v>36075952</v>
      </c>
      <c r="BO909" t="s">
        <v>161</v>
      </c>
      <c r="BP909" t="s">
        <v>74</v>
      </c>
      <c r="BQ909" t="s">
        <v>74</v>
      </c>
      <c r="BR909" t="s">
        <v>106</v>
      </c>
      <c r="BS909" t="s">
        <v>17167</v>
      </c>
      <c r="BT909" t="str">
        <f>HYPERLINK("https%3A%2F%2Fwww.webofscience.com%2Fwos%2Fwoscc%2Ffull-record%2FWOS:000852396300019","View Full Record in Web of Science")</f>
        <v>View Full Record in Web of Science</v>
      </c>
    </row>
    <row r="910" spans="1:72" x14ac:dyDescent="0.2">
      <c r="A910" t="s">
        <v>72</v>
      </c>
      <c r="B910" t="s">
        <v>17168</v>
      </c>
      <c r="C910" t="s">
        <v>74</v>
      </c>
      <c r="D910" t="s">
        <v>74</v>
      </c>
      <c r="E910" t="s">
        <v>74</v>
      </c>
      <c r="F910" t="s">
        <v>17169</v>
      </c>
      <c r="G910" t="s">
        <v>74</v>
      </c>
      <c r="H910" t="s">
        <v>74</v>
      </c>
      <c r="I910" t="s">
        <v>17170</v>
      </c>
      <c r="J910" t="s">
        <v>3413</v>
      </c>
      <c r="K910" t="s">
        <v>74</v>
      </c>
      <c r="L910" t="s">
        <v>74</v>
      </c>
      <c r="M910" t="s">
        <v>78</v>
      </c>
      <c r="N910" t="s">
        <v>79</v>
      </c>
      <c r="O910" t="s">
        <v>74</v>
      </c>
      <c r="P910" t="s">
        <v>74</v>
      </c>
      <c r="Q910" t="s">
        <v>74</v>
      </c>
      <c r="R910" t="s">
        <v>74</v>
      </c>
      <c r="S910" t="s">
        <v>74</v>
      </c>
      <c r="T910" t="s">
        <v>17171</v>
      </c>
      <c r="U910" t="s">
        <v>17172</v>
      </c>
      <c r="V910" t="s">
        <v>17173</v>
      </c>
      <c r="W910" t="s">
        <v>17174</v>
      </c>
      <c r="X910" t="s">
        <v>17175</v>
      </c>
      <c r="Y910" t="s">
        <v>17176</v>
      </c>
      <c r="Z910" t="s">
        <v>17177</v>
      </c>
      <c r="AA910" t="s">
        <v>74</v>
      </c>
      <c r="AB910" t="s">
        <v>74</v>
      </c>
      <c r="AC910" t="s">
        <v>17178</v>
      </c>
      <c r="AD910" t="s">
        <v>17179</v>
      </c>
      <c r="AE910" t="s">
        <v>17180</v>
      </c>
      <c r="AF910" t="s">
        <v>74</v>
      </c>
      <c r="AG910">
        <v>105</v>
      </c>
      <c r="AH910">
        <v>14</v>
      </c>
      <c r="AI910">
        <v>17</v>
      </c>
      <c r="AJ910">
        <v>47</v>
      </c>
      <c r="AK910">
        <v>154</v>
      </c>
      <c r="AL910" t="s">
        <v>123</v>
      </c>
      <c r="AM910" t="s">
        <v>124</v>
      </c>
      <c r="AN910" t="s">
        <v>125</v>
      </c>
      <c r="AO910" t="s">
        <v>3425</v>
      </c>
      <c r="AP910" t="s">
        <v>3426</v>
      </c>
      <c r="AQ910" t="s">
        <v>74</v>
      </c>
      <c r="AR910" t="s">
        <v>3427</v>
      </c>
      <c r="AS910" t="s">
        <v>3428</v>
      </c>
      <c r="AT910" t="s">
        <v>99</v>
      </c>
      <c r="AU910">
        <v>2024</v>
      </c>
      <c r="AV910">
        <v>160</v>
      </c>
      <c r="AW910" t="s">
        <v>74</v>
      </c>
      <c r="AX910" t="s">
        <v>74</v>
      </c>
      <c r="AY910" t="s">
        <v>74</v>
      </c>
      <c r="AZ910" t="s">
        <v>74</v>
      </c>
      <c r="BA910" t="s">
        <v>74</v>
      </c>
      <c r="BB910" t="s">
        <v>74</v>
      </c>
      <c r="BC910" t="s">
        <v>74</v>
      </c>
      <c r="BD910">
        <v>111875</v>
      </c>
      <c r="BE910" t="s">
        <v>17181</v>
      </c>
      <c r="BF910" t="str">
        <f>HYPERLINK("http://dx.doi.org/10.1016/j.ecolind.2024.111875","http://dx.doi.org/10.1016/j.ecolind.2024.111875")</f>
        <v>http://dx.doi.org/10.1016/j.ecolind.2024.111875</v>
      </c>
      <c r="BG910" t="s">
        <v>74</v>
      </c>
      <c r="BH910" t="s">
        <v>5349</v>
      </c>
      <c r="BI910">
        <v>14</v>
      </c>
      <c r="BJ910" t="s">
        <v>3430</v>
      </c>
      <c r="BK910" t="s">
        <v>102</v>
      </c>
      <c r="BL910" t="s">
        <v>756</v>
      </c>
      <c r="BM910" t="s">
        <v>17182</v>
      </c>
      <c r="BN910" t="s">
        <v>74</v>
      </c>
      <c r="BO910" t="s">
        <v>231</v>
      </c>
      <c r="BP910" t="s">
        <v>74</v>
      </c>
      <c r="BQ910" t="s">
        <v>74</v>
      </c>
      <c r="BR910" t="s">
        <v>106</v>
      </c>
      <c r="BS910" t="s">
        <v>17183</v>
      </c>
      <c r="BT910" t="str">
        <f>HYPERLINK("https%3A%2F%2Fwww.webofscience.com%2Fwos%2Fwoscc%2Ffull-record%2FWOS:001206401000001","View Full Record in Web of Science")</f>
        <v>View Full Record in Web of Science</v>
      </c>
    </row>
    <row r="911" spans="1:72" x14ac:dyDescent="0.2">
      <c r="A911" t="s">
        <v>72</v>
      </c>
      <c r="B911" t="s">
        <v>17184</v>
      </c>
      <c r="C911" t="s">
        <v>74</v>
      </c>
      <c r="D911" t="s">
        <v>74</v>
      </c>
      <c r="E911" t="s">
        <v>74</v>
      </c>
      <c r="F911" t="s">
        <v>17185</v>
      </c>
      <c r="G911" t="s">
        <v>74</v>
      </c>
      <c r="H911" t="s">
        <v>74</v>
      </c>
      <c r="I911" t="s">
        <v>17186</v>
      </c>
      <c r="J911" t="s">
        <v>1295</v>
      </c>
      <c r="K911" t="s">
        <v>74</v>
      </c>
      <c r="L911" t="s">
        <v>74</v>
      </c>
      <c r="M911" t="s">
        <v>78</v>
      </c>
      <c r="N911" t="s">
        <v>79</v>
      </c>
      <c r="O911" t="s">
        <v>74</v>
      </c>
      <c r="P911" t="s">
        <v>74</v>
      </c>
      <c r="Q911" t="s">
        <v>74</v>
      </c>
      <c r="R911" t="s">
        <v>74</v>
      </c>
      <c r="S911" t="s">
        <v>74</v>
      </c>
      <c r="T911" t="s">
        <v>17187</v>
      </c>
      <c r="U911" t="s">
        <v>17188</v>
      </c>
      <c r="V911" t="s">
        <v>17189</v>
      </c>
      <c r="W911" t="s">
        <v>17190</v>
      </c>
      <c r="X911" t="s">
        <v>17191</v>
      </c>
      <c r="Y911" t="s">
        <v>17192</v>
      </c>
      <c r="Z911" t="s">
        <v>17193</v>
      </c>
      <c r="AA911" t="s">
        <v>17194</v>
      </c>
      <c r="AB911" t="s">
        <v>17195</v>
      </c>
      <c r="AC911" t="s">
        <v>17196</v>
      </c>
      <c r="AD911" t="s">
        <v>17197</v>
      </c>
      <c r="AE911" t="s">
        <v>17198</v>
      </c>
      <c r="AF911" t="s">
        <v>74</v>
      </c>
      <c r="AG911">
        <v>60</v>
      </c>
      <c r="AH911">
        <v>37</v>
      </c>
      <c r="AI911">
        <v>43</v>
      </c>
      <c r="AJ911">
        <v>1</v>
      </c>
      <c r="AK911">
        <v>88</v>
      </c>
      <c r="AL911" t="s">
        <v>934</v>
      </c>
      <c r="AM911" t="s">
        <v>177</v>
      </c>
      <c r="AN911" t="s">
        <v>935</v>
      </c>
      <c r="AO911" t="s">
        <v>1308</v>
      </c>
      <c r="AP911" t="s">
        <v>1309</v>
      </c>
      <c r="AQ911" t="s">
        <v>74</v>
      </c>
      <c r="AR911" t="s">
        <v>1310</v>
      </c>
      <c r="AS911" t="s">
        <v>1311</v>
      </c>
      <c r="AT911" t="s">
        <v>636</v>
      </c>
      <c r="AU911">
        <v>2015</v>
      </c>
      <c r="AV911">
        <v>106</v>
      </c>
      <c r="AW911" t="s">
        <v>74</v>
      </c>
      <c r="AX911" t="s">
        <v>74</v>
      </c>
      <c r="AY911" t="s">
        <v>74</v>
      </c>
      <c r="AZ911" t="s">
        <v>74</v>
      </c>
      <c r="BA911" t="s">
        <v>74</v>
      </c>
      <c r="BB911">
        <v>262</v>
      </c>
      <c r="BC911">
        <v>277</v>
      </c>
      <c r="BD911" t="s">
        <v>74</v>
      </c>
      <c r="BE911" t="s">
        <v>17199</v>
      </c>
      <c r="BF911" t="str">
        <f>HYPERLINK("http://dx.doi.org/10.1016/j.atmosenv.2015.02.007","http://dx.doi.org/10.1016/j.atmosenv.2015.02.007")</f>
        <v>http://dx.doi.org/10.1016/j.atmosenv.2015.02.007</v>
      </c>
      <c r="BG911" t="s">
        <v>74</v>
      </c>
      <c r="BH911" t="s">
        <v>74</v>
      </c>
      <c r="BI911">
        <v>16</v>
      </c>
      <c r="BJ911" t="s">
        <v>782</v>
      </c>
      <c r="BK911" t="s">
        <v>102</v>
      </c>
      <c r="BL911" t="s">
        <v>783</v>
      </c>
      <c r="BM911" t="s">
        <v>17200</v>
      </c>
      <c r="BN911" t="s">
        <v>74</v>
      </c>
      <c r="BO911" t="s">
        <v>541</v>
      </c>
      <c r="BP911" t="s">
        <v>74</v>
      </c>
      <c r="BQ911" t="s">
        <v>74</v>
      </c>
      <c r="BR911" t="s">
        <v>106</v>
      </c>
      <c r="BS911" t="s">
        <v>17201</v>
      </c>
      <c r="BT911" t="str">
        <f>HYPERLINK("https%3A%2F%2Fwww.webofscience.com%2Fwos%2Fwoscc%2Ffull-record%2FWOS:000351966200026","View Full Record in Web of Science")</f>
        <v>View Full Record in Web of Science</v>
      </c>
    </row>
    <row r="912" spans="1:72" x14ac:dyDescent="0.2">
      <c r="A912" t="s">
        <v>72</v>
      </c>
      <c r="B912" t="s">
        <v>17202</v>
      </c>
      <c r="C912" t="s">
        <v>74</v>
      </c>
      <c r="D912" t="s">
        <v>74</v>
      </c>
      <c r="E912" t="s">
        <v>74</v>
      </c>
      <c r="F912" t="s">
        <v>17203</v>
      </c>
      <c r="G912" t="s">
        <v>74</v>
      </c>
      <c r="H912" t="s">
        <v>74</v>
      </c>
      <c r="I912" t="s">
        <v>17204</v>
      </c>
      <c r="J912" t="s">
        <v>995</v>
      </c>
      <c r="K912" t="s">
        <v>74</v>
      </c>
      <c r="L912" t="s">
        <v>74</v>
      </c>
      <c r="M912" t="s">
        <v>78</v>
      </c>
      <c r="N912" t="s">
        <v>79</v>
      </c>
      <c r="O912" t="s">
        <v>74</v>
      </c>
      <c r="P912" t="s">
        <v>74</v>
      </c>
      <c r="Q912" t="s">
        <v>74</v>
      </c>
      <c r="R912" t="s">
        <v>74</v>
      </c>
      <c r="S912" t="s">
        <v>74</v>
      </c>
      <c r="T912" t="s">
        <v>17205</v>
      </c>
      <c r="U912" t="s">
        <v>17206</v>
      </c>
      <c r="V912" t="s">
        <v>17207</v>
      </c>
      <c r="W912" t="s">
        <v>17208</v>
      </c>
      <c r="X912" t="s">
        <v>17209</v>
      </c>
      <c r="Y912" t="s">
        <v>17210</v>
      </c>
      <c r="Z912" t="s">
        <v>17211</v>
      </c>
      <c r="AA912" t="s">
        <v>74</v>
      </c>
      <c r="AB912" t="s">
        <v>17212</v>
      </c>
      <c r="AC912" t="s">
        <v>17213</v>
      </c>
      <c r="AD912" t="s">
        <v>17214</v>
      </c>
      <c r="AE912" t="s">
        <v>17215</v>
      </c>
      <c r="AF912" t="s">
        <v>74</v>
      </c>
      <c r="AG912">
        <v>106</v>
      </c>
      <c r="AH912">
        <v>7</v>
      </c>
      <c r="AI912">
        <v>9</v>
      </c>
      <c r="AJ912">
        <v>2</v>
      </c>
      <c r="AK912">
        <v>32</v>
      </c>
      <c r="AL912" t="s">
        <v>123</v>
      </c>
      <c r="AM912" t="s">
        <v>124</v>
      </c>
      <c r="AN912" t="s">
        <v>125</v>
      </c>
      <c r="AO912" t="s">
        <v>1008</v>
      </c>
      <c r="AP912" t="s">
        <v>1009</v>
      </c>
      <c r="AQ912" t="s">
        <v>74</v>
      </c>
      <c r="AR912" t="s">
        <v>1010</v>
      </c>
      <c r="AS912" t="s">
        <v>1011</v>
      </c>
      <c r="AT912" t="s">
        <v>15849</v>
      </c>
      <c r="AU912">
        <v>2023</v>
      </c>
      <c r="AV912">
        <v>905</v>
      </c>
      <c r="AW912" t="s">
        <v>74</v>
      </c>
      <c r="AX912" t="s">
        <v>74</v>
      </c>
      <c r="AY912" t="s">
        <v>74</v>
      </c>
      <c r="AZ912" t="s">
        <v>74</v>
      </c>
      <c r="BA912" t="s">
        <v>74</v>
      </c>
      <c r="BB912" t="s">
        <v>74</v>
      </c>
      <c r="BC912" t="s">
        <v>74</v>
      </c>
      <c r="BD912">
        <v>167300</v>
      </c>
      <c r="BE912" t="s">
        <v>17216</v>
      </c>
      <c r="BF912" t="str">
        <f>HYPERLINK("http://dx.doi.org/10.1016/j.scitotenv.2023.167300","http://dx.doi.org/10.1016/j.scitotenv.2023.167300")</f>
        <v>http://dx.doi.org/10.1016/j.scitotenv.2023.167300</v>
      </c>
      <c r="BG912" t="s">
        <v>74</v>
      </c>
      <c r="BH912" t="s">
        <v>1688</v>
      </c>
      <c r="BI912">
        <v>16</v>
      </c>
      <c r="BJ912" t="s">
        <v>567</v>
      </c>
      <c r="BK912" t="s">
        <v>102</v>
      </c>
      <c r="BL912" t="s">
        <v>568</v>
      </c>
      <c r="BM912" t="s">
        <v>17217</v>
      </c>
      <c r="BN912">
        <v>37742969</v>
      </c>
      <c r="BO912" t="s">
        <v>916</v>
      </c>
      <c r="BP912" t="s">
        <v>74</v>
      </c>
      <c r="BQ912" t="s">
        <v>74</v>
      </c>
      <c r="BR912" t="s">
        <v>106</v>
      </c>
      <c r="BS912" t="s">
        <v>17218</v>
      </c>
      <c r="BT912" t="str">
        <f>HYPERLINK("https%3A%2F%2Fwww.webofscience.com%2Fwos%2Fwoscc%2Ffull-record%2FWOS:001088703200001","View Full Record in Web of Science")</f>
        <v>View Full Record in Web of Science</v>
      </c>
    </row>
    <row r="913" spans="1:72" x14ac:dyDescent="0.2">
      <c r="A913" t="s">
        <v>72</v>
      </c>
      <c r="B913" t="s">
        <v>17219</v>
      </c>
      <c r="C913" t="s">
        <v>74</v>
      </c>
      <c r="D913" t="s">
        <v>74</v>
      </c>
      <c r="E913" t="s">
        <v>74</v>
      </c>
      <c r="F913" t="s">
        <v>17220</v>
      </c>
      <c r="G913" t="s">
        <v>74</v>
      </c>
      <c r="H913" t="s">
        <v>74</v>
      </c>
      <c r="I913" t="s">
        <v>17221</v>
      </c>
      <c r="J913" t="s">
        <v>347</v>
      </c>
      <c r="K913" t="s">
        <v>74</v>
      </c>
      <c r="L913" t="s">
        <v>74</v>
      </c>
      <c r="M913" t="s">
        <v>78</v>
      </c>
      <c r="N913" t="s">
        <v>79</v>
      </c>
      <c r="O913" t="s">
        <v>74</v>
      </c>
      <c r="P913" t="s">
        <v>74</v>
      </c>
      <c r="Q913" t="s">
        <v>74</v>
      </c>
      <c r="R913" t="s">
        <v>74</v>
      </c>
      <c r="S913" t="s">
        <v>74</v>
      </c>
      <c r="T913" t="s">
        <v>74</v>
      </c>
      <c r="U913" t="s">
        <v>17222</v>
      </c>
      <c r="V913" t="s">
        <v>17223</v>
      </c>
      <c r="W913" t="s">
        <v>17224</v>
      </c>
      <c r="X913" t="s">
        <v>17225</v>
      </c>
      <c r="Y913" t="s">
        <v>17226</v>
      </c>
      <c r="Z913" t="s">
        <v>17227</v>
      </c>
      <c r="AA913" t="s">
        <v>17228</v>
      </c>
      <c r="AB913" t="s">
        <v>17229</v>
      </c>
      <c r="AC913" t="s">
        <v>17230</v>
      </c>
      <c r="AD913" t="s">
        <v>17231</v>
      </c>
      <c r="AE913" t="s">
        <v>17232</v>
      </c>
      <c r="AF913" t="s">
        <v>74</v>
      </c>
      <c r="AG913">
        <v>49</v>
      </c>
      <c r="AH913">
        <v>369</v>
      </c>
      <c r="AI913">
        <v>429</v>
      </c>
      <c r="AJ913">
        <v>3</v>
      </c>
      <c r="AK913">
        <v>176</v>
      </c>
      <c r="AL913" t="s">
        <v>274</v>
      </c>
      <c r="AM913" t="s">
        <v>275</v>
      </c>
      <c r="AN913" t="s">
        <v>276</v>
      </c>
      <c r="AO913" t="s">
        <v>357</v>
      </c>
      <c r="AP913" t="s">
        <v>74</v>
      </c>
      <c r="AQ913" t="s">
        <v>74</v>
      </c>
      <c r="AR913" t="s">
        <v>358</v>
      </c>
      <c r="AS913" t="s">
        <v>359</v>
      </c>
      <c r="AT913" t="s">
        <v>3826</v>
      </c>
      <c r="AU913">
        <v>2016</v>
      </c>
      <c r="AV913">
        <v>6</v>
      </c>
      <c r="AW913" t="s">
        <v>74</v>
      </c>
      <c r="AX913" t="s">
        <v>74</v>
      </c>
      <c r="AY913" t="s">
        <v>74</v>
      </c>
      <c r="AZ913" t="s">
        <v>74</v>
      </c>
      <c r="BA913" t="s">
        <v>74</v>
      </c>
      <c r="BB913" t="s">
        <v>74</v>
      </c>
      <c r="BC913" t="s">
        <v>74</v>
      </c>
      <c r="BD913">
        <v>29987</v>
      </c>
      <c r="BE913" t="s">
        <v>17233</v>
      </c>
      <c r="BF913" t="str">
        <f>HYPERLINK("http://dx.doi.org/10.1038/srep29987","http://dx.doi.org/10.1038/srep29987")</f>
        <v>http://dx.doi.org/10.1038/srep29987</v>
      </c>
      <c r="BG913" t="s">
        <v>74</v>
      </c>
      <c r="BH913" t="s">
        <v>74</v>
      </c>
      <c r="BI913">
        <v>12</v>
      </c>
      <c r="BJ913" t="s">
        <v>158</v>
      </c>
      <c r="BK913" t="s">
        <v>102</v>
      </c>
      <c r="BL913" t="s">
        <v>159</v>
      </c>
      <c r="BM913" t="s">
        <v>17234</v>
      </c>
      <c r="BN913">
        <v>27435095</v>
      </c>
      <c r="BO913" t="s">
        <v>161</v>
      </c>
      <c r="BP913" t="s">
        <v>4815</v>
      </c>
      <c r="BQ913" t="s">
        <v>4816</v>
      </c>
      <c r="BR913" t="s">
        <v>106</v>
      </c>
      <c r="BS913" t="s">
        <v>17235</v>
      </c>
      <c r="BT913" t="str">
        <f>HYPERLINK("https%3A%2F%2Fwww.webofscience.com%2Fwos%2Fwoscc%2Ffull-record%2FWOS:000379919600001","View Full Record in Web of Science")</f>
        <v>View Full Record in Web of Science</v>
      </c>
    </row>
    <row r="914" spans="1:72" x14ac:dyDescent="0.2">
      <c r="A914" t="s">
        <v>72</v>
      </c>
      <c r="B914" t="s">
        <v>17236</v>
      </c>
      <c r="C914" t="s">
        <v>74</v>
      </c>
      <c r="D914" t="s">
        <v>74</v>
      </c>
      <c r="E914" t="s">
        <v>74</v>
      </c>
      <c r="F914" t="s">
        <v>17237</v>
      </c>
      <c r="G914" t="s">
        <v>74</v>
      </c>
      <c r="H914" t="s">
        <v>74</v>
      </c>
      <c r="I914" t="s">
        <v>17238</v>
      </c>
      <c r="J914" t="s">
        <v>468</v>
      </c>
      <c r="K914" t="s">
        <v>74</v>
      </c>
      <c r="L914" t="s">
        <v>74</v>
      </c>
      <c r="M914" t="s">
        <v>78</v>
      </c>
      <c r="N914" t="s">
        <v>79</v>
      </c>
      <c r="O914" t="s">
        <v>74</v>
      </c>
      <c r="P914" t="s">
        <v>74</v>
      </c>
      <c r="Q914" t="s">
        <v>74</v>
      </c>
      <c r="R914" t="s">
        <v>74</v>
      </c>
      <c r="S914" t="s">
        <v>74</v>
      </c>
      <c r="T914" t="s">
        <v>17239</v>
      </c>
      <c r="U914" t="s">
        <v>17240</v>
      </c>
      <c r="V914" t="s">
        <v>17241</v>
      </c>
      <c r="W914" t="s">
        <v>17242</v>
      </c>
      <c r="X914" t="s">
        <v>17243</v>
      </c>
      <c r="Y914" t="s">
        <v>17244</v>
      </c>
      <c r="Z914" t="s">
        <v>17245</v>
      </c>
      <c r="AA914" t="s">
        <v>74</v>
      </c>
      <c r="AB914" t="s">
        <v>74</v>
      </c>
      <c r="AC914" t="s">
        <v>17246</v>
      </c>
      <c r="AD914" t="s">
        <v>17247</v>
      </c>
      <c r="AE914" t="s">
        <v>17248</v>
      </c>
      <c r="AF914" t="s">
        <v>74</v>
      </c>
      <c r="AG914">
        <v>59</v>
      </c>
      <c r="AH914">
        <v>0</v>
      </c>
      <c r="AI914">
        <v>0</v>
      </c>
      <c r="AJ914">
        <v>4</v>
      </c>
      <c r="AK914">
        <v>4</v>
      </c>
      <c r="AL914" t="s">
        <v>222</v>
      </c>
      <c r="AM914" t="s">
        <v>223</v>
      </c>
      <c r="AN914" t="s">
        <v>478</v>
      </c>
      <c r="AO914" t="s">
        <v>74</v>
      </c>
      <c r="AP914" t="s">
        <v>479</v>
      </c>
      <c r="AQ914" t="s">
        <v>74</v>
      </c>
      <c r="AR914" t="s">
        <v>480</v>
      </c>
      <c r="AS914" t="s">
        <v>481</v>
      </c>
      <c r="AT914" t="s">
        <v>17249</v>
      </c>
      <c r="AU914">
        <v>2025</v>
      </c>
      <c r="AV914">
        <v>17</v>
      </c>
      <c r="AW914">
        <v>21</v>
      </c>
      <c r="AX914" t="s">
        <v>74</v>
      </c>
      <c r="AY914" t="s">
        <v>74</v>
      </c>
      <c r="AZ914" t="s">
        <v>74</v>
      </c>
      <c r="BA914" t="s">
        <v>74</v>
      </c>
      <c r="BB914" t="s">
        <v>74</v>
      </c>
      <c r="BC914" t="s">
        <v>74</v>
      </c>
      <c r="BD914">
        <v>9369</v>
      </c>
      <c r="BE914" t="s">
        <v>17250</v>
      </c>
      <c r="BF914" t="str">
        <f>HYPERLINK("http://dx.doi.org/10.3390/su17219369","http://dx.doi.org/10.3390/su17219369")</f>
        <v>http://dx.doi.org/10.3390/su17219369</v>
      </c>
      <c r="BG914" t="s">
        <v>74</v>
      </c>
      <c r="BH914" t="s">
        <v>74</v>
      </c>
      <c r="BI914">
        <v>21</v>
      </c>
      <c r="BJ914" t="s">
        <v>484</v>
      </c>
      <c r="BK914" t="s">
        <v>186</v>
      </c>
      <c r="BL914" t="s">
        <v>485</v>
      </c>
      <c r="BM914" t="s">
        <v>17251</v>
      </c>
      <c r="BN914" t="s">
        <v>74</v>
      </c>
      <c r="BO914" t="s">
        <v>231</v>
      </c>
      <c r="BP914" t="s">
        <v>74</v>
      </c>
      <c r="BQ914" t="s">
        <v>74</v>
      </c>
      <c r="BR914" t="s">
        <v>106</v>
      </c>
      <c r="BS914" t="s">
        <v>17252</v>
      </c>
      <c r="BT914" t="str">
        <f>HYPERLINK("https%3A%2F%2Fwww.webofscience.com%2Fwos%2Fwoscc%2Ffull-record%2FWOS:001613145500001","View Full Record in Web of Science")</f>
        <v>View Full Record in Web of Science</v>
      </c>
    </row>
    <row r="915" spans="1:72" x14ac:dyDescent="0.2">
      <c r="A915" t="s">
        <v>72</v>
      </c>
      <c r="B915" t="s">
        <v>17253</v>
      </c>
      <c r="C915" t="s">
        <v>74</v>
      </c>
      <c r="D915" t="s">
        <v>74</v>
      </c>
      <c r="E915" t="s">
        <v>74</v>
      </c>
      <c r="F915" t="s">
        <v>17254</v>
      </c>
      <c r="G915" t="s">
        <v>74</v>
      </c>
      <c r="H915" t="s">
        <v>74</v>
      </c>
      <c r="I915" t="s">
        <v>17255</v>
      </c>
      <c r="J915" t="s">
        <v>995</v>
      </c>
      <c r="K915" t="s">
        <v>74</v>
      </c>
      <c r="L915" t="s">
        <v>74</v>
      </c>
      <c r="M915" t="s">
        <v>78</v>
      </c>
      <c r="N915" t="s">
        <v>79</v>
      </c>
      <c r="O915" t="s">
        <v>74</v>
      </c>
      <c r="P915" t="s">
        <v>74</v>
      </c>
      <c r="Q915" t="s">
        <v>74</v>
      </c>
      <c r="R915" t="s">
        <v>74</v>
      </c>
      <c r="S915" t="s">
        <v>74</v>
      </c>
      <c r="T915" t="s">
        <v>17256</v>
      </c>
      <c r="U915" t="s">
        <v>17257</v>
      </c>
      <c r="V915" t="s">
        <v>17258</v>
      </c>
      <c r="W915" t="s">
        <v>17259</v>
      </c>
      <c r="X915" t="s">
        <v>17260</v>
      </c>
      <c r="Y915" t="s">
        <v>17261</v>
      </c>
      <c r="Z915" t="s">
        <v>17262</v>
      </c>
      <c r="AA915" t="s">
        <v>17263</v>
      </c>
      <c r="AB915" t="s">
        <v>17264</v>
      </c>
      <c r="AC915" t="s">
        <v>17265</v>
      </c>
      <c r="AD915" t="s">
        <v>17266</v>
      </c>
      <c r="AE915" t="s">
        <v>17267</v>
      </c>
      <c r="AF915" t="s">
        <v>74</v>
      </c>
      <c r="AG915">
        <v>79</v>
      </c>
      <c r="AH915">
        <v>69</v>
      </c>
      <c r="AI915">
        <v>74</v>
      </c>
      <c r="AJ915">
        <v>3</v>
      </c>
      <c r="AK915">
        <v>33</v>
      </c>
      <c r="AL915" t="s">
        <v>123</v>
      </c>
      <c r="AM915" t="s">
        <v>124</v>
      </c>
      <c r="AN915" t="s">
        <v>125</v>
      </c>
      <c r="AO915" t="s">
        <v>1008</v>
      </c>
      <c r="AP915" t="s">
        <v>1009</v>
      </c>
      <c r="AQ915" t="s">
        <v>74</v>
      </c>
      <c r="AR915" t="s">
        <v>1010</v>
      </c>
      <c r="AS915" t="s">
        <v>1011</v>
      </c>
      <c r="AT915" t="s">
        <v>1612</v>
      </c>
      <c r="AU915">
        <v>2016</v>
      </c>
      <c r="AV915">
        <v>566</v>
      </c>
      <c r="AW915" t="s">
        <v>74</v>
      </c>
      <c r="AX915" t="s">
        <v>74</v>
      </c>
      <c r="AY915" t="s">
        <v>74</v>
      </c>
      <c r="AZ915" t="s">
        <v>74</v>
      </c>
      <c r="BA915" t="s">
        <v>74</v>
      </c>
      <c r="BB915">
        <v>428</v>
      </c>
      <c r="BC915">
        <v>435</v>
      </c>
      <c r="BD915" t="s">
        <v>74</v>
      </c>
      <c r="BE915" t="s">
        <v>17268</v>
      </c>
      <c r="BF915" t="str">
        <f>HYPERLINK("http://dx.doi.org/10.1016/j.scitotenv.2016.05.067","http://dx.doi.org/10.1016/j.scitotenv.2016.05.067")</f>
        <v>http://dx.doi.org/10.1016/j.scitotenv.2016.05.067</v>
      </c>
      <c r="BG915" t="s">
        <v>74</v>
      </c>
      <c r="BH915" t="s">
        <v>74</v>
      </c>
      <c r="BI915">
        <v>8</v>
      </c>
      <c r="BJ915" t="s">
        <v>567</v>
      </c>
      <c r="BK915" t="s">
        <v>102</v>
      </c>
      <c r="BL915" t="s">
        <v>568</v>
      </c>
      <c r="BM915" t="s">
        <v>17269</v>
      </c>
      <c r="BN915">
        <v>27232969</v>
      </c>
      <c r="BO915" t="s">
        <v>74</v>
      </c>
      <c r="BP915" t="s">
        <v>74</v>
      </c>
      <c r="BQ915" t="s">
        <v>74</v>
      </c>
      <c r="BR915" t="s">
        <v>106</v>
      </c>
      <c r="BS915" t="s">
        <v>17270</v>
      </c>
      <c r="BT915" t="str">
        <f>HYPERLINK("https%3A%2F%2Fwww.webofscience.com%2Fwos%2Fwoscc%2Ffull-record%2FWOS:000381060900044","View Full Record in Web of Science")</f>
        <v>View Full Record in Web of Science</v>
      </c>
    </row>
    <row r="916" spans="1:72" x14ac:dyDescent="0.2">
      <c r="A916" t="s">
        <v>72</v>
      </c>
      <c r="B916" t="s">
        <v>17271</v>
      </c>
      <c r="C916" t="s">
        <v>74</v>
      </c>
      <c r="D916" t="s">
        <v>74</v>
      </c>
      <c r="E916" t="s">
        <v>74</v>
      </c>
      <c r="F916" t="s">
        <v>17272</v>
      </c>
      <c r="G916" t="s">
        <v>74</v>
      </c>
      <c r="H916" t="s">
        <v>74</v>
      </c>
      <c r="I916" t="s">
        <v>17273</v>
      </c>
      <c r="J916" t="s">
        <v>17274</v>
      </c>
      <c r="K916" t="s">
        <v>74</v>
      </c>
      <c r="L916" t="s">
        <v>74</v>
      </c>
      <c r="M916" t="s">
        <v>78</v>
      </c>
      <c r="N916" t="s">
        <v>79</v>
      </c>
      <c r="O916" t="s">
        <v>74</v>
      </c>
      <c r="P916" t="s">
        <v>74</v>
      </c>
      <c r="Q916" t="s">
        <v>74</v>
      </c>
      <c r="R916" t="s">
        <v>74</v>
      </c>
      <c r="S916" t="s">
        <v>74</v>
      </c>
      <c r="T916" t="s">
        <v>17275</v>
      </c>
      <c r="U916" t="s">
        <v>17276</v>
      </c>
      <c r="V916" t="s">
        <v>17277</v>
      </c>
      <c r="W916" t="s">
        <v>17278</v>
      </c>
      <c r="X916" t="s">
        <v>17279</v>
      </c>
      <c r="Y916" t="s">
        <v>17280</v>
      </c>
      <c r="Z916" t="s">
        <v>17281</v>
      </c>
      <c r="AA916" t="s">
        <v>17282</v>
      </c>
      <c r="AB916" t="s">
        <v>17283</v>
      </c>
      <c r="AC916" t="s">
        <v>17284</v>
      </c>
      <c r="AD916" t="s">
        <v>17285</v>
      </c>
      <c r="AE916" t="s">
        <v>17286</v>
      </c>
      <c r="AF916" t="s">
        <v>74</v>
      </c>
      <c r="AG916">
        <v>68</v>
      </c>
      <c r="AH916">
        <v>0</v>
      </c>
      <c r="AI916">
        <v>0</v>
      </c>
      <c r="AJ916">
        <v>1</v>
      </c>
      <c r="AK916">
        <v>1</v>
      </c>
      <c r="AL916" t="s">
        <v>123</v>
      </c>
      <c r="AM916" t="s">
        <v>124</v>
      </c>
      <c r="AN916" t="s">
        <v>125</v>
      </c>
      <c r="AO916" t="s">
        <v>17287</v>
      </c>
      <c r="AP916" t="s">
        <v>74</v>
      </c>
      <c r="AQ916" t="s">
        <v>74</v>
      </c>
      <c r="AR916" t="s">
        <v>17288</v>
      </c>
      <c r="AS916" t="s">
        <v>17289</v>
      </c>
      <c r="AT916" t="s">
        <v>1963</v>
      </c>
      <c r="AU916">
        <v>2025</v>
      </c>
      <c r="AV916">
        <v>65</v>
      </c>
      <c r="AW916" t="s">
        <v>74</v>
      </c>
      <c r="AX916" t="s">
        <v>74</v>
      </c>
      <c r="AY916" t="s">
        <v>74</v>
      </c>
      <c r="AZ916" t="s">
        <v>74</v>
      </c>
      <c r="BA916" t="s">
        <v>74</v>
      </c>
      <c r="BB916" t="s">
        <v>74</v>
      </c>
      <c r="BC916" t="s">
        <v>74</v>
      </c>
      <c r="BD916">
        <v>103927</v>
      </c>
      <c r="BE916" t="s">
        <v>17290</v>
      </c>
      <c r="BF916" t="str">
        <f>HYPERLINK("http://dx.doi.org/10.1016/j.tsep.2025.103927","http://dx.doi.org/10.1016/j.tsep.2025.103927")</f>
        <v>http://dx.doi.org/10.1016/j.tsep.2025.103927</v>
      </c>
      <c r="BG916" t="s">
        <v>74</v>
      </c>
      <c r="BH916" t="s">
        <v>513</v>
      </c>
      <c r="BI916">
        <v>12</v>
      </c>
      <c r="BJ916" t="s">
        <v>17291</v>
      </c>
      <c r="BK916" t="s">
        <v>102</v>
      </c>
      <c r="BL916" t="s">
        <v>17292</v>
      </c>
      <c r="BM916" t="s">
        <v>17293</v>
      </c>
      <c r="BN916" t="s">
        <v>74</v>
      </c>
      <c r="BO916" t="s">
        <v>74</v>
      </c>
      <c r="BP916" t="s">
        <v>74</v>
      </c>
      <c r="BQ916" t="s">
        <v>74</v>
      </c>
      <c r="BR916" t="s">
        <v>106</v>
      </c>
      <c r="BS916" t="s">
        <v>17294</v>
      </c>
      <c r="BT916" t="str">
        <f>HYPERLINK("https%3A%2F%2Fwww.webofscience.com%2Fwos%2Fwoscc%2Ffull-record%2FWOS:001545893000001","View Full Record in Web of Science")</f>
        <v>View Full Record in Web of Science</v>
      </c>
    </row>
    <row r="917" spans="1:72" x14ac:dyDescent="0.2">
      <c r="A917" t="s">
        <v>72</v>
      </c>
      <c r="B917" t="s">
        <v>17295</v>
      </c>
      <c r="C917" t="s">
        <v>74</v>
      </c>
      <c r="D917" t="s">
        <v>74</v>
      </c>
      <c r="E917" t="s">
        <v>74</v>
      </c>
      <c r="F917" t="s">
        <v>17296</v>
      </c>
      <c r="G917" t="s">
        <v>74</v>
      </c>
      <c r="H917" t="s">
        <v>74</v>
      </c>
      <c r="I917" t="s">
        <v>17297</v>
      </c>
      <c r="J917" t="s">
        <v>3061</v>
      </c>
      <c r="K917" t="s">
        <v>74</v>
      </c>
      <c r="L917" t="s">
        <v>74</v>
      </c>
      <c r="M917" t="s">
        <v>78</v>
      </c>
      <c r="N917" t="s">
        <v>79</v>
      </c>
      <c r="O917" t="s">
        <v>74</v>
      </c>
      <c r="P917" t="s">
        <v>74</v>
      </c>
      <c r="Q917" t="s">
        <v>74</v>
      </c>
      <c r="R917" t="s">
        <v>74</v>
      </c>
      <c r="S917" t="s">
        <v>74</v>
      </c>
      <c r="T917" t="s">
        <v>17298</v>
      </c>
      <c r="U917" t="s">
        <v>74</v>
      </c>
      <c r="V917" t="s">
        <v>17299</v>
      </c>
      <c r="W917" t="s">
        <v>17300</v>
      </c>
      <c r="X917" t="s">
        <v>17301</v>
      </c>
      <c r="Y917" t="s">
        <v>17302</v>
      </c>
      <c r="Z917" t="s">
        <v>17303</v>
      </c>
      <c r="AA917" t="s">
        <v>17304</v>
      </c>
      <c r="AB917" t="s">
        <v>17305</v>
      </c>
      <c r="AC917" t="s">
        <v>17306</v>
      </c>
      <c r="AD917" t="s">
        <v>17307</v>
      </c>
      <c r="AE917" t="s">
        <v>17308</v>
      </c>
      <c r="AF917" t="s">
        <v>74</v>
      </c>
      <c r="AG917">
        <v>40</v>
      </c>
      <c r="AH917">
        <v>16</v>
      </c>
      <c r="AI917">
        <v>17</v>
      </c>
      <c r="AJ917">
        <v>2</v>
      </c>
      <c r="AK917">
        <v>43</v>
      </c>
      <c r="AL917" t="s">
        <v>123</v>
      </c>
      <c r="AM917" t="s">
        <v>124</v>
      </c>
      <c r="AN917" t="s">
        <v>125</v>
      </c>
      <c r="AO917" t="s">
        <v>3074</v>
      </c>
      <c r="AP917" t="s">
        <v>3075</v>
      </c>
      <c r="AQ917" t="s">
        <v>74</v>
      </c>
      <c r="AR917" t="s">
        <v>3061</v>
      </c>
      <c r="AS917" t="s">
        <v>3076</v>
      </c>
      <c r="AT917" t="s">
        <v>5933</v>
      </c>
      <c r="AU917">
        <v>2021</v>
      </c>
      <c r="AV917">
        <v>386</v>
      </c>
      <c r="AW917" t="s">
        <v>74</v>
      </c>
      <c r="AX917" t="s">
        <v>74</v>
      </c>
      <c r="AY917" t="s">
        <v>74</v>
      </c>
      <c r="AZ917" t="s">
        <v>74</v>
      </c>
      <c r="BA917" t="s">
        <v>74</v>
      </c>
      <c r="BB917" t="s">
        <v>74</v>
      </c>
      <c r="BC917" t="s">
        <v>74</v>
      </c>
      <c r="BD917">
        <v>114920</v>
      </c>
      <c r="BE917" t="s">
        <v>17309</v>
      </c>
      <c r="BF917" t="str">
        <f>HYPERLINK("http://dx.doi.org/10.1016/j.geoderma.2020.114920","http://dx.doi.org/10.1016/j.geoderma.2020.114920")</f>
        <v>http://dx.doi.org/10.1016/j.geoderma.2020.114920</v>
      </c>
      <c r="BG917" t="s">
        <v>74</v>
      </c>
      <c r="BH917" t="s">
        <v>9918</v>
      </c>
      <c r="BI917">
        <v>11</v>
      </c>
      <c r="BJ917" t="s">
        <v>256</v>
      </c>
      <c r="BK917" t="s">
        <v>102</v>
      </c>
      <c r="BL917" t="s">
        <v>103</v>
      </c>
      <c r="BM917" t="s">
        <v>17310</v>
      </c>
      <c r="BN917" t="s">
        <v>74</v>
      </c>
      <c r="BO917" t="s">
        <v>74</v>
      </c>
      <c r="BP917" t="s">
        <v>74</v>
      </c>
      <c r="BQ917" t="s">
        <v>74</v>
      </c>
      <c r="BR917" t="s">
        <v>106</v>
      </c>
      <c r="BS917" t="s">
        <v>17311</v>
      </c>
      <c r="BT917" t="str">
        <f>HYPERLINK("https%3A%2F%2Fwww.webofscience.com%2Fwos%2Fwoscc%2Ffull-record%2FWOS:000613923000014","View Full Record in Web of Science")</f>
        <v>View Full Record in Web of Science</v>
      </c>
    </row>
    <row r="918" spans="1:72" x14ac:dyDescent="0.2">
      <c r="A918" t="s">
        <v>72</v>
      </c>
      <c r="B918" t="s">
        <v>17312</v>
      </c>
      <c r="C918" t="s">
        <v>74</v>
      </c>
      <c r="D918" t="s">
        <v>74</v>
      </c>
      <c r="E918" t="s">
        <v>74</v>
      </c>
      <c r="F918" t="s">
        <v>17313</v>
      </c>
      <c r="G918" t="s">
        <v>74</v>
      </c>
      <c r="H918" t="s">
        <v>74</v>
      </c>
      <c r="I918" t="s">
        <v>17314</v>
      </c>
      <c r="J918" t="s">
        <v>138</v>
      </c>
      <c r="K918" t="s">
        <v>74</v>
      </c>
      <c r="L918" t="s">
        <v>74</v>
      </c>
      <c r="M918" t="s">
        <v>78</v>
      </c>
      <c r="N918" t="s">
        <v>79</v>
      </c>
      <c r="O918" t="s">
        <v>74</v>
      </c>
      <c r="P918" t="s">
        <v>74</v>
      </c>
      <c r="Q918" t="s">
        <v>74</v>
      </c>
      <c r="R918" t="s">
        <v>74</v>
      </c>
      <c r="S918" t="s">
        <v>74</v>
      </c>
      <c r="T918" t="s">
        <v>74</v>
      </c>
      <c r="U918" t="s">
        <v>17315</v>
      </c>
      <c r="V918" t="s">
        <v>17316</v>
      </c>
      <c r="W918" t="s">
        <v>17317</v>
      </c>
      <c r="X918" t="s">
        <v>17318</v>
      </c>
      <c r="Y918" t="s">
        <v>17319</v>
      </c>
      <c r="Z918" t="s">
        <v>17320</v>
      </c>
      <c r="AA918" t="s">
        <v>74</v>
      </c>
      <c r="AB918" t="s">
        <v>17321</v>
      </c>
      <c r="AC918" t="s">
        <v>74</v>
      </c>
      <c r="AD918" t="s">
        <v>74</v>
      </c>
      <c r="AE918" t="s">
        <v>74</v>
      </c>
      <c r="AF918" t="s">
        <v>74</v>
      </c>
      <c r="AG918">
        <v>44</v>
      </c>
      <c r="AH918">
        <v>4</v>
      </c>
      <c r="AI918">
        <v>4</v>
      </c>
      <c r="AJ918">
        <v>2</v>
      </c>
      <c r="AK918">
        <v>19</v>
      </c>
      <c r="AL918" t="s">
        <v>150</v>
      </c>
      <c r="AM918" t="s">
        <v>151</v>
      </c>
      <c r="AN918" t="s">
        <v>152</v>
      </c>
      <c r="AO918" t="s">
        <v>153</v>
      </c>
      <c r="AP918" t="s">
        <v>74</v>
      </c>
      <c r="AQ918" t="s">
        <v>74</v>
      </c>
      <c r="AR918" t="s">
        <v>138</v>
      </c>
      <c r="AS918" t="s">
        <v>154</v>
      </c>
      <c r="AT918" t="s">
        <v>17322</v>
      </c>
      <c r="AU918">
        <v>2024</v>
      </c>
      <c r="AV918">
        <v>19</v>
      </c>
      <c r="AW918">
        <v>7</v>
      </c>
      <c r="AX918" t="s">
        <v>74</v>
      </c>
      <c r="AY918" t="s">
        <v>74</v>
      </c>
      <c r="AZ918" t="s">
        <v>74</v>
      </c>
      <c r="BA918" t="s">
        <v>74</v>
      </c>
      <c r="BB918" t="s">
        <v>74</v>
      </c>
      <c r="BC918" t="s">
        <v>74</v>
      </c>
      <c r="BD918" t="s">
        <v>17323</v>
      </c>
      <c r="BE918" t="s">
        <v>17324</v>
      </c>
      <c r="BF918" t="str">
        <f>HYPERLINK("http://dx.doi.org/10.1371/journal.pone.0305530","http://dx.doi.org/10.1371/journal.pone.0305530")</f>
        <v>http://dx.doi.org/10.1371/journal.pone.0305530</v>
      </c>
      <c r="BG918" t="s">
        <v>74</v>
      </c>
      <c r="BH918" t="s">
        <v>74</v>
      </c>
      <c r="BI918">
        <v>21</v>
      </c>
      <c r="BJ918" t="s">
        <v>158</v>
      </c>
      <c r="BK918" t="s">
        <v>102</v>
      </c>
      <c r="BL918" t="s">
        <v>159</v>
      </c>
      <c r="BM918" t="s">
        <v>17325</v>
      </c>
      <c r="BN918">
        <v>39024219</v>
      </c>
      <c r="BO918" t="s">
        <v>161</v>
      </c>
      <c r="BP918" t="s">
        <v>74</v>
      </c>
      <c r="BQ918" t="s">
        <v>74</v>
      </c>
      <c r="BR918" t="s">
        <v>106</v>
      </c>
      <c r="BS918" t="s">
        <v>17326</v>
      </c>
      <c r="BT918" t="str">
        <f>HYPERLINK("https%3A%2F%2Fwww.webofscience.com%2Fwos%2Fwoscc%2Ffull-record%2FWOS:001273249400074","View Full Record in Web of Science")</f>
        <v>View Full Record in Web of Science</v>
      </c>
    </row>
    <row r="919" spans="1:72" x14ac:dyDescent="0.2">
      <c r="A919" t="s">
        <v>72</v>
      </c>
      <c r="B919" t="s">
        <v>17327</v>
      </c>
      <c r="C919" t="s">
        <v>74</v>
      </c>
      <c r="D919" t="s">
        <v>74</v>
      </c>
      <c r="E919" t="s">
        <v>74</v>
      </c>
      <c r="F919" t="s">
        <v>17328</v>
      </c>
      <c r="G919" t="s">
        <v>74</v>
      </c>
      <c r="H919" t="s">
        <v>74</v>
      </c>
      <c r="I919" t="s">
        <v>17329</v>
      </c>
      <c r="J919" t="s">
        <v>17330</v>
      </c>
      <c r="K919" t="s">
        <v>74</v>
      </c>
      <c r="L919" t="s">
        <v>74</v>
      </c>
      <c r="M919" t="s">
        <v>78</v>
      </c>
      <c r="N919" t="s">
        <v>2506</v>
      </c>
      <c r="O919" t="s">
        <v>74</v>
      </c>
      <c r="P919" t="s">
        <v>74</v>
      </c>
      <c r="Q919" t="s">
        <v>74</v>
      </c>
      <c r="R919" t="s">
        <v>74</v>
      </c>
      <c r="S919" t="s">
        <v>74</v>
      </c>
      <c r="T919" t="s">
        <v>17331</v>
      </c>
      <c r="U919" t="s">
        <v>17332</v>
      </c>
      <c r="V919" t="s">
        <v>17333</v>
      </c>
      <c r="W919" t="s">
        <v>17334</v>
      </c>
      <c r="X919" t="s">
        <v>17335</v>
      </c>
      <c r="Y919" t="s">
        <v>17336</v>
      </c>
      <c r="Z919" t="s">
        <v>17337</v>
      </c>
      <c r="AA919" t="s">
        <v>17338</v>
      </c>
      <c r="AB919" t="s">
        <v>17339</v>
      </c>
      <c r="AC919" t="s">
        <v>17340</v>
      </c>
      <c r="AD919" t="s">
        <v>17341</v>
      </c>
      <c r="AE919" t="s">
        <v>17342</v>
      </c>
      <c r="AF919" t="s">
        <v>74</v>
      </c>
      <c r="AG919">
        <v>154</v>
      </c>
      <c r="AH919">
        <v>47</v>
      </c>
      <c r="AI919">
        <v>52</v>
      </c>
      <c r="AJ919">
        <v>17</v>
      </c>
      <c r="AK919">
        <v>83</v>
      </c>
      <c r="AL919" t="s">
        <v>123</v>
      </c>
      <c r="AM919" t="s">
        <v>124</v>
      </c>
      <c r="AN919" t="s">
        <v>125</v>
      </c>
      <c r="AO919" t="s">
        <v>17343</v>
      </c>
      <c r="AP919" t="s">
        <v>17344</v>
      </c>
      <c r="AQ919" t="s">
        <v>74</v>
      </c>
      <c r="AR919" t="s">
        <v>17345</v>
      </c>
      <c r="AS919" t="s">
        <v>17346</v>
      </c>
      <c r="AT919" t="s">
        <v>6996</v>
      </c>
      <c r="AU919">
        <v>2024</v>
      </c>
      <c r="AV919">
        <v>97</v>
      </c>
      <c r="AW919" t="s">
        <v>74</v>
      </c>
      <c r="AX919" t="s">
        <v>4712</v>
      </c>
      <c r="AY919" t="s">
        <v>74</v>
      </c>
      <c r="AZ919" t="s">
        <v>74</v>
      </c>
      <c r="BA919" t="s">
        <v>74</v>
      </c>
      <c r="BB919" t="s">
        <v>74</v>
      </c>
      <c r="BC919" t="s">
        <v>74</v>
      </c>
      <c r="BD919">
        <v>112878</v>
      </c>
      <c r="BE919" t="s">
        <v>17347</v>
      </c>
      <c r="BF919" t="str">
        <f>HYPERLINK("http://dx.doi.org/10.1016/j.est.2024.112878","http://dx.doi.org/10.1016/j.est.2024.112878")</f>
        <v>http://dx.doi.org/10.1016/j.est.2024.112878</v>
      </c>
      <c r="BG919" t="s">
        <v>74</v>
      </c>
      <c r="BH919" t="s">
        <v>4174</v>
      </c>
      <c r="BI919">
        <v>24</v>
      </c>
      <c r="BJ919" t="s">
        <v>229</v>
      </c>
      <c r="BK919" t="s">
        <v>102</v>
      </c>
      <c r="BL919" t="s">
        <v>229</v>
      </c>
      <c r="BM919" t="s">
        <v>17348</v>
      </c>
      <c r="BN919" t="s">
        <v>74</v>
      </c>
      <c r="BO919" t="s">
        <v>74</v>
      </c>
      <c r="BP919" t="s">
        <v>74</v>
      </c>
      <c r="BQ919" t="s">
        <v>74</v>
      </c>
      <c r="BR919" t="s">
        <v>106</v>
      </c>
      <c r="BS919" t="s">
        <v>17349</v>
      </c>
      <c r="BT919" t="str">
        <f>HYPERLINK("https%3A%2F%2Fwww.webofscience.com%2Fwos%2Fwoscc%2Ffull-record%2FWOS:001285070300001","View Full Record in Web of Science")</f>
        <v>View Full Record in Web of Science</v>
      </c>
    </row>
    <row r="920" spans="1:72" x14ac:dyDescent="0.2">
      <c r="A920" t="s">
        <v>72</v>
      </c>
      <c r="B920" t="s">
        <v>17350</v>
      </c>
      <c r="C920" t="s">
        <v>74</v>
      </c>
      <c r="D920" t="s">
        <v>74</v>
      </c>
      <c r="E920" t="s">
        <v>74</v>
      </c>
      <c r="F920" t="s">
        <v>17351</v>
      </c>
      <c r="G920" t="s">
        <v>74</v>
      </c>
      <c r="H920" t="s">
        <v>74</v>
      </c>
      <c r="I920" t="s">
        <v>17352</v>
      </c>
      <c r="J920" t="s">
        <v>17353</v>
      </c>
      <c r="K920" t="s">
        <v>74</v>
      </c>
      <c r="L920" t="s">
        <v>74</v>
      </c>
      <c r="M920" t="s">
        <v>78</v>
      </c>
      <c r="N920" t="s">
        <v>79</v>
      </c>
      <c r="O920" t="s">
        <v>74</v>
      </c>
      <c r="P920" t="s">
        <v>74</v>
      </c>
      <c r="Q920" t="s">
        <v>74</v>
      </c>
      <c r="R920" t="s">
        <v>74</v>
      </c>
      <c r="S920" t="s">
        <v>74</v>
      </c>
      <c r="T920" t="s">
        <v>17354</v>
      </c>
      <c r="U920" t="s">
        <v>17355</v>
      </c>
      <c r="V920" t="s">
        <v>17356</v>
      </c>
      <c r="W920" t="s">
        <v>17357</v>
      </c>
      <c r="X920" t="s">
        <v>17358</v>
      </c>
      <c r="Y920" t="s">
        <v>17359</v>
      </c>
      <c r="Z920" t="s">
        <v>17360</v>
      </c>
      <c r="AA920" t="s">
        <v>17361</v>
      </c>
      <c r="AB920" t="s">
        <v>17362</v>
      </c>
      <c r="AC920" t="s">
        <v>74</v>
      </c>
      <c r="AD920" t="s">
        <v>74</v>
      </c>
      <c r="AE920" t="s">
        <v>74</v>
      </c>
      <c r="AF920" t="s">
        <v>74</v>
      </c>
      <c r="AG920">
        <v>149</v>
      </c>
      <c r="AH920">
        <v>11</v>
      </c>
      <c r="AI920">
        <v>11</v>
      </c>
      <c r="AJ920">
        <v>5</v>
      </c>
      <c r="AK920">
        <v>17</v>
      </c>
      <c r="AL920" t="s">
        <v>6112</v>
      </c>
      <c r="AM920" t="s">
        <v>6113</v>
      </c>
      <c r="AN920" t="s">
        <v>6114</v>
      </c>
      <c r="AO920" t="s">
        <v>17363</v>
      </c>
      <c r="AP920" t="s">
        <v>17364</v>
      </c>
      <c r="AQ920" t="s">
        <v>74</v>
      </c>
      <c r="AR920" t="s">
        <v>17365</v>
      </c>
      <c r="AS920" t="s">
        <v>17366</v>
      </c>
      <c r="AT920" t="s">
        <v>912</v>
      </c>
      <c r="AU920">
        <v>2025</v>
      </c>
      <c r="AV920">
        <v>13</v>
      </c>
      <c r="AW920">
        <v>5</v>
      </c>
      <c r="AX920" t="s">
        <v>74</v>
      </c>
      <c r="AY920" t="s">
        <v>74</v>
      </c>
      <c r="AZ920" t="s">
        <v>74</v>
      </c>
      <c r="BA920" t="s">
        <v>74</v>
      </c>
      <c r="BB920" t="s">
        <v>74</v>
      </c>
      <c r="BC920" t="s">
        <v>74</v>
      </c>
      <c r="BD920" t="s">
        <v>74</v>
      </c>
      <c r="BE920" t="s">
        <v>17367</v>
      </c>
      <c r="BF920" t="str">
        <f>HYPERLINK("http://dx.doi.org/10.1002/ente.202401977","http://dx.doi.org/10.1002/ente.202401977")</f>
        <v>http://dx.doi.org/10.1002/ente.202401977</v>
      </c>
      <c r="BG920" t="s">
        <v>74</v>
      </c>
      <c r="BH920" t="s">
        <v>1495</v>
      </c>
      <c r="BI920">
        <v>21</v>
      </c>
      <c r="BJ920" t="s">
        <v>229</v>
      </c>
      <c r="BK920" t="s">
        <v>102</v>
      </c>
      <c r="BL920" t="s">
        <v>229</v>
      </c>
      <c r="BM920" t="s">
        <v>17368</v>
      </c>
      <c r="BN920" t="s">
        <v>74</v>
      </c>
      <c r="BO920" t="s">
        <v>74</v>
      </c>
      <c r="BP920" t="s">
        <v>74</v>
      </c>
      <c r="BQ920" t="s">
        <v>74</v>
      </c>
      <c r="BR920" t="s">
        <v>106</v>
      </c>
      <c r="BS920" t="s">
        <v>17369</v>
      </c>
      <c r="BT920" t="str">
        <f>HYPERLINK("https%3A%2F%2Fwww.webofscience.com%2Fwos%2Fwoscc%2Ffull-record%2FWOS:001419020400001","View Full Record in Web of Science")</f>
        <v>View Full Record in Web of Science</v>
      </c>
    </row>
    <row r="921" spans="1:72" x14ac:dyDescent="0.2">
      <c r="A921" t="s">
        <v>72</v>
      </c>
      <c r="B921" t="s">
        <v>17370</v>
      </c>
      <c r="C921" t="s">
        <v>74</v>
      </c>
      <c r="D921" t="s">
        <v>74</v>
      </c>
      <c r="E921" t="s">
        <v>74</v>
      </c>
      <c r="F921" t="s">
        <v>17371</v>
      </c>
      <c r="G921" t="s">
        <v>74</v>
      </c>
      <c r="H921" t="s">
        <v>74</v>
      </c>
      <c r="I921" t="s">
        <v>17372</v>
      </c>
      <c r="J921" t="s">
        <v>17373</v>
      </c>
      <c r="K921" t="s">
        <v>74</v>
      </c>
      <c r="L921" t="s">
        <v>74</v>
      </c>
      <c r="M921" t="s">
        <v>78</v>
      </c>
      <c r="N921" t="s">
        <v>79</v>
      </c>
      <c r="O921" t="s">
        <v>74</v>
      </c>
      <c r="P921" t="s">
        <v>74</v>
      </c>
      <c r="Q921" t="s">
        <v>74</v>
      </c>
      <c r="R921" t="s">
        <v>74</v>
      </c>
      <c r="S921" t="s">
        <v>74</v>
      </c>
      <c r="T921" t="s">
        <v>17374</v>
      </c>
      <c r="U921" t="s">
        <v>17375</v>
      </c>
      <c r="V921" t="s">
        <v>17376</v>
      </c>
      <c r="W921" t="s">
        <v>17377</v>
      </c>
      <c r="X921" t="s">
        <v>74</v>
      </c>
      <c r="Y921" t="s">
        <v>17378</v>
      </c>
      <c r="Z921" t="s">
        <v>17379</v>
      </c>
      <c r="AA921" t="s">
        <v>17380</v>
      </c>
      <c r="AB921" t="s">
        <v>17381</v>
      </c>
      <c r="AC921" t="s">
        <v>17382</v>
      </c>
      <c r="AD921" t="s">
        <v>17383</v>
      </c>
      <c r="AE921" t="s">
        <v>17384</v>
      </c>
      <c r="AF921" t="s">
        <v>74</v>
      </c>
      <c r="AG921">
        <v>64</v>
      </c>
      <c r="AH921">
        <v>2</v>
      </c>
      <c r="AI921">
        <v>2</v>
      </c>
      <c r="AJ921">
        <v>6</v>
      </c>
      <c r="AK921">
        <v>19</v>
      </c>
      <c r="AL921" t="s">
        <v>17385</v>
      </c>
      <c r="AM921" t="s">
        <v>17386</v>
      </c>
      <c r="AN921" t="s">
        <v>17387</v>
      </c>
      <c r="AO921" t="s">
        <v>17388</v>
      </c>
      <c r="AP921" t="s">
        <v>17389</v>
      </c>
      <c r="AQ921" t="s">
        <v>74</v>
      </c>
      <c r="AR921" t="s">
        <v>17390</v>
      </c>
      <c r="AS921" t="s">
        <v>17391</v>
      </c>
      <c r="AT921" t="s">
        <v>459</v>
      </c>
      <c r="AU921">
        <v>2023</v>
      </c>
      <c r="AV921">
        <v>18</v>
      </c>
      <c r="AW921">
        <v>1</v>
      </c>
      <c r="AX921" t="s">
        <v>74</v>
      </c>
      <c r="AY921" t="s">
        <v>74</v>
      </c>
      <c r="AZ921" t="s">
        <v>74</v>
      </c>
      <c r="BA921" t="s">
        <v>74</v>
      </c>
      <c r="BB921">
        <v>5</v>
      </c>
      <c r="BC921">
        <v>14</v>
      </c>
      <c r="BD921" t="s">
        <v>74</v>
      </c>
      <c r="BE921" t="s">
        <v>17392</v>
      </c>
      <c r="BF921" t="str">
        <f>HYPERLINK("http://dx.doi.org/10.26471/cjees/2023/018/236","http://dx.doi.org/10.26471/cjees/2023/018/236")</f>
        <v>http://dx.doi.org/10.26471/cjees/2023/018/236</v>
      </c>
      <c r="BG921" t="s">
        <v>74</v>
      </c>
      <c r="BH921" t="s">
        <v>74</v>
      </c>
      <c r="BI921">
        <v>10</v>
      </c>
      <c r="BJ921" t="s">
        <v>567</v>
      </c>
      <c r="BK921" t="s">
        <v>102</v>
      </c>
      <c r="BL921" t="s">
        <v>568</v>
      </c>
      <c r="BM921" t="s">
        <v>17393</v>
      </c>
      <c r="BN921" t="s">
        <v>74</v>
      </c>
      <c r="BO921" t="s">
        <v>74</v>
      </c>
      <c r="BP921" t="s">
        <v>74</v>
      </c>
      <c r="BQ921" t="s">
        <v>74</v>
      </c>
      <c r="BR921" t="s">
        <v>106</v>
      </c>
      <c r="BS921" t="s">
        <v>17394</v>
      </c>
      <c r="BT921" t="str">
        <f>HYPERLINK("https%3A%2F%2Fwww.webofscience.com%2Fwos%2Fwoscc%2Ffull-record%2FWOS:000955682500001","View Full Record in Web of Science")</f>
        <v>View Full Record in Web of Science</v>
      </c>
    </row>
    <row r="922" spans="1:72" x14ac:dyDescent="0.2">
      <c r="A922" t="s">
        <v>72</v>
      </c>
      <c r="B922" t="s">
        <v>17395</v>
      </c>
      <c r="C922" t="s">
        <v>74</v>
      </c>
      <c r="D922" t="s">
        <v>74</v>
      </c>
      <c r="E922" t="s">
        <v>74</v>
      </c>
      <c r="F922" t="s">
        <v>17396</v>
      </c>
      <c r="G922" t="s">
        <v>74</v>
      </c>
      <c r="H922" t="s">
        <v>74</v>
      </c>
      <c r="I922" t="s">
        <v>17397</v>
      </c>
      <c r="J922" t="s">
        <v>5876</v>
      </c>
      <c r="K922" t="s">
        <v>74</v>
      </c>
      <c r="L922" t="s">
        <v>74</v>
      </c>
      <c r="M922" t="s">
        <v>78</v>
      </c>
      <c r="N922" t="s">
        <v>79</v>
      </c>
      <c r="O922" t="s">
        <v>74</v>
      </c>
      <c r="P922" t="s">
        <v>74</v>
      </c>
      <c r="Q922" t="s">
        <v>74</v>
      </c>
      <c r="R922" t="s">
        <v>74</v>
      </c>
      <c r="S922" t="s">
        <v>74</v>
      </c>
      <c r="T922" t="s">
        <v>17398</v>
      </c>
      <c r="U922" t="s">
        <v>17399</v>
      </c>
      <c r="V922" t="s">
        <v>17400</v>
      </c>
      <c r="W922" t="s">
        <v>17401</v>
      </c>
      <c r="X922" t="s">
        <v>9969</v>
      </c>
      <c r="Y922" t="s">
        <v>17402</v>
      </c>
      <c r="Z922" t="s">
        <v>8313</v>
      </c>
      <c r="AA922" t="s">
        <v>17403</v>
      </c>
      <c r="AB922" t="s">
        <v>74</v>
      </c>
      <c r="AC922" t="s">
        <v>74</v>
      </c>
      <c r="AD922" t="s">
        <v>74</v>
      </c>
      <c r="AE922" t="s">
        <v>74</v>
      </c>
      <c r="AF922" t="s">
        <v>74</v>
      </c>
      <c r="AG922">
        <v>62</v>
      </c>
      <c r="AH922">
        <v>17</v>
      </c>
      <c r="AI922">
        <v>21</v>
      </c>
      <c r="AJ922">
        <v>9</v>
      </c>
      <c r="AK922">
        <v>102</v>
      </c>
      <c r="AL922" t="s">
        <v>123</v>
      </c>
      <c r="AM922" t="s">
        <v>124</v>
      </c>
      <c r="AN922" t="s">
        <v>125</v>
      </c>
      <c r="AO922" t="s">
        <v>5888</v>
      </c>
      <c r="AP922" t="s">
        <v>5889</v>
      </c>
      <c r="AQ922" t="s">
        <v>74</v>
      </c>
      <c r="AR922" t="s">
        <v>5890</v>
      </c>
      <c r="AS922" t="s">
        <v>5891</v>
      </c>
      <c r="AT922" t="s">
        <v>1612</v>
      </c>
      <c r="AU922">
        <v>2021</v>
      </c>
      <c r="AV922">
        <v>272</v>
      </c>
      <c r="AW922" t="s">
        <v>74</v>
      </c>
      <c r="AX922" t="s">
        <v>74</v>
      </c>
      <c r="AY922" t="s">
        <v>74</v>
      </c>
      <c r="AZ922" t="s">
        <v>74</v>
      </c>
      <c r="BA922" t="s">
        <v>74</v>
      </c>
      <c r="BB922" t="s">
        <v>74</v>
      </c>
      <c r="BC922" t="s">
        <v>74</v>
      </c>
      <c r="BD922">
        <v>108281</v>
      </c>
      <c r="BE922" t="s">
        <v>17404</v>
      </c>
      <c r="BF922" t="str">
        <f>HYPERLINK("http://dx.doi.org/10.1016/j.fcr.2021.108281","http://dx.doi.org/10.1016/j.fcr.2021.108281")</f>
        <v>http://dx.doi.org/10.1016/j.fcr.2021.108281</v>
      </c>
      <c r="BG922" t="s">
        <v>74</v>
      </c>
      <c r="BH922" t="s">
        <v>2901</v>
      </c>
      <c r="BI922">
        <v>12</v>
      </c>
      <c r="BJ922" t="s">
        <v>1357</v>
      </c>
      <c r="BK922" t="s">
        <v>102</v>
      </c>
      <c r="BL922" t="s">
        <v>103</v>
      </c>
      <c r="BM922" t="s">
        <v>17405</v>
      </c>
      <c r="BN922" t="s">
        <v>74</v>
      </c>
      <c r="BO922" t="s">
        <v>74</v>
      </c>
      <c r="BP922" t="s">
        <v>74</v>
      </c>
      <c r="BQ922" t="s">
        <v>74</v>
      </c>
      <c r="BR922" t="s">
        <v>106</v>
      </c>
      <c r="BS922" t="s">
        <v>17406</v>
      </c>
      <c r="BT922" t="str">
        <f>HYPERLINK("https%3A%2F%2Fwww.webofscience.com%2Fwos%2Fwoscc%2Ffull-record%2FWOS:000709961600010","View Full Record in Web of Science")</f>
        <v>View Full Record in Web of Science</v>
      </c>
    </row>
    <row r="923" spans="1:72" x14ac:dyDescent="0.2">
      <c r="A923" t="s">
        <v>72</v>
      </c>
      <c r="B923" t="s">
        <v>17407</v>
      </c>
      <c r="C923" t="s">
        <v>74</v>
      </c>
      <c r="D923" t="s">
        <v>74</v>
      </c>
      <c r="E923" t="s">
        <v>74</v>
      </c>
      <c r="F923" t="s">
        <v>17408</v>
      </c>
      <c r="G923" t="s">
        <v>74</v>
      </c>
      <c r="H923" t="s">
        <v>74</v>
      </c>
      <c r="I923" t="s">
        <v>17409</v>
      </c>
      <c r="J923" t="s">
        <v>2962</v>
      </c>
      <c r="K923" t="s">
        <v>74</v>
      </c>
      <c r="L923" t="s">
        <v>74</v>
      </c>
      <c r="M923" t="s">
        <v>78</v>
      </c>
      <c r="N923" t="s">
        <v>79</v>
      </c>
      <c r="O923" t="s">
        <v>74</v>
      </c>
      <c r="P923" t="s">
        <v>74</v>
      </c>
      <c r="Q923" t="s">
        <v>74</v>
      </c>
      <c r="R923" t="s">
        <v>74</v>
      </c>
      <c r="S923" t="s">
        <v>74</v>
      </c>
      <c r="T923" t="s">
        <v>17410</v>
      </c>
      <c r="U923" t="s">
        <v>17411</v>
      </c>
      <c r="V923" t="s">
        <v>17412</v>
      </c>
      <c r="W923" t="s">
        <v>17413</v>
      </c>
      <c r="X923" t="s">
        <v>17414</v>
      </c>
      <c r="Y923" t="s">
        <v>17415</v>
      </c>
      <c r="Z923" t="s">
        <v>17416</v>
      </c>
      <c r="AA923" t="s">
        <v>17417</v>
      </c>
      <c r="AB923" t="s">
        <v>74</v>
      </c>
      <c r="AC923" t="s">
        <v>17418</v>
      </c>
      <c r="AD923" t="s">
        <v>17419</v>
      </c>
      <c r="AE923" t="s">
        <v>17420</v>
      </c>
      <c r="AF923" t="s">
        <v>74</v>
      </c>
      <c r="AG923">
        <v>52</v>
      </c>
      <c r="AH923">
        <v>0</v>
      </c>
      <c r="AI923">
        <v>0</v>
      </c>
      <c r="AJ923">
        <v>14</v>
      </c>
      <c r="AK923">
        <v>14</v>
      </c>
      <c r="AL923" t="s">
        <v>176</v>
      </c>
      <c r="AM923" t="s">
        <v>1610</v>
      </c>
      <c r="AN923" t="s">
        <v>1611</v>
      </c>
      <c r="AO923" t="s">
        <v>2974</v>
      </c>
      <c r="AP923" t="s">
        <v>2975</v>
      </c>
      <c r="AQ923" t="s">
        <v>74</v>
      </c>
      <c r="AR923" t="s">
        <v>2962</v>
      </c>
      <c r="AS923" t="s">
        <v>2976</v>
      </c>
      <c r="AT923" t="s">
        <v>4711</v>
      </c>
      <c r="AU923">
        <v>2025</v>
      </c>
      <c r="AV923">
        <v>398</v>
      </c>
      <c r="AW923" t="s">
        <v>74</v>
      </c>
      <c r="AX923" t="s">
        <v>74</v>
      </c>
      <c r="AY923" t="s">
        <v>74</v>
      </c>
      <c r="AZ923" t="s">
        <v>74</v>
      </c>
      <c r="BA923" t="s">
        <v>74</v>
      </c>
      <c r="BB923" t="s">
        <v>74</v>
      </c>
      <c r="BC923" t="s">
        <v>74</v>
      </c>
      <c r="BD923">
        <v>135579</v>
      </c>
      <c r="BE923" t="s">
        <v>17421</v>
      </c>
      <c r="BF923" t="str">
        <f>HYPERLINK("http://dx.doi.org/10.1016/j.fuel.2025.135579","http://dx.doi.org/10.1016/j.fuel.2025.135579")</f>
        <v>http://dx.doi.org/10.1016/j.fuel.2025.135579</v>
      </c>
      <c r="BG923" t="s">
        <v>74</v>
      </c>
      <c r="BH923" t="s">
        <v>339</v>
      </c>
      <c r="BI923">
        <v>11</v>
      </c>
      <c r="BJ923" t="s">
        <v>2979</v>
      </c>
      <c r="BK923" t="s">
        <v>102</v>
      </c>
      <c r="BL923" t="s">
        <v>2980</v>
      </c>
      <c r="BM923" t="s">
        <v>17422</v>
      </c>
      <c r="BN923" t="s">
        <v>74</v>
      </c>
      <c r="BO923" t="s">
        <v>74</v>
      </c>
      <c r="BP923" t="s">
        <v>74</v>
      </c>
      <c r="BQ923" t="s">
        <v>74</v>
      </c>
      <c r="BR923" t="s">
        <v>106</v>
      </c>
      <c r="BS923" t="s">
        <v>17423</v>
      </c>
      <c r="BT923" t="str">
        <f>HYPERLINK("https%3A%2F%2Fwww.webofscience.com%2Fwos%2Fwoscc%2Ffull-record%2FWOS:001510398200001","View Full Record in Web of Science")</f>
        <v>View Full Record in Web of Science</v>
      </c>
    </row>
    <row r="924" spans="1:72" x14ac:dyDescent="0.2">
      <c r="A924" t="s">
        <v>72</v>
      </c>
      <c r="B924" t="s">
        <v>17424</v>
      </c>
      <c r="C924" t="s">
        <v>74</v>
      </c>
      <c r="D924" t="s">
        <v>74</v>
      </c>
      <c r="E924" t="s">
        <v>74</v>
      </c>
      <c r="F924" t="s">
        <v>17425</v>
      </c>
      <c r="G924" t="s">
        <v>74</v>
      </c>
      <c r="H924" t="s">
        <v>74</v>
      </c>
      <c r="I924" t="s">
        <v>17426</v>
      </c>
      <c r="J924" t="s">
        <v>17427</v>
      </c>
      <c r="K924" t="s">
        <v>74</v>
      </c>
      <c r="L924" t="s">
        <v>74</v>
      </c>
      <c r="M924" t="s">
        <v>78</v>
      </c>
      <c r="N924" t="s">
        <v>79</v>
      </c>
      <c r="O924" t="s">
        <v>74</v>
      </c>
      <c r="P924" t="s">
        <v>74</v>
      </c>
      <c r="Q924" t="s">
        <v>74</v>
      </c>
      <c r="R924" t="s">
        <v>74</v>
      </c>
      <c r="S924" t="s">
        <v>74</v>
      </c>
      <c r="T924" t="s">
        <v>17428</v>
      </c>
      <c r="U924" t="s">
        <v>17429</v>
      </c>
      <c r="V924" t="s">
        <v>17430</v>
      </c>
      <c r="W924" t="s">
        <v>17431</v>
      </c>
      <c r="X924" t="s">
        <v>17432</v>
      </c>
      <c r="Y924" t="s">
        <v>17433</v>
      </c>
      <c r="Z924" t="s">
        <v>10331</v>
      </c>
      <c r="AA924" t="s">
        <v>17434</v>
      </c>
      <c r="AB924" t="s">
        <v>74</v>
      </c>
      <c r="AC924" t="s">
        <v>17435</v>
      </c>
      <c r="AD924" t="s">
        <v>10335</v>
      </c>
      <c r="AE924" t="s">
        <v>17436</v>
      </c>
      <c r="AF924" t="s">
        <v>74</v>
      </c>
      <c r="AG924">
        <v>47</v>
      </c>
      <c r="AH924">
        <v>33</v>
      </c>
      <c r="AI924">
        <v>33</v>
      </c>
      <c r="AJ924">
        <v>7</v>
      </c>
      <c r="AK924">
        <v>71</v>
      </c>
      <c r="AL924" t="s">
        <v>123</v>
      </c>
      <c r="AM924" t="s">
        <v>124</v>
      </c>
      <c r="AN924" t="s">
        <v>125</v>
      </c>
      <c r="AO924" t="s">
        <v>17437</v>
      </c>
      <c r="AP924" t="s">
        <v>17438</v>
      </c>
      <c r="AQ924" t="s">
        <v>74</v>
      </c>
      <c r="AR924" t="s">
        <v>17439</v>
      </c>
      <c r="AS924" t="s">
        <v>17440</v>
      </c>
      <c r="AT924" t="s">
        <v>17441</v>
      </c>
      <c r="AU924">
        <v>2023</v>
      </c>
      <c r="AV924">
        <v>238</v>
      </c>
      <c r="AW924" t="s">
        <v>74</v>
      </c>
      <c r="AX924" t="s">
        <v>74</v>
      </c>
      <c r="AY924" t="s">
        <v>74</v>
      </c>
      <c r="AZ924" t="s">
        <v>74</v>
      </c>
      <c r="BA924" t="s">
        <v>74</v>
      </c>
      <c r="BB924" t="s">
        <v>74</v>
      </c>
      <c r="BC924" t="s">
        <v>74</v>
      </c>
      <c r="BD924">
        <v>124028</v>
      </c>
      <c r="BE924" t="s">
        <v>17442</v>
      </c>
      <c r="BF924" t="str">
        <f>HYPERLINK("http://dx.doi.org/10.1016/j.ijbiomac.2023.124028","http://dx.doi.org/10.1016/j.ijbiomac.2023.124028")</f>
        <v>http://dx.doi.org/10.1016/j.ijbiomac.2023.124028</v>
      </c>
      <c r="BG924" t="s">
        <v>74</v>
      </c>
      <c r="BH924" t="s">
        <v>13220</v>
      </c>
      <c r="BI924">
        <v>11</v>
      </c>
      <c r="BJ924" t="s">
        <v>17443</v>
      </c>
      <c r="BK924" t="s">
        <v>102</v>
      </c>
      <c r="BL924" t="s">
        <v>17444</v>
      </c>
      <c r="BM924" t="s">
        <v>17445</v>
      </c>
      <c r="BN924">
        <v>36924871</v>
      </c>
      <c r="BO924" t="s">
        <v>916</v>
      </c>
      <c r="BP924" t="s">
        <v>74</v>
      </c>
      <c r="BQ924" t="s">
        <v>74</v>
      </c>
      <c r="BR924" t="s">
        <v>106</v>
      </c>
      <c r="BS924" t="s">
        <v>17446</v>
      </c>
      <c r="BT924" t="str">
        <f>HYPERLINK("https%3A%2F%2Fwww.webofscience.com%2Fwos%2Fwoscc%2Ffull-record%2FWOS:000966437300001","View Full Record in Web of Science")</f>
        <v>View Full Record in Web of Science</v>
      </c>
    </row>
    <row r="925" spans="1:72" x14ac:dyDescent="0.2">
      <c r="A925" t="s">
        <v>72</v>
      </c>
      <c r="B925" t="s">
        <v>17447</v>
      </c>
      <c r="C925" t="s">
        <v>74</v>
      </c>
      <c r="D925" t="s">
        <v>74</v>
      </c>
      <c r="E925" t="s">
        <v>74</v>
      </c>
      <c r="F925" t="s">
        <v>17448</v>
      </c>
      <c r="G925" t="s">
        <v>74</v>
      </c>
      <c r="H925" t="s">
        <v>74</v>
      </c>
      <c r="I925" t="s">
        <v>17449</v>
      </c>
      <c r="J925" t="s">
        <v>17450</v>
      </c>
      <c r="K925" t="s">
        <v>74</v>
      </c>
      <c r="L925" t="s">
        <v>74</v>
      </c>
      <c r="M925" t="s">
        <v>78</v>
      </c>
      <c r="N925" t="s">
        <v>79</v>
      </c>
      <c r="O925" t="s">
        <v>74</v>
      </c>
      <c r="P925" t="s">
        <v>74</v>
      </c>
      <c r="Q925" t="s">
        <v>74</v>
      </c>
      <c r="R925" t="s">
        <v>74</v>
      </c>
      <c r="S925" t="s">
        <v>74</v>
      </c>
      <c r="T925" t="s">
        <v>17451</v>
      </c>
      <c r="U925" t="s">
        <v>17452</v>
      </c>
      <c r="V925" t="s">
        <v>17453</v>
      </c>
      <c r="W925" t="s">
        <v>17454</v>
      </c>
      <c r="X925" t="s">
        <v>17455</v>
      </c>
      <c r="Y925" t="s">
        <v>17456</v>
      </c>
      <c r="Z925" t="s">
        <v>17457</v>
      </c>
      <c r="AA925" t="s">
        <v>17458</v>
      </c>
      <c r="AB925" t="s">
        <v>74</v>
      </c>
      <c r="AC925" t="s">
        <v>17459</v>
      </c>
      <c r="AD925" t="s">
        <v>17460</v>
      </c>
      <c r="AE925" t="s">
        <v>17461</v>
      </c>
      <c r="AF925" t="s">
        <v>74</v>
      </c>
      <c r="AG925">
        <v>36</v>
      </c>
      <c r="AH925">
        <v>2</v>
      </c>
      <c r="AI925">
        <v>2</v>
      </c>
      <c r="AJ925">
        <v>1</v>
      </c>
      <c r="AK925">
        <v>11</v>
      </c>
      <c r="AL925" t="s">
        <v>11058</v>
      </c>
      <c r="AM925" t="s">
        <v>11059</v>
      </c>
      <c r="AN925" t="s">
        <v>11060</v>
      </c>
      <c r="AO925" t="s">
        <v>17462</v>
      </c>
      <c r="AP925" t="s">
        <v>17463</v>
      </c>
      <c r="AQ925" t="s">
        <v>74</v>
      </c>
      <c r="AR925" t="s">
        <v>17464</v>
      </c>
      <c r="AS925" t="s">
        <v>17465</v>
      </c>
      <c r="AT925" t="s">
        <v>1752</v>
      </c>
      <c r="AU925">
        <v>2023</v>
      </c>
      <c r="AV925">
        <v>56</v>
      </c>
      <c r="AW925">
        <v>8</v>
      </c>
      <c r="AX925" t="s">
        <v>74</v>
      </c>
      <c r="AY925" t="s">
        <v>74</v>
      </c>
      <c r="AZ925" t="s">
        <v>74</v>
      </c>
      <c r="BA925" t="s">
        <v>74</v>
      </c>
      <c r="BB925">
        <v>1043</v>
      </c>
      <c r="BC925">
        <v>1054</v>
      </c>
      <c r="BD925" t="s">
        <v>74</v>
      </c>
      <c r="BE925" t="s">
        <v>17466</v>
      </c>
      <c r="BF925" t="str">
        <f>HYPERLINK("http://dx.doi.org/10.1134/S1064229323600872","http://dx.doi.org/10.1134/S1064229323600872")</f>
        <v>http://dx.doi.org/10.1134/S1064229323600872</v>
      </c>
      <c r="BG925" t="s">
        <v>74</v>
      </c>
      <c r="BH925" t="s">
        <v>74</v>
      </c>
      <c r="BI925">
        <v>12</v>
      </c>
      <c r="BJ925" t="s">
        <v>256</v>
      </c>
      <c r="BK925" t="s">
        <v>102</v>
      </c>
      <c r="BL925" t="s">
        <v>103</v>
      </c>
      <c r="BM925" t="s">
        <v>17467</v>
      </c>
      <c r="BN925" t="s">
        <v>74</v>
      </c>
      <c r="BO925" t="s">
        <v>74</v>
      </c>
      <c r="BP925" t="s">
        <v>74</v>
      </c>
      <c r="BQ925" t="s">
        <v>74</v>
      </c>
      <c r="BR925" t="s">
        <v>106</v>
      </c>
      <c r="BS925" t="s">
        <v>17468</v>
      </c>
      <c r="BT925" t="str">
        <f>HYPERLINK("https%3A%2F%2Fwww.webofscience.com%2Fwos%2Fwoscc%2Ffull-record%2FWOS:001052822900005","View Full Record in Web of Science")</f>
        <v>View Full Record in Web of Science</v>
      </c>
    </row>
    <row r="926" spans="1:72" x14ac:dyDescent="0.2">
      <c r="A926" t="s">
        <v>72</v>
      </c>
      <c r="B926" t="s">
        <v>17469</v>
      </c>
      <c r="C926" t="s">
        <v>74</v>
      </c>
      <c r="D926" t="s">
        <v>74</v>
      </c>
      <c r="E926" t="s">
        <v>74</v>
      </c>
      <c r="F926" t="s">
        <v>17470</v>
      </c>
      <c r="G926" t="s">
        <v>74</v>
      </c>
      <c r="H926" t="s">
        <v>74</v>
      </c>
      <c r="I926" t="s">
        <v>17471</v>
      </c>
      <c r="J926" t="s">
        <v>17472</v>
      </c>
      <c r="K926" t="s">
        <v>74</v>
      </c>
      <c r="L926" t="s">
        <v>74</v>
      </c>
      <c r="M926" t="s">
        <v>78</v>
      </c>
      <c r="N926" t="s">
        <v>79</v>
      </c>
      <c r="O926" t="s">
        <v>74</v>
      </c>
      <c r="P926" t="s">
        <v>74</v>
      </c>
      <c r="Q926" t="s">
        <v>74</v>
      </c>
      <c r="R926" t="s">
        <v>74</v>
      </c>
      <c r="S926" t="s">
        <v>74</v>
      </c>
      <c r="T926" t="s">
        <v>17473</v>
      </c>
      <c r="U926" t="s">
        <v>11761</v>
      </c>
      <c r="V926" t="s">
        <v>17474</v>
      </c>
      <c r="W926" t="s">
        <v>17475</v>
      </c>
      <c r="X926" t="s">
        <v>17476</v>
      </c>
      <c r="Y926" t="s">
        <v>17477</v>
      </c>
      <c r="Z926" t="s">
        <v>17478</v>
      </c>
      <c r="AA926" t="s">
        <v>17479</v>
      </c>
      <c r="AB926" t="s">
        <v>74</v>
      </c>
      <c r="AC926" t="s">
        <v>17480</v>
      </c>
      <c r="AD926" t="s">
        <v>17481</v>
      </c>
      <c r="AE926" t="s">
        <v>17482</v>
      </c>
      <c r="AF926" t="s">
        <v>74</v>
      </c>
      <c r="AG926">
        <v>28</v>
      </c>
      <c r="AH926">
        <v>5</v>
      </c>
      <c r="AI926">
        <v>5</v>
      </c>
      <c r="AJ926">
        <v>1</v>
      </c>
      <c r="AK926">
        <v>42</v>
      </c>
      <c r="AL926" t="s">
        <v>17483</v>
      </c>
      <c r="AM926" t="s">
        <v>17484</v>
      </c>
      <c r="AN926" t="s">
        <v>17485</v>
      </c>
      <c r="AO926" t="s">
        <v>17486</v>
      </c>
      <c r="AP926" t="s">
        <v>74</v>
      </c>
      <c r="AQ926" t="s">
        <v>74</v>
      </c>
      <c r="AR926" t="s">
        <v>17472</v>
      </c>
      <c r="AS926" t="s">
        <v>17487</v>
      </c>
      <c r="AT926" t="s">
        <v>74</v>
      </c>
      <c r="AU926">
        <v>2014</v>
      </c>
      <c r="AV926">
        <v>27</v>
      </c>
      <c r="AW926">
        <v>1</v>
      </c>
      <c r="AX926" t="s">
        <v>74</v>
      </c>
      <c r="AY926" t="s">
        <v>74</v>
      </c>
      <c r="AZ926" t="s">
        <v>74</v>
      </c>
      <c r="BA926" t="s">
        <v>74</v>
      </c>
      <c r="BB926">
        <v>61</v>
      </c>
      <c r="BC926">
        <v>76</v>
      </c>
      <c r="BD926" t="s">
        <v>74</v>
      </c>
      <c r="BE926" t="s">
        <v>74</v>
      </c>
      <c r="BF926" t="s">
        <v>74</v>
      </c>
      <c r="BG926" t="s">
        <v>74</v>
      </c>
      <c r="BH926" t="s">
        <v>74</v>
      </c>
      <c r="BI926">
        <v>16</v>
      </c>
      <c r="BJ926" t="s">
        <v>4096</v>
      </c>
      <c r="BK926" t="s">
        <v>102</v>
      </c>
      <c r="BL926" t="s">
        <v>4096</v>
      </c>
      <c r="BM926" t="s">
        <v>17488</v>
      </c>
      <c r="BN926" t="s">
        <v>74</v>
      </c>
      <c r="BO926" t="s">
        <v>74</v>
      </c>
      <c r="BP926" t="s">
        <v>74</v>
      </c>
      <c r="BQ926" t="s">
        <v>74</v>
      </c>
      <c r="BR926" t="s">
        <v>106</v>
      </c>
      <c r="BS926" t="s">
        <v>17489</v>
      </c>
      <c r="BT926" t="str">
        <f>HYPERLINK("https%3A%2F%2Fwww.webofscience.com%2Fwos%2Fwoscc%2Ffull-record%2FWOS:000342743800006","View Full Record in Web of Science")</f>
        <v>View Full Record in Web of Science</v>
      </c>
    </row>
    <row r="927" spans="1:72" x14ac:dyDescent="0.2">
      <c r="A927" t="s">
        <v>72</v>
      </c>
      <c r="B927" t="s">
        <v>17490</v>
      </c>
      <c r="C927" t="s">
        <v>74</v>
      </c>
      <c r="D927" t="s">
        <v>74</v>
      </c>
      <c r="E927" t="s">
        <v>74</v>
      </c>
      <c r="F927" t="s">
        <v>17491</v>
      </c>
      <c r="G927" t="s">
        <v>74</v>
      </c>
      <c r="H927" t="s">
        <v>74</v>
      </c>
      <c r="I927" t="s">
        <v>17492</v>
      </c>
      <c r="J927" t="s">
        <v>2104</v>
      </c>
      <c r="K927" t="s">
        <v>74</v>
      </c>
      <c r="L927" t="s">
        <v>74</v>
      </c>
      <c r="M927" t="s">
        <v>78</v>
      </c>
      <c r="N927" t="s">
        <v>79</v>
      </c>
      <c r="O927" t="s">
        <v>74</v>
      </c>
      <c r="P927" t="s">
        <v>74</v>
      </c>
      <c r="Q927" t="s">
        <v>74</v>
      </c>
      <c r="R927" t="s">
        <v>74</v>
      </c>
      <c r="S927" t="s">
        <v>74</v>
      </c>
      <c r="T927" t="s">
        <v>17493</v>
      </c>
      <c r="U927" t="s">
        <v>17494</v>
      </c>
      <c r="V927" t="s">
        <v>17495</v>
      </c>
      <c r="W927" t="s">
        <v>17496</v>
      </c>
      <c r="X927" t="s">
        <v>74</v>
      </c>
      <c r="Y927" t="s">
        <v>17497</v>
      </c>
      <c r="Z927" t="s">
        <v>17498</v>
      </c>
      <c r="AA927" t="s">
        <v>17499</v>
      </c>
      <c r="AB927" t="s">
        <v>17500</v>
      </c>
      <c r="AC927" t="s">
        <v>17501</v>
      </c>
      <c r="AD927" t="s">
        <v>17501</v>
      </c>
      <c r="AE927" t="s">
        <v>17502</v>
      </c>
      <c r="AF927" t="s">
        <v>74</v>
      </c>
      <c r="AG927">
        <v>92</v>
      </c>
      <c r="AH927">
        <v>0</v>
      </c>
      <c r="AI927">
        <v>0</v>
      </c>
      <c r="AJ927">
        <v>6</v>
      </c>
      <c r="AK927">
        <v>6</v>
      </c>
      <c r="AL927" t="s">
        <v>1242</v>
      </c>
      <c r="AM927" t="s">
        <v>1243</v>
      </c>
      <c r="AN927" t="s">
        <v>1244</v>
      </c>
      <c r="AO927" t="s">
        <v>2116</v>
      </c>
      <c r="AP927" t="s">
        <v>2117</v>
      </c>
      <c r="AQ927" t="s">
        <v>74</v>
      </c>
      <c r="AR927" t="s">
        <v>2118</v>
      </c>
      <c r="AS927" t="s">
        <v>2119</v>
      </c>
      <c r="AT927" t="s">
        <v>1752</v>
      </c>
      <c r="AU927">
        <v>2025</v>
      </c>
      <c r="AV927">
        <v>30</v>
      </c>
      <c r="AW927">
        <v>8</v>
      </c>
      <c r="AX927" t="s">
        <v>74</v>
      </c>
      <c r="AY927" t="s">
        <v>74</v>
      </c>
      <c r="AZ927" t="s">
        <v>74</v>
      </c>
      <c r="BA927" t="s">
        <v>74</v>
      </c>
      <c r="BB927">
        <v>1743</v>
      </c>
      <c r="BC927">
        <v>1760</v>
      </c>
      <c r="BD927" t="s">
        <v>74</v>
      </c>
      <c r="BE927" t="s">
        <v>17503</v>
      </c>
      <c r="BF927" t="str">
        <f>HYPERLINK("http://dx.doi.org/10.1007/s11367-025-02483-2","http://dx.doi.org/10.1007/s11367-025-02483-2")</f>
        <v>http://dx.doi.org/10.1007/s11367-025-02483-2</v>
      </c>
      <c r="BG927" t="s">
        <v>74</v>
      </c>
      <c r="BH927" t="s">
        <v>339</v>
      </c>
      <c r="BI927">
        <v>18</v>
      </c>
      <c r="BJ927" t="s">
        <v>340</v>
      </c>
      <c r="BK927" t="s">
        <v>102</v>
      </c>
      <c r="BL927" t="s">
        <v>341</v>
      </c>
      <c r="BM927" t="s">
        <v>17504</v>
      </c>
      <c r="BN927" t="s">
        <v>74</v>
      </c>
      <c r="BO927" t="s">
        <v>74</v>
      </c>
      <c r="BP927" t="s">
        <v>74</v>
      </c>
      <c r="BQ927" t="s">
        <v>74</v>
      </c>
      <c r="BR927" t="s">
        <v>106</v>
      </c>
      <c r="BS927" t="s">
        <v>17505</v>
      </c>
      <c r="BT927" t="str">
        <f>HYPERLINK("https%3A%2F%2Fwww.webofscience.com%2Fwos%2Fwoscc%2Ffull-record%2FWOS:001494236900001","View Full Record in Web of Science")</f>
        <v>View Full Record in Web of Science</v>
      </c>
    </row>
    <row r="928" spans="1:72" x14ac:dyDescent="0.2">
      <c r="A928" t="s">
        <v>72</v>
      </c>
      <c r="B928" t="s">
        <v>17506</v>
      </c>
      <c r="C928" t="s">
        <v>74</v>
      </c>
      <c r="D928" t="s">
        <v>74</v>
      </c>
      <c r="E928" t="s">
        <v>74</v>
      </c>
      <c r="F928" t="s">
        <v>17507</v>
      </c>
      <c r="G928" t="s">
        <v>74</v>
      </c>
      <c r="H928" t="s">
        <v>74</v>
      </c>
      <c r="I928" t="s">
        <v>17508</v>
      </c>
      <c r="J928" t="s">
        <v>17509</v>
      </c>
      <c r="K928" t="s">
        <v>74</v>
      </c>
      <c r="L928" t="s">
        <v>74</v>
      </c>
      <c r="M928" t="s">
        <v>78</v>
      </c>
      <c r="N928" t="s">
        <v>79</v>
      </c>
      <c r="O928" t="s">
        <v>74</v>
      </c>
      <c r="P928" t="s">
        <v>74</v>
      </c>
      <c r="Q928" t="s">
        <v>74</v>
      </c>
      <c r="R928" t="s">
        <v>74</v>
      </c>
      <c r="S928" t="s">
        <v>74</v>
      </c>
      <c r="T928" t="s">
        <v>17510</v>
      </c>
      <c r="U928" t="s">
        <v>17511</v>
      </c>
      <c r="V928" t="s">
        <v>17512</v>
      </c>
      <c r="W928" t="s">
        <v>17513</v>
      </c>
      <c r="X928" t="s">
        <v>17514</v>
      </c>
      <c r="Y928" t="s">
        <v>17515</v>
      </c>
      <c r="Z928" t="s">
        <v>17516</v>
      </c>
      <c r="AA928" t="s">
        <v>17517</v>
      </c>
      <c r="AB928" t="s">
        <v>17518</v>
      </c>
      <c r="AC928" t="s">
        <v>74</v>
      </c>
      <c r="AD928" t="s">
        <v>74</v>
      </c>
      <c r="AE928" t="s">
        <v>74</v>
      </c>
      <c r="AF928" t="s">
        <v>74</v>
      </c>
      <c r="AG928">
        <v>92</v>
      </c>
      <c r="AH928">
        <v>22</v>
      </c>
      <c r="AI928">
        <v>26</v>
      </c>
      <c r="AJ928">
        <v>30</v>
      </c>
      <c r="AK928">
        <v>200</v>
      </c>
      <c r="AL928" t="s">
        <v>12442</v>
      </c>
      <c r="AM928" t="s">
        <v>630</v>
      </c>
      <c r="AN928" t="s">
        <v>12443</v>
      </c>
      <c r="AO928" t="s">
        <v>17519</v>
      </c>
      <c r="AP928" t="s">
        <v>17520</v>
      </c>
      <c r="AQ928" t="s">
        <v>74</v>
      </c>
      <c r="AR928" t="s">
        <v>17521</v>
      </c>
      <c r="AS928" t="s">
        <v>17522</v>
      </c>
      <c r="AT928" t="s">
        <v>74</v>
      </c>
      <c r="AU928">
        <v>2022</v>
      </c>
      <c r="AV928">
        <v>9</v>
      </c>
      <c r="AW928" t="s">
        <v>74</v>
      </c>
      <c r="AX928" t="s">
        <v>74</v>
      </c>
      <c r="AY928" t="s">
        <v>74</v>
      </c>
      <c r="AZ928" t="s">
        <v>74</v>
      </c>
      <c r="BA928" t="s">
        <v>74</v>
      </c>
      <c r="BB928" t="s">
        <v>74</v>
      </c>
      <c r="BC928" t="s">
        <v>74</v>
      </c>
      <c r="BD928">
        <v>100054</v>
      </c>
      <c r="BE928" t="s">
        <v>17523</v>
      </c>
      <c r="BF928" t="str">
        <f>HYPERLINK("http://dx.doi.org/10.1016/j.fecs.2022.100054","http://dx.doi.org/10.1016/j.fecs.2022.100054")</f>
        <v>http://dx.doi.org/10.1016/j.fecs.2022.100054</v>
      </c>
      <c r="BG928" t="s">
        <v>74</v>
      </c>
      <c r="BH928" t="s">
        <v>74</v>
      </c>
      <c r="BI928">
        <v>10</v>
      </c>
      <c r="BJ928" t="s">
        <v>132</v>
      </c>
      <c r="BK928" t="s">
        <v>102</v>
      </c>
      <c r="BL928" t="s">
        <v>132</v>
      </c>
      <c r="BM928" t="s">
        <v>17524</v>
      </c>
      <c r="BN928" t="s">
        <v>74</v>
      </c>
      <c r="BO928" t="s">
        <v>231</v>
      </c>
      <c r="BP928" t="s">
        <v>74</v>
      </c>
      <c r="BQ928" t="s">
        <v>74</v>
      </c>
      <c r="BR928" t="s">
        <v>106</v>
      </c>
      <c r="BS928" t="s">
        <v>17525</v>
      </c>
      <c r="BT928" t="str">
        <f>HYPERLINK("https%3A%2F%2Fwww.webofscience.com%2Fwos%2Fwoscc%2Ffull-record%2FWOS:000821818400009","View Full Record in Web of Science")</f>
        <v>View Full Record in Web of Science</v>
      </c>
    </row>
    <row r="929" spans="1:72" x14ac:dyDescent="0.2">
      <c r="A929" t="s">
        <v>72</v>
      </c>
      <c r="B929" t="s">
        <v>17526</v>
      </c>
      <c r="C929" t="s">
        <v>74</v>
      </c>
      <c r="D929" t="s">
        <v>74</v>
      </c>
      <c r="E929" t="s">
        <v>74</v>
      </c>
      <c r="F929" t="s">
        <v>17527</v>
      </c>
      <c r="G929" t="s">
        <v>74</v>
      </c>
      <c r="H929" t="s">
        <v>74</v>
      </c>
      <c r="I929" t="s">
        <v>17528</v>
      </c>
      <c r="J929" t="s">
        <v>740</v>
      </c>
      <c r="K929" t="s">
        <v>74</v>
      </c>
      <c r="L929" t="s">
        <v>74</v>
      </c>
      <c r="M929" t="s">
        <v>78</v>
      </c>
      <c r="N929" t="s">
        <v>79</v>
      </c>
      <c r="O929" t="s">
        <v>74</v>
      </c>
      <c r="P929" t="s">
        <v>74</v>
      </c>
      <c r="Q929" t="s">
        <v>74</v>
      </c>
      <c r="R929" t="s">
        <v>74</v>
      </c>
      <c r="S929" t="s">
        <v>74</v>
      </c>
      <c r="T929" t="s">
        <v>17529</v>
      </c>
      <c r="U929" t="s">
        <v>17530</v>
      </c>
      <c r="V929" t="s">
        <v>17531</v>
      </c>
      <c r="W929" t="s">
        <v>17532</v>
      </c>
      <c r="X929" t="s">
        <v>17533</v>
      </c>
      <c r="Y929" t="s">
        <v>17534</v>
      </c>
      <c r="Z929" t="s">
        <v>17535</v>
      </c>
      <c r="AA929" t="s">
        <v>17536</v>
      </c>
      <c r="AB929" t="s">
        <v>17537</v>
      </c>
      <c r="AC929" t="s">
        <v>17538</v>
      </c>
      <c r="AD929" t="s">
        <v>17539</v>
      </c>
      <c r="AE929" t="s">
        <v>17540</v>
      </c>
      <c r="AF929" t="s">
        <v>74</v>
      </c>
      <c r="AG929">
        <v>93</v>
      </c>
      <c r="AH929">
        <v>20</v>
      </c>
      <c r="AI929">
        <v>22</v>
      </c>
      <c r="AJ929">
        <v>5</v>
      </c>
      <c r="AK929">
        <v>76</v>
      </c>
      <c r="AL929" t="s">
        <v>247</v>
      </c>
      <c r="AM929" t="s">
        <v>248</v>
      </c>
      <c r="AN929" t="s">
        <v>249</v>
      </c>
      <c r="AO929" t="s">
        <v>750</v>
      </c>
      <c r="AP929" t="s">
        <v>751</v>
      </c>
      <c r="AQ929" t="s">
        <v>74</v>
      </c>
      <c r="AR929" t="s">
        <v>752</v>
      </c>
      <c r="AS929" t="s">
        <v>753</v>
      </c>
      <c r="AT929" t="s">
        <v>2017</v>
      </c>
      <c r="AU929">
        <v>2022</v>
      </c>
      <c r="AV929">
        <v>28</v>
      </c>
      <c r="AW929">
        <v>20</v>
      </c>
      <c r="AX929" t="s">
        <v>74</v>
      </c>
      <c r="AY929" t="s">
        <v>74</v>
      </c>
      <c r="AZ929" t="s">
        <v>74</v>
      </c>
      <c r="BA929" t="s">
        <v>74</v>
      </c>
      <c r="BB929">
        <v>5956</v>
      </c>
      <c r="BC929">
        <v>5972</v>
      </c>
      <c r="BD929" t="s">
        <v>74</v>
      </c>
      <c r="BE929" t="s">
        <v>17541</v>
      </c>
      <c r="BF929" t="str">
        <f>HYPERLINK("http://dx.doi.org/10.1111/gcb.16322","http://dx.doi.org/10.1111/gcb.16322")</f>
        <v>http://dx.doi.org/10.1111/gcb.16322</v>
      </c>
      <c r="BG929" t="s">
        <v>74</v>
      </c>
      <c r="BH929" t="s">
        <v>1014</v>
      </c>
      <c r="BI929">
        <v>17</v>
      </c>
      <c r="BJ929" t="s">
        <v>755</v>
      </c>
      <c r="BK929" t="s">
        <v>102</v>
      </c>
      <c r="BL929" t="s">
        <v>756</v>
      </c>
      <c r="BM929" t="s">
        <v>17542</v>
      </c>
      <c r="BN929">
        <v>35841134</v>
      </c>
      <c r="BO929" t="s">
        <v>74</v>
      </c>
      <c r="BP929" t="s">
        <v>74</v>
      </c>
      <c r="BQ929" t="s">
        <v>74</v>
      </c>
      <c r="BR929" t="s">
        <v>106</v>
      </c>
      <c r="BS929" t="s">
        <v>17543</v>
      </c>
      <c r="BT929" t="str">
        <f>HYPERLINK("https%3A%2F%2Fwww.webofscience.com%2Fwos%2Fwoscc%2Ffull-record%2FWOS:000825871500001","View Full Record in Web of Science")</f>
        <v>View Full Record in Web of Science</v>
      </c>
    </row>
    <row r="930" spans="1:72" x14ac:dyDescent="0.2">
      <c r="A930" t="s">
        <v>72</v>
      </c>
      <c r="B930" t="s">
        <v>17544</v>
      </c>
      <c r="C930" t="s">
        <v>74</v>
      </c>
      <c r="D930" t="s">
        <v>74</v>
      </c>
      <c r="E930" t="s">
        <v>74</v>
      </c>
      <c r="F930" t="s">
        <v>17545</v>
      </c>
      <c r="G930" t="s">
        <v>74</v>
      </c>
      <c r="H930" t="s">
        <v>74</v>
      </c>
      <c r="I930" t="s">
        <v>17546</v>
      </c>
      <c r="J930" t="s">
        <v>1526</v>
      </c>
      <c r="K930" t="s">
        <v>74</v>
      </c>
      <c r="L930" t="s">
        <v>74</v>
      </c>
      <c r="M930" t="s">
        <v>78</v>
      </c>
      <c r="N930" t="s">
        <v>79</v>
      </c>
      <c r="O930" t="s">
        <v>74</v>
      </c>
      <c r="P930" t="s">
        <v>74</v>
      </c>
      <c r="Q930" t="s">
        <v>74</v>
      </c>
      <c r="R930" t="s">
        <v>74</v>
      </c>
      <c r="S930" t="s">
        <v>74</v>
      </c>
      <c r="T930" t="s">
        <v>17547</v>
      </c>
      <c r="U930" t="s">
        <v>17548</v>
      </c>
      <c r="V930" t="s">
        <v>17549</v>
      </c>
      <c r="W930" t="s">
        <v>17550</v>
      </c>
      <c r="X930" t="s">
        <v>17551</v>
      </c>
      <c r="Y930" t="s">
        <v>17552</v>
      </c>
      <c r="Z930" t="s">
        <v>17553</v>
      </c>
      <c r="AA930" t="s">
        <v>17554</v>
      </c>
      <c r="AB930" t="s">
        <v>17555</v>
      </c>
      <c r="AC930" t="s">
        <v>74</v>
      </c>
      <c r="AD930" t="s">
        <v>74</v>
      </c>
      <c r="AE930" t="s">
        <v>74</v>
      </c>
      <c r="AF930" t="s">
        <v>74</v>
      </c>
      <c r="AG930">
        <v>46</v>
      </c>
      <c r="AH930">
        <v>35</v>
      </c>
      <c r="AI930">
        <v>37</v>
      </c>
      <c r="AJ930">
        <v>9</v>
      </c>
      <c r="AK930">
        <v>77</v>
      </c>
      <c r="AL930" t="s">
        <v>176</v>
      </c>
      <c r="AM930" t="s">
        <v>1610</v>
      </c>
      <c r="AN930" t="s">
        <v>1611</v>
      </c>
      <c r="AO930" t="s">
        <v>1538</v>
      </c>
      <c r="AP930" t="s">
        <v>1539</v>
      </c>
      <c r="AQ930" t="s">
        <v>74</v>
      </c>
      <c r="AR930" t="s">
        <v>1540</v>
      </c>
      <c r="AS930" t="s">
        <v>1541</v>
      </c>
      <c r="AT930" t="s">
        <v>8276</v>
      </c>
      <c r="AU930">
        <v>2021</v>
      </c>
      <c r="AV930">
        <v>293</v>
      </c>
      <c r="AW930" t="s">
        <v>74</v>
      </c>
      <c r="AX930" t="s">
        <v>74</v>
      </c>
      <c r="AY930" t="s">
        <v>74</v>
      </c>
      <c r="AZ930" t="s">
        <v>74</v>
      </c>
      <c r="BA930" t="s">
        <v>74</v>
      </c>
      <c r="BB930" t="s">
        <v>74</v>
      </c>
      <c r="BC930" t="s">
        <v>74</v>
      </c>
      <c r="BD930">
        <v>126118</v>
      </c>
      <c r="BE930" t="s">
        <v>17556</v>
      </c>
      <c r="BF930" t="str">
        <f>HYPERLINK("http://dx.doi.org/10.1016/j.jclepro.2021.126118","http://dx.doi.org/10.1016/j.jclepro.2021.126118")</f>
        <v>http://dx.doi.org/10.1016/j.jclepro.2021.126118</v>
      </c>
      <c r="BG930" t="s">
        <v>74</v>
      </c>
      <c r="BH930" t="s">
        <v>4131</v>
      </c>
      <c r="BI930">
        <v>9</v>
      </c>
      <c r="BJ930" t="s">
        <v>1543</v>
      </c>
      <c r="BK930" t="s">
        <v>102</v>
      </c>
      <c r="BL930" t="s">
        <v>1544</v>
      </c>
      <c r="BM930" t="s">
        <v>17557</v>
      </c>
      <c r="BN930" t="s">
        <v>74</v>
      </c>
      <c r="BO930" t="s">
        <v>74</v>
      </c>
      <c r="BP930" t="s">
        <v>74</v>
      </c>
      <c r="BQ930" t="s">
        <v>74</v>
      </c>
      <c r="BR930" t="s">
        <v>106</v>
      </c>
      <c r="BS930" t="s">
        <v>17558</v>
      </c>
      <c r="BT930" t="str">
        <f>HYPERLINK("https%3A%2F%2Fwww.webofscience.com%2Fwos%2Fwoscc%2Ffull-record%2FWOS:000636259500005","View Full Record in Web of Science")</f>
        <v>View Full Record in Web of Science</v>
      </c>
    </row>
    <row r="931" spans="1:72" x14ac:dyDescent="0.2">
      <c r="A931" t="s">
        <v>72</v>
      </c>
      <c r="B931" t="s">
        <v>17559</v>
      </c>
      <c r="C931" t="s">
        <v>74</v>
      </c>
      <c r="D931" t="s">
        <v>74</v>
      </c>
      <c r="E931" t="s">
        <v>74</v>
      </c>
      <c r="F931" t="s">
        <v>17560</v>
      </c>
      <c r="G931" t="s">
        <v>74</v>
      </c>
      <c r="H931" t="s">
        <v>74</v>
      </c>
      <c r="I931" t="s">
        <v>17561</v>
      </c>
      <c r="J931" t="s">
        <v>17562</v>
      </c>
      <c r="K931" t="s">
        <v>74</v>
      </c>
      <c r="L931" t="s">
        <v>74</v>
      </c>
      <c r="M931" t="s">
        <v>78</v>
      </c>
      <c r="N931" t="s">
        <v>79</v>
      </c>
      <c r="O931" t="s">
        <v>74</v>
      </c>
      <c r="P931" t="s">
        <v>74</v>
      </c>
      <c r="Q931" t="s">
        <v>74</v>
      </c>
      <c r="R931" t="s">
        <v>74</v>
      </c>
      <c r="S931" t="s">
        <v>74</v>
      </c>
      <c r="T931" t="s">
        <v>17563</v>
      </c>
      <c r="U931" t="s">
        <v>17564</v>
      </c>
      <c r="V931" t="s">
        <v>17565</v>
      </c>
      <c r="W931" t="s">
        <v>17566</v>
      </c>
      <c r="X931" t="s">
        <v>17567</v>
      </c>
      <c r="Y931" t="s">
        <v>17568</v>
      </c>
      <c r="Z931" t="s">
        <v>17569</v>
      </c>
      <c r="AA931" t="s">
        <v>17570</v>
      </c>
      <c r="AB931" t="s">
        <v>17571</v>
      </c>
      <c r="AC931" t="s">
        <v>17572</v>
      </c>
      <c r="AD931" t="s">
        <v>17573</v>
      </c>
      <c r="AE931" t="s">
        <v>17574</v>
      </c>
      <c r="AF931" t="s">
        <v>74</v>
      </c>
      <c r="AG931">
        <v>36</v>
      </c>
      <c r="AH931">
        <v>62</v>
      </c>
      <c r="AI931">
        <v>69</v>
      </c>
      <c r="AJ931">
        <v>1</v>
      </c>
      <c r="AK931">
        <v>18</v>
      </c>
      <c r="AL931" t="s">
        <v>3169</v>
      </c>
      <c r="AM931" t="s">
        <v>531</v>
      </c>
      <c r="AN931" t="s">
        <v>3170</v>
      </c>
      <c r="AO931" t="s">
        <v>17575</v>
      </c>
      <c r="AP931" t="s">
        <v>74</v>
      </c>
      <c r="AQ931" t="s">
        <v>74</v>
      </c>
      <c r="AR931" t="s">
        <v>17562</v>
      </c>
      <c r="AS931" t="s">
        <v>17576</v>
      </c>
      <c r="AT931" t="s">
        <v>1752</v>
      </c>
      <c r="AU931">
        <v>2017</v>
      </c>
      <c r="AV931">
        <v>1</v>
      </c>
      <c r="AW931">
        <v>6</v>
      </c>
      <c r="AX931" t="s">
        <v>74</v>
      </c>
      <c r="AY931" t="s">
        <v>74</v>
      </c>
      <c r="AZ931" t="s">
        <v>74</v>
      </c>
      <c r="BA931" t="s">
        <v>74</v>
      </c>
      <c r="BB931">
        <v>248</v>
      </c>
      <c r="BC931">
        <v>257</v>
      </c>
      <c r="BD931" t="s">
        <v>74</v>
      </c>
      <c r="BE931" t="s">
        <v>17577</v>
      </c>
      <c r="BF931" t="str">
        <f>HYPERLINK("http://dx.doi.org/10.1002/2016GH000018","http://dx.doi.org/10.1002/2016GH000018")</f>
        <v>http://dx.doi.org/10.1002/2016GH000018</v>
      </c>
      <c r="BG931" t="s">
        <v>74</v>
      </c>
      <c r="BH931" t="s">
        <v>74</v>
      </c>
      <c r="BI931">
        <v>10</v>
      </c>
      <c r="BJ931" t="s">
        <v>1042</v>
      </c>
      <c r="BK931" t="s">
        <v>102</v>
      </c>
      <c r="BL931" t="s">
        <v>1043</v>
      </c>
      <c r="BM931" t="s">
        <v>17578</v>
      </c>
      <c r="BN931">
        <v>32158990</v>
      </c>
      <c r="BO931" t="s">
        <v>161</v>
      </c>
      <c r="BP931" t="s">
        <v>74</v>
      </c>
      <c r="BQ931" t="s">
        <v>74</v>
      </c>
      <c r="BR931" t="s">
        <v>106</v>
      </c>
      <c r="BS931" t="s">
        <v>17579</v>
      </c>
      <c r="BT931" t="str">
        <f>HYPERLINK("https%3A%2F%2Fwww.webofscience.com%2Fwos%2Fwoscc%2Ffull-record%2FWOS:000458209100001","View Full Record in Web of Science")</f>
        <v>View Full Record in Web of Science</v>
      </c>
    </row>
    <row r="932" spans="1:72" x14ac:dyDescent="0.2">
      <c r="A932" t="s">
        <v>72</v>
      </c>
      <c r="B932" t="s">
        <v>17580</v>
      </c>
      <c r="C932" t="s">
        <v>74</v>
      </c>
      <c r="D932" t="s">
        <v>74</v>
      </c>
      <c r="E932" t="s">
        <v>74</v>
      </c>
      <c r="F932" t="s">
        <v>17581</v>
      </c>
      <c r="G932" t="s">
        <v>74</v>
      </c>
      <c r="H932" t="s">
        <v>74</v>
      </c>
      <c r="I932" t="s">
        <v>17582</v>
      </c>
      <c r="J932" t="s">
        <v>4303</v>
      </c>
      <c r="K932" t="s">
        <v>74</v>
      </c>
      <c r="L932" t="s">
        <v>74</v>
      </c>
      <c r="M932" t="s">
        <v>78</v>
      </c>
      <c r="N932" t="s">
        <v>79</v>
      </c>
      <c r="O932" t="s">
        <v>74</v>
      </c>
      <c r="P932" t="s">
        <v>74</v>
      </c>
      <c r="Q932" t="s">
        <v>74</v>
      </c>
      <c r="R932" t="s">
        <v>74</v>
      </c>
      <c r="S932" t="s">
        <v>74</v>
      </c>
      <c r="T932" t="s">
        <v>17583</v>
      </c>
      <c r="U932" t="s">
        <v>17584</v>
      </c>
      <c r="V932" t="s">
        <v>17585</v>
      </c>
      <c r="W932" t="s">
        <v>17586</v>
      </c>
      <c r="X932" t="s">
        <v>17587</v>
      </c>
      <c r="Y932" t="s">
        <v>17588</v>
      </c>
      <c r="Z932" t="s">
        <v>17589</v>
      </c>
      <c r="AA932" t="s">
        <v>17590</v>
      </c>
      <c r="AB932" t="s">
        <v>17591</v>
      </c>
      <c r="AC932" t="s">
        <v>17592</v>
      </c>
      <c r="AD932" t="s">
        <v>17593</v>
      </c>
      <c r="AE932" t="s">
        <v>17594</v>
      </c>
      <c r="AF932" t="s">
        <v>74</v>
      </c>
      <c r="AG932">
        <v>67</v>
      </c>
      <c r="AH932">
        <v>0</v>
      </c>
      <c r="AI932">
        <v>0</v>
      </c>
      <c r="AJ932">
        <v>18</v>
      </c>
      <c r="AK932">
        <v>18</v>
      </c>
      <c r="AL932" t="s">
        <v>629</v>
      </c>
      <c r="AM932" t="s">
        <v>630</v>
      </c>
      <c r="AN932" t="s">
        <v>631</v>
      </c>
      <c r="AO932" t="s">
        <v>4313</v>
      </c>
      <c r="AP932" t="s">
        <v>4314</v>
      </c>
      <c r="AQ932" t="s">
        <v>74</v>
      </c>
      <c r="AR932" t="s">
        <v>4303</v>
      </c>
      <c r="AS932" t="s">
        <v>4315</v>
      </c>
      <c r="AT932" t="s">
        <v>1752</v>
      </c>
      <c r="AU932">
        <v>2025</v>
      </c>
      <c r="AV932">
        <v>35</v>
      </c>
      <c r="AW932">
        <v>4</v>
      </c>
      <c r="AX932" t="s">
        <v>74</v>
      </c>
      <c r="AY932" t="s">
        <v>74</v>
      </c>
      <c r="AZ932" t="s">
        <v>74</v>
      </c>
      <c r="BA932" t="s">
        <v>74</v>
      </c>
      <c r="BB932">
        <v>741</v>
      </c>
      <c r="BC932">
        <v>750</v>
      </c>
      <c r="BD932" t="s">
        <v>74</v>
      </c>
      <c r="BE932" t="s">
        <v>17595</v>
      </c>
      <c r="BF932" t="str">
        <f>HYPERLINK("http://dx.doi.org/10.1016/j.pedsph.2024.06.003","http://dx.doi.org/10.1016/j.pedsph.2024.06.003")</f>
        <v>http://dx.doi.org/10.1016/j.pedsph.2024.06.003</v>
      </c>
      <c r="BG932" t="s">
        <v>74</v>
      </c>
      <c r="BH932" t="s">
        <v>413</v>
      </c>
      <c r="BI932">
        <v>10</v>
      </c>
      <c r="BJ932" t="s">
        <v>256</v>
      </c>
      <c r="BK932" t="s">
        <v>102</v>
      </c>
      <c r="BL932" t="s">
        <v>103</v>
      </c>
      <c r="BM932" t="s">
        <v>17596</v>
      </c>
      <c r="BN932" t="s">
        <v>74</v>
      </c>
      <c r="BO932" t="s">
        <v>74</v>
      </c>
      <c r="BP932" t="s">
        <v>74</v>
      </c>
      <c r="BQ932" t="s">
        <v>74</v>
      </c>
      <c r="BR932" t="s">
        <v>106</v>
      </c>
      <c r="BS932" t="s">
        <v>17597</v>
      </c>
      <c r="BT932" t="str">
        <f>HYPERLINK("https%3A%2F%2Fwww.webofscience.com%2Fwos%2Fwoscc%2Ffull-record%2FWOS:001519050000008","View Full Record in Web of Science")</f>
        <v>View Full Record in Web of Science</v>
      </c>
    </row>
    <row r="933" spans="1:72" x14ac:dyDescent="0.2">
      <c r="A933" t="s">
        <v>72</v>
      </c>
      <c r="B933" t="s">
        <v>17598</v>
      </c>
      <c r="C933" t="s">
        <v>74</v>
      </c>
      <c r="D933" t="s">
        <v>74</v>
      </c>
      <c r="E933" t="s">
        <v>74</v>
      </c>
      <c r="F933" t="s">
        <v>17599</v>
      </c>
      <c r="G933" t="s">
        <v>74</v>
      </c>
      <c r="H933" t="s">
        <v>74</v>
      </c>
      <c r="I933" t="s">
        <v>17600</v>
      </c>
      <c r="J933" t="s">
        <v>4502</v>
      </c>
      <c r="K933" t="s">
        <v>74</v>
      </c>
      <c r="L933" t="s">
        <v>74</v>
      </c>
      <c r="M933" t="s">
        <v>78</v>
      </c>
      <c r="N933" t="s">
        <v>79</v>
      </c>
      <c r="O933" t="s">
        <v>74</v>
      </c>
      <c r="P933" t="s">
        <v>74</v>
      </c>
      <c r="Q933" t="s">
        <v>74</v>
      </c>
      <c r="R933" t="s">
        <v>74</v>
      </c>
      <c r="S933" t="s">
        <v>74</v>
      </c>
      <c r="T933" t="s">
        <v>17601</v>
      </c>
      <c r="U933" t="s">
        <v>17602</v>
      </c>
      <c r="V933" t="s">
        <v>17603</v>
      </c>
      <c r="W933" t="s">
        <v>17604</v>
      </c>
      <c r="X933" t="s">
        <v>17605</v>
      </c>
      <c r="Y933" t="s">
        <v>17606</v>
      </c>
      <c r="Z933" t="s">
        <v>17607</v>
      </c>
      <c r="AA933" t="s">
        <v>17608</v>
      </c>
      <c r="AB933" t="s">
        <v>17609</v>
      </c>
      <c r="AC933" t="s">
        <v>17610</v>
      </c>
      <c r="AD933" t="s">
        <v>17611</v>
      </c>
      <c r="AE933" t="s">
        <v>17612</v>
      </c>
      <c r="AF933" t="s">
        <v>74</v>
      </c>
      <c r="AG933">
        <v>56</v>
      </c>
      <c r="AH933">
        <v>76</v>
      </c>
      <c r="AI933">
        <v>87</v>
      </c>
      <c r="AJ933">
        <v>9</v>
      </c>
      <c r="AK933">
        <v>342</v>
      </c>
      <c r="AL933" t="s">
        <v>2162</v>
      </c>
      <c r="AM933" t="s">
        <v>124</v>
      </c>
      <c r="AN933" t="s">
        <v>2163</v>
      </c>
      <c r="AO933" t="s">
        <v>4514</v>
      </c>
      <c r="AP933" t="s">
        <v>4515</v>
      </c>
      <c r="AQ933" t="s">
        <v>74</v>
      </c>
      <c r="AR933" t="s">
        <v>4516</v>
      </c>
      <c r="AS933" t="s">
        <v>4517</v>
      </c>
      <c r="AT933" t="s">
        <v>805</v>
      </c>
      <c r="AU933">
        <v>2015</v>
      </c>
      <c r="AV933">
        <v>96</v>
      </c>
      <c r="AW933" t="s">
        <v>74</v>
      </c>
      <c r="AX933" t="s">
        <v>74</v>
      </c>
      <c r="AY933" t="s">
        <v>74</v>
      </c>
      <c r="AZ933" t="s">
        <v>74</v>
      </c>
      <c r="BA933" t="s">
        <v>74</v>
      </c>
      <c r="BB933">
        <v>122</v>
      </c>
      <c r="BC933">
        <v>130</v>
      </c>
      <c r="BD933" t="s">
        <v>74</v>
      </c>
      <c r="BE933" t="s">
        <v>17613</v>
      </c>
      <c r="BF933" t="str">
        <f>HYPERLINK("http://dx.doi.org/10.1016/j.apsoil.2015.07.016","http://dx.doi.org/10.1016/j.apsoil.2015.07.016")</f>
        <v>http://dx.doi.org/10.1016/j.apsoil.2015.07.016</v>
      </c>
      <c r="BG933" t="s">
        <v>74</v>
      </c>
      <c r="BH933" t="s">
        <v>74</v>
      </c>
      <c r="BI933">
        <v>9</v>
      </c>
      <c r="BJ933" t="s">
        <v>256</v>
      </c>
      <c r="BK933" t="s">
        <v>102</v>
      </c>
      <c r="BL933" t="s">
        <v>103</v>
      </c>
      <c r="BM933" t="s">
        <v>17614</v>
      </c>
      <c r="BN933" t="s">
        <v>74</v>
      </c>
      <c r="BO933" t="s">
        <v>231</v>
      </c>
      <c r="BP933" t="s">
        <v>74</v>
      </c>
      <c r="BQ933" t="s">
        <v>74</v>
      </c>
      <c r="BR933" t="s">
        <v>106</v>
      </c>
      <c r="BS933" t="s">
        <v>17615</v>
      </c>
      <c r="BT933" t="str">
        <f>HYPERLINK("https%3A%2F%2Fwww.webofscience.com%2Fwos%2Fwoscc%2Ffull-record%2FWOS:000361880400015","View Full Record in Web of Science")</f>
        <v>View Full Record in Web of Science</v>
      </c>
    </row>
    <row r="934" spans="1:72" x14ac:dyDescent="0.2">
      <c r="A934" t="s">
        <v>72</v>
      </c>
      <c r="B934" t="s">
        <v>17616</v>
      </c>
      <c r="C934" t="s">
        <v>74</v>
      </c>
      <c r="D934" t="s">
        <v>74</v>
      </c>
      <c r="E934" t="s">
        <v>74</v>
      </c>
      <c r="F934" t="s">
        <v>17617</v>
      </c>
      <c r="G934" t="s">
        <v>74</v>
      </c>
      <c r="H934" t="s">
        <v>74</v>
      </c>
      <c r="I934" t="s">
        <v>17618</v>
      </c>
      <c r="J934" t="s">
        <v>17619</v>
      </c>
      <c r="K934" t="s">
        <v>74</v>
      </c>
      <c r="L934" t="s">
        <v>74</v>
      </c>
      <c r="M934" t="s">
        <v>78</v>
      </c>
      <c r="N934" t="s">
        <v>79</v>
      </c>
      <c r="O934" t="s">
        <v>74</v>
      </c>
      <c r="P934" t="s">
        <v>74</v>
      </c>
      <c r="Q934" t="s">
        <v>74</v>
      </c>
      <c r="R934" t="s">
        <v>74</v>
      </c>
      <c r="S934" t="s">
        <v>74</v>
      </c>
      <c r="T934" t="s">
        <v>17620</v>
      </c>
      <c r="U934" t="s">
        <v>17621</v>
      </c>
      <c r="V934" t="s">
        <v>17622</v>
      </c>
      <c r="W934" t="s">
        <v>17623</v>
      </c>
      <c r="X934" t="s">
        <v>17624</v>
      </c>
      <c r="Y934" t="s">
        <v>17625</v>
      </c>
      <c r="Z934" t="s">
        <v>17626</v>
      </c>
      <c r="AA934" t="s">
        <v>17627</v>
      </c>
      <c r="AB934" t="s">
        <v>17628</v>
      </c>
      <c r="AC934" t="s">
        <v>17629</v>
      </c>
      <c r="AD934" t="s">
        <v>17630</v>
      </c>
      <c r="AE934" t="s">
        <v>17631</v>
      </c>
      <c r="AF934" t="s">
        <v>74</v>
      </c>
      <c r="AG934">
        <v>25</v>
      </c>
      <c r="AH934">
        <v>0</v>
      </c>
      <c r="AI934">
        <v>0</v>
      </c>
      <c r="AJ934">
        <v>8</v>
      </c>
      <c r="AK934">
        <v>18</v>
      </c>
      <c r="AL934" t="s">
        <v>3942</v>
      </c>
      <c r="AM934" t="s">
        <v>3943</v>
      </c>
      <c r="AN934" t="s">
        <v>3944</v>
      </c>
      <c r="AO934" t="s">
        <v>17632</v>
      </c>
      <c r="AP934" t="s">
        <v>17633</v>
      </c>
      <c r="AQ934" t="s">
        <v>74</v>
      </c>
      <c r="AR934" t="s">
        <v>17634</v>
      </c>
      <c r="AS934" t="s">
        <v>17635</v>
      </c>
      <c r="AT934" t="s">
        <v>74</v>
      </c>
      <c r="AU934">
        <v>2025</v>
      </c>
      <c r="AV934">
        <v>74</v>
      </c>
      <c r="AW934" t="s">
        <v>74</v>
      </c>
      <c r="AX934" t="s">
        <v>74</v>
      </c>
      <c r="AY934" t="s">
        <v>74</v>
      </c>
      <c r="AZ934" t="s">
        <v>74</v>
      </c>
      <c r="BA934" t="s">
        <v>74</v>
      </c>
      <c r="BB934" t="s">
        <v>74</v>
      </c>
      <c r="BC934" t="s">
        <v>74</v>
      </c>
      <c r="BD934">
        <v>8501413</v>
      </c>
      <c r="BE934" t="s">
        <v>17636</v>
      </c>
      <c r="BF934" t="str">
        <f>HYPERLINK("http://dx.doi.org/10.1109/TIM.2024.3522341","http://dx.doi.org/10.1109/TIM.2024.3522341")</f>
        <v>http://dx.doi.org/10.1109/TIM.2024.3522341</v>
      </c>
      <c r="BG934" t="s">
        <v>74</v>
      </c>
      <c r="BH934" t="s">
        <v>74</v>
      </c>
      <c r="BI934">
        <v>13</v>
      </c>
      <c r="BJ934" t="s">
        <v>17637</v>
      </c>
      <c r="BK934" t="s">
        <v>102</v>
      </c>
      <c r="BL934" t="s">
        <v>17638</v>
      </c>
      <c r="BM934" t="s">
        <v>17639</v>
      </c>
      <c r="BN934" t="s">
        <v>74</v>
      </c>
      <c r="BO934" t="s">
        <v>74</v>
      </c>
      <c r="BP934" t="s">
        <v>74</v>
      </c>
      <c r="BQ934" t="s">
        <v>74</v>
      </c>
      <c r="BR934" t="s">
        <v>106</v>
      </c>
      <c r="BS934" t="s">
        <v>17640</v>
      </c>
      <c r="BT934" t="str">
        <f>HYPERLINK("https%3A%2F%2Fwww.webofscience.com%2Fwos%2Fwoscc%2Ffull-record%2FWOS:001395650800002","View Full Record in Web of Science")</f>
        <v>View Full Record in Web of Science</v>
      </c>
    </row>
    <row r="935" spans="1:72" x14ac:dyDescent="0.2">
      <c r="A935" t="s">
        <v>72</v>
      </c>
      <c r="B935" t="s">
        <v>17641</v>
      </c>
      <c r="C935" t="s">
        <v>74</v>
      </c>
      <c r="D935" t="s">
        <v>74</v>
      </c>
      <c r="E935" t="s">
        <v>74</v>
      </c>
      <c r="F935" t="s">
        <v>17642</v>
      </c>
      <c r="G935" t="s">
        <v>74</v>
      </c>
      <c r="H935" t="s">
        <v>74</v>
      </c>
      <c r="I935" t="s">
        <v>17643</v>
      </c>
      <c r="J935" t="s">
        <v>17644</v>
      </c>
      <c r="K935" t="s">
        <v>74</v>
      </c>
      <c r="L935" t="s">
        <v>74</v>
      </c>
      <c r="M935" t="s">
        <v>78</v>
      </c>
      <c r="N935" t="s">
        <v>17645</v>
      </c>
      <c r="O935" t="s">
        <v>74</v>
      </c>
      <c r="P935" t="s">
        <v>74</v>
      </c>
      <c r="Q935" t="s">
        <v>74</v>
      </c>
      <c r="R935" t="s">
        <v>74</v>
      </c>
      <c r="S935" t="s">
        <v>74</v>
      </c>
      <c r="T935" t="s">
        <v>74</v>
      </c>
      <c r="U935" t="s">
        <v>74</v>
      </c>
      <c r="V935" t="s">
        <v>74</v>
      </c>
      <c r="W935" t="s">
        <v>17646</v>
      </c>
      <c r="X935" t="s">
        <v>17647</v>
      </c>
      <c r="Y935" t="s">
        <v>17648</v>
      </c>
      <c r="Z935" t="s">
        <v>17649</v>
      </c>
      <c r="AA935" t="s">
        <v>74</v>
      </c>
      <c r="AB935" t="s">
        <v>74</v>
      </c>
      <c r="AC935" t="s">
        <v>74</v>
      </c>
      <c r="AD935" t="s">
        <v>74</v>
      </c>
      <c r="AE935" t="s">
        <v>74</v>
      </c>
      <c r="AF935" t="s">
        <v>74</v>
      </c>
      <c r="AG935">
        <v>1</v>
      </c>
      <c r="AH935">
        <v>0</v>
      </c>
      <c r="AI935">
        <v>0</v>
      </c>
      <c r="AJ935">
        <v>1</v>
      </c>
      <c r="AK935">
        <v>1</v>
      </c>
      <c r="AL935" t="s">
        <v>10469</v>
      </c>
      <c r="AM935" t="s">
        <v>177</v>
      </c>
      <c r="AN935" t="s">
        <v>10470</v>
      </c>
      <c r="AO935" t="s">
        <v>17650</v>
      </c>
      <c r="AP935" t="s">
        <v>17651</v>
      </c>
      <c r="AQ935" t="s">
        <v>74</v>
      </c>
      <c r="AR935" t="s">
        <v>17652</v>
      </c>
      <c r="AS935" t="s">
        <v>17653</v>
      </c>
      <c r="AT935" t="s">
        <v>636</v>
      </c>
      <c r="AU935">
        <v>2025</v>
      </c>
      <c r="AV935">
        <v>21</v>
      </c>
      <c r="AW935">
        <v>3</v>
      </c>
      <c r="AX935" t="s">
        <v>74</v>
      </c>
      <c r="AY935" t="s">
        <v>74</v>
      </c>
      <c r="AZ935" t="s">
        <v>74</v>
      </c>
      <c r="BA935" t="s">
        <v>74</v>
      </c>
      <c r="BB935" t="s">
        <v>74</v>
      </c>
      <c r="BC935" t="s">
        <v>74</v>
      </c>
      <c r="BD935" t="s">
        <v>74</v>
      </c>
      <c r="BE935" t="s">
        <v>74</v>
      </c>
      <c r="BF935" t="s">
        <v>74</v>
      </c>
      <c r="BG935" t="s">
        <v>74</v>
      </c>
      <c r="BH935" t="s">
        <v>74</v>
      </c>
      <c r="BI935">
        <v>7</v>
      </c>
      <c r="BJ935" t="s">
        <v>2431</v>
      </c>
      <c r="BK935" t="s">
        <v>102</v>
      </c>
      <c r="BL935" t="s">
        <v>2432</v>
      </c>
      <c r="BM935" t="s">
        <v>17654</v>
      </c>
      <c r="BN935" t="s">
        <v>74</v>
      </c>
      <c r="BO935" t="s">
        <v>74</v>
      </c>
      <c r="BP935" t="s">
        <v>74</v>
      </c>
      <c r="BQ935" t="s">
        <v>74</v>
      </c>
      <c r="BR935" t="s">
        <v>106</v>
      </c>
      <c r="BS935" t="s">
        <v>17655</v>
      </c>
      <c r="BT935" t="str">
        <f>HYPERLINK("https%3A%2F%2Fwww.webofscience.com%2Fwos%2Fwoscc%2Ffull-record%2FWOS:001484277000003","View Full Record in Web of Science")</f>
        <v>View Full Record in Web of Science</v>
      </c>
    </row>
    <row r="936" spans="1:72" x14ac:dyDescent="0.2">
      <c r="A936" t="s">
        <v>72</v>
      </c>
      <c r="B936" t="s">
        <v>17656</v>
      </c>
      <c r="C936" t="s">
        <v>74</v>
      </c>
      <c r="D936" t="s">
        <v>74</v>
      </c>
      <c r="E936" t="s">
        <v>74</v>
      </c>
      <c r="F936" t="s">
        <v>17657</v>
      </c>
      <c r="G936" t="s">
        <v>74</v>
      </c>
      <c r="H936" t="s">
        <v>74</v>
      </c>
      <c r="I936" t="s">
        <v>17658</v>
      </c>
      <c r="J936" t="s">
        <v>491</v>
      </c>
      <c r="K936" t="s">
        <v>74</v>
      </c>
      <c r="L936" t="s">
        <v>74</v>
      </c>
      <c r="M936" t="s">
        <v>78</v>
      </c>
      <c r="N936" t="s">
        <v>79</v>
      </c>
      <c r="O936" t="s">
        <v>74</v>
      </c>
      <c r="P936" t="s">
        <v>74</v>
      </c>
      <c r="Q936" t="s">
        <v>74</v>
      </c>
      <c r="R936" t="s">
        <v>74</v>
      </c>
      <c r="S936" t="s">
        <v>74</v>
      </c>
      <c r="T936" t="s">
        <v>17659</v>
      </c>
      <c r="U936" t="s">
        <v>17660</v>
      </c>
      <c r="V936" t="s">
        <v>17661</v>
      </c>
      <c r="W936" t="s">
        <v>17662</v>
      </c>
      <c r="X936" t="s">
        <v>74</v>
      </c>
      <c r="Y936" t="s">
        <v>17663</v>
      </c>
      <c r="Z936" t="s">
        <v>17664</v>
      </c>
      <c r="AA936" t="s">
        <v>74</v>
      </c>
      <c r="AB936" t="s">
        <v>74</v>
      </c>
      <c r="AC936" t="s">
        <v>17665</v>
      </c>
      <c r="AD936" t="s">
        <v>17665</v>
      </c>
      <c r="AE936" t="s">
        <v>17666</v>
      </c>
      <c r="AF936" t="s">
        <v>74</v>
      </c>
      <c r="AG936">
        <v>84</v>
      </c>
      <c r="AH936">
        <v>5</v>
      </c>
      <c r="AI936">
        <v>6</v>
      </c>
      <c r="AJ936">
        <v>4</v>
      </c>
      <c r="AK936">
        <v>21</v>
      </c>
      <c r="AL936" t="s">
        <v>504</v>
      </c>
      <c r="AM936" t="s">
        <v>505</v>
      </c>
      <c r="AN936" t="s">
        <v>506</v>
      </c>
      <c r="AO936" t="s">
        <v>507</v>
      </c>
      <c r="AP936" t="s">
        <v>508</v>
      </c>
      <c r="AQ936" t="s">
        <v>74</v>
      </c>
      <c r="AR936" t="s">
        <v>509</v>
      </c>
      <c r="AS936" t="s">
        <v>510</v>
      </c>
      <c r="AT936" t="s">
        <v>281</v>
      </c>
      <c r="AU936">
        <v>2025</v>
      </c>
      <c r="AV936">
        <v>27</v>
      </c>
      <c r="AW936">
        <v>6</v>
      </c>
      <c r="AX936" t="s">
        <v>74</v>
      </c>
      <c r="AY936" t="s">
        <v>74</v>
      </c>
      <c r="AZ936" t="s">
        <v>74</v>
      </c>
      <c r="BA936" t="s">
        <v>74</v>
      </c>
      <c r="BB936">
        <v>14913</v>
      </c>
      <c r="BC936">
        <v>14934</v>
      </c>
      <c r="BD936" t="s">
        <v>74</v>
      </c>
      <c r="BE936" t="s">
        <v>17667</v>
      </c>
      <c r="BF936" t="str">
        <f>HYPERLINK("http://dx.doi.org/10.1007/s10668-024-04523-7","http://dx.doi.org/10.1007/s10668-024-04523-7")</f>
        <v>http://dx.doi.org/10.1007/s10668-024-04523-7</v>
      </c>
      <c r="BG936" t="s">
        <v>74</v>
      </c>
      <c r="BH936" t="s">
        <v>2430</v>
      </c>
      <c r="BI936">
        <v>22</v>
      </c>
      <c r="BJ936" t="s">
        <v>514</v>
      </c>
      <c r="BK936" t="s">
        <v>102</v>
      </c>
      <c r="BL936" t="s">
        <v>485</v>
      </c>
      <c r="BM936" t="s">
        <v>17668</v>
      </c>
      <c r="BN936" t="s">
        <v>74</v>
      </c>
      <c r="BO936" t="s">
        <v>916</v>
      </c>
      <c r="BP936" t="s">
        <v>74</v>
      </c>
      <c r="BQ936" t="s">
        <v>74</v>
      </c>
      <c r="BR936" t="s">
        <v>106</v>
      </c>
      <c r="BS936" t="s">
        <v>17669</v>
      </c>
      <c r="BT936" t="str">
        <f>HYPERLINK("https%3A%2F%2Fwww.webofscience.com%2Fwos%2Fwoscc%2Ffull-record%2FWOS:001163268500002","View Full Record in Web of Science")</f>
        <v>View Full Record in Web of Science</v>
      </c>
    </row>
    <row r="937" spans="1:72" x14ac:dyDescent="0.2">
      <c r="A937" t="s">
        <v>72</v>
      </c>
      <c r="B937" t="s">
        <v>17670</v>
      </c>
      <c r="C937" t="s">
        <v>74</v>
      </c>
      <c r="D937" t="s">
        <v>74</v>
      </c>
      <c r="E937" t="s">
        <v>74</v>
      </c>
      <c r="F937" t="s">
        <v>17671</v>
      </c>
      <c r="G937" t="s">
        <v>74</v>
      </c>
      <c r="H937" t="s">
        <v>74</v>
      </c>
      <c r="I937" t="s">
        <v>17672</v>
      </c>
      <c r="J937" t="s">
        <v>5876</v>
      </c>
      <c r="K937" t="s">
        <v>74</v>
      </c>
      <c r="L937" t="s">
        <v>74</v>
      </c>
      <c r="M937" t="s">
        <v>78</v>
      </c>
      <c r="N937" t="s">
        <v>79</v>
      </c>
      <c r="O937" t="s">
        <v>74</v>
      </c>
      <c r="P937" t="s">
        <v>74</v>
      </c>
      <c r="Q937" t="s">
        <v>74</v>
      </c>
      <c r="R937" t="s">
        <v>74</v>
      </c>
      <c r="S937" t="s">
        <v>74</v>
      </c>
      <c r="T937" t="s">
        <v>17673</v>
      </c>
      <c r="U937" t="s">
        <v>17674</v>
      </c>
      <c r="V937" t="s">
        <v>17675</v>
      </c>
      <c r="W937" t="s">
        <v>17676</v>
      </c>
      <c r="X937" t="s">
        <v>17677</v>
      </c>
      <c r="Y937" t="s">
        <v>17678</v>
      </c>
      <c r="Z937" t="s">
        <v>17679</v>
      </c>
      <c r="AA937" t="s">
        <v>17680</v>
      </c>
      <c r="AB937" t="s">
        <v>17681</v>
      </c>
      <c r="AC937" t="s">
        <v>17682</v>
      </c>
      <c r="AD937" t="s">
        <v>17682</v>
      </c>
      <c r="AE937" t="s">
        <v>17683</v>
      </c>
      <c r="AF937" t="s">
        <v>74</v>
      </c>
      <c r="AG937">
        <v>66</v>
      </c>
      <c r="AH937">
        <v>8</v>
      </c>
      <c r="AI937">
        <v>13</v>
      </c>
      <c r="AJ937">
        <v>5</v>
      </c>
      <c r="AK937">
        <v>88</v>
      </c>
      <c r="AL937" t="s">
        <v>123</v>
      </c>
      <c r="AM937" t="s">
        <v>124</v>
      </c>
      <c r="AN937" t="s">
        <v>125</v>
      </c>
      <c r="AO937" t="s">
        <v>5888</v>
      </c>
      <c r="AP937" t="s">
        <v>5889</v>
      </c>
      <c r="AQ937" t="s">
        <v>74</v>
      </c>
      <c r="AR937" t="s">
        <v>5890</v>
      </c>
      <c r="AS937" t="s">
        <v>5891</v>
      </c>
      <c r="AT937" t="s">
        <v>2977</v>
      </c>
      <c r="AU937">
        <v>2018</v>
      </c>
      <c r="AV937">
        <v>226</v>
      </c>
      <c r="AW937" t="s">
        <v>74</v>
      </c>
      <c r="AX937" t="s">
        <v>74</v>
      </c>
      <c r="AY937" t="s">
        <v>74</v>
      </c>
      <c r="AZ937" t="s">
        <v>74</v>
      </c>
      <c r="BA937" t="s">
        <v>74</v>
      </c>
      <c r="BB937">
        <v>16</v>
      </c>
      <c r="BC937">
        <v>27</v>
      </c>
      <c r="BD937" t="s">
        <v>74</v>
      </c>
      <c r="BE937" t="s">
        <v>17684</v>
      </c>
      <c r="BF937" t="str">
        <f>HYPERLINK("http://dx.doi.org/10.1016/j.fcr.2018.07.001","http://dx.doi.org/10.1016/j.fcr.2018.07.001")</f>
        <v>http://dx.doi.org/10.1016/j.fcr.2018.07.001</v>
      </c>
      <c r="BG937" t="s">
        <v>74</v>
      </c>
      <c r="BH937" t="s">
        <v>74</v>
      </c>
      <c r="BI937">
        <v>12</v>
      </c>
      <c r="BJ937" t="s">
        <v>1357</v>
      </c>
      <c r="BK937" t="s">
        <v>102</v>
      </c>
      <c r="BL937" t="s">
        <v>103</v>
      </c>
      <c r="BM937" t="s">
        <v>17685</v>
      </c>
      <c r="BN937" t="s">
        <v>74</v>
      </c>
      <c r="BO937" t="s">
        <v>74</v>
      </c>
      <c r="BP937" t="s">
        <v>74</v>
      </c>
      <c r="BQ937" t="s">
        <v>74</v>
      </c>
      <c r="BR937" t="s">
        <v>106</v>
      </c>
      <c r="BS937" t="s">
        <v>17686</v>
      </c>
      <c r="BT937" t="str">
        <f>HYPERLINK("https%3A%2F%2Fwww.webofscience.com%2Fwos%2Fwoscc%2Ffull-record%2FWOS:000445308100002","View Full Record in Web of Science")</f>
        <v>View Full Record in Web of Science</v>
      </c>
    </row>
    <row r="938" spans="1:72" x14ac:dyDescent="0.2">
      <c r="A938" t="s">
        <v>72</v>
      </c>
      <c r="B938" t="s">
        <v>17687</v>
      </c>
      <c r="C938" t="s">
        <v>74</v>
      </c>
      <c r="D938" t="s">
        <v>74</v>
      </c>
      <c r="E938" t="s">
        <v>74</v>
      </c>
      <c r="F938" t="s">
        <v>17688</v>
      </c>
      <c r="G938" t="s">
        <v>74</v>
      </c>
      <c r="H938" t="s">
        <v>74</v>
      </c>
      <c r="I938" t="s">
        <v>17689</v>
      </c>
      <c r="J938" t="s">
        <v>16306</v>
      </c>
      <c r="K938" t="s">
        <v>74</v>
      </c>
      <c r="L938" t="s">
        <v>74</v>
      </c>
      <c r="M938" t="s">
        <v>78</v>
      </c>
      <c r="N938" t="s">
        <v>79</v>
      </c>
      <c r="O938" t="s">
        <v>74</v>
      </c>
      <c r="P938" t="s">
        <v>74</v>
      </c>
      <c r="Q938" t="s">
        <v>74</v>
      </c>
      <c r="R938" t="s">
        <v>74</v>
      </c>
      <c r="S938" t="s">
        <v>74</v>
      </c>
      <c r="T938" t="s">
        <v>74</v>
      </c>
      <c r="U938" t="s">
        <v>17690</v>
      </c>
      <c r="V938" t="s">
        <v>17691</v>
      </c>
      <c r="W938" t="s">
        <v>17692</v>
      </c>
      <c r="X938" t="s">
        <v>17693</v>
      </c>
      <c r="Y938" t="s">
        <v>17694</v>
      </c>
      <c r="Z938" t="s">
        <v>17695</v>
      </c>
      <c r="AA938" t="s">
        <v>17696</v>
      </c>
      <c r="AB938" t="s">
        <v>74</v>
      </c>
      <c r="AC938" t="s">
        <v>74</v>
      </c>
      <c r="AD938" t="s">
        <v>74</v>
      </c>
      <c r="AE938" t="s">
        <v>74</v>
      </c>
      <c r="AF938" t="s">
        <v>74</v>
      </c>
      <c r="AG938">
        <v>93</v>
      </c>
      <c r="AH938">
        <v>1</v>
      </c>
      <c r="AI938">
        <v>1</v>
      </c>
      <c r="AJ938">
        <v>5</v>
      </c>
      <c r="AK938">
        <v>13</v>
      </c>
      <c r="AL938" t="s">
        <v>247</v>
      </c>
      <c r="AM938" t="s">
        <v>248</v>
      </c>
      <c r="AN938" t="s">
        <v>249</v>
      </c>
      <c r="AO938" t="s">
        <v>16318</v>
      </c>
      <c r="AP938" t="s">
        <v>16319</v>
      </c>
      <c r="AQ938" t="s">
        <v>74</v>
      </c>
      <c r="AR938" t="s">
        <v>16320</v>
      </c>
      <c r="AS938" t="s">
        <v>16321</v>
      </c>
      <c r="AT938" t="s">
        <v>99</v>
      </c>
      <c r="AU938">
        <v>2024</v>
      </c>
      <c r="AV938">
        <v>53</v>
      </c>
      <c r="AW938">
        <v>2</v>
      </c>
      <c r="AX938" t="s">
        <v>74</v>
      </c>
      <c r="AY938" t="s">
        <v>74</v>
      </c>
      <c r="AZ938" t="s">
        <v>74</v>
      </c>
      <c r="BA938" t="s">
        <v>74</v>
      </c>
      <c r="BB938">
        <v>147</v>
      </c>
      <c r="BC938">
        <v>161</v>
      </c>
      <c r="BD938" t="s">
        <v>74</v>
      </c>
      <c r="BE938" t="s">
        <v>17697</v>
      </c>
      <c r="BF938" t="str">
        <f>HYPERLINK("http://dx.doi.org/10.1002/jeq2.20542","http://dx.doi.org/10.1002/jeq2.20542")</f>
        <v>http://dx.doi.org/10.1002/jeq2.20542</v>
      </c>
      <c r="BG938" t="s">
        <v>74</v>
      </c>
      <c r="BH938" t="s">
        <v>1314</v>
      </c>
      <c r="BI938">
        <v>15</v>
      </c>
      <c r="BJ938" t="s">
        <v>567</v>
      </c>
      <c r="BK938" t="s">
        <v>102</v>
      </c>
      <c r="BL938" t="s">
        <v>568</v>
      </c>
      <c r="BM938" t="s">
        <v>17698</v>
      </c>
      <c r="BN938">
        <v>38263582</v>
      </c>
      <c r="BO938" t="s">
        <v>3889</v>
      </c>
      <c r="BP938" t="s">
        <v>74</v>
      </c>
      <c r="BQ938" t="s">
        <v>74</v>
      </c>
      <c r="BR938" t="s">
        <v>106</v>
      </c>
      <c r="BS938" t="s">
        <v>17699</v>
      </c>
      <c r="BT938" t="str">
        <f>HYPERLINK("https%3A%2F%2Fwww.webofscience.com%2Fwos%2Fwoscc%2Ffull-record%2FWOS:001147425800001","View Full Record in Web of Science")</f>
        <v>View Full Record in Web of Science</v>
      </c>
    </row>
    <row r="939" spans="1:72" x14ac:dyDescent="0.2">
      <c r="A939" t="s">
        <v>72</v>
      </c>
      <c r="B939" t="s">
        <v>17700</v>
      </c>
      <c r="C939" t="s">
        <v>74</v>
      </c>
      <c r="D939" t="s">
        <v>74</v>
      </c>
      <c r="E939" t="s">
        <v>74</v>
      </c>
      <c r="F939" t="s">
        <v>17701</v>
      </c>
      <c r="G939" t="s">
        <v>74</v>
      </c>
      <c r="H939" t="s">
        <v>74</v>
      </c>
      <c r="I939" t="s">
        <v>17702</v>
      </c>
      <c r="J939" t="s">
        <v>17703</v>
      </c>
      <c r="K939" t="s">
        <v>74</v>
      </c>
      <c r="L939" t="s">
        <v>74</v>
      </c>
      <c r="M939" t="s">
        <v>78</v>
      </c>
      <c r="N939" t="s">
        <v>79</v>
      </c>
      <c r="O939" t="s">
        <v>74</v>
      </c>
      <c r="P939" t="s">
        <v>74</v>
      </c>
      <c r="Q939" t="s">
        <v>74</v>
      </c>
      <c r="R939" t="s">
        <v>74</v>
      </c>
      <c r="S939" t="s">
        <v>74</v>
      </c>
      <c r="T939" t="s">
        <v>17704</v>
      </c>
      <c r="U939" t="s">
        <v>17705</v>
      </c>
      <c r="V939" t="s">
        <v>17706</v>
      </c>
      <c r="W939" t="s">
        <v>17707</v>
      </c>
      <c r="X939" t="s">
        <v>17708</v>
      </c>
      <c r="Y939" t="s">
        <v>17709</v>
      </c>
      <c r="Z939" t="s">
        <v>17710</v>
      </c>
      <c r="AA939" t="s">
        <v>17711</v>
      </c>
      <c r="AB939" t="s">
        <v>17712</v>
      </c>
      <c r="AC939" t="s">
        <v>17713</v>
      </c>
      <c r="AD939" t="s">
        <v>17714</v>
      </c>
      <c r="AE939" t="s">
        <v>17715</v>
      </c>
      <c r="AF939" t="s">
        <v>74</v>
      </c>
      <c r="AG939">
        <v>75</v>
      </c>
      <c r="AH939">
        <v>21</v>
      </c>
      <c r="AI939">
        <v>21</v>
      </c>
      <c r="AJ939">
        <v>13</v>
      </c>
      <c r="AK939">
        <v>71</v>
      </c>
      <c r="AL939" t="s">
        <v>123</v>
      </c>
      <c r="AM939" t="s">
        <v>124</v>
      </c>
      <c r="AN939" t="s">
        <v>125</v>
      </c>
      <c r="AO939" t="s">
        <v>17716</v>
      </c>
      <c r="AP939" t="s">
        <v>17717</v>
      </c>
      <c r="AQ939" t="s">
        <v>74</v>
      </c>
      <c r="AR939" t="s">
        <v>17718</v>
      </c>
      <c r="AS939" t="s">
        <v>17719</v>
      </c>
      <c r="AT939" t="s">
        <v>227</v>
      </c>
      <c r="AU939">
        <v>2023</v>
      </c>
      <c r="AV939">
        <v>88</v>
      </c>
      <c r="AW939" t="s">
        <v>74</v>
      </c>
      <c r="AX939" t="s">
        <v>74</v>
      </c>
      <c r="AY939" t="s">
        <v>74</v>
      </c>
      <c r="AZ939" t="s">
        <v>74</v>
      </c>
      <c r="BA939" t="s">
        <v>74</v>
      </c>
      <c r="BB939" t="s">
        <v>74</v>
      </c>
      <c r="BC939" t="s">
        <v>74</v>
      </c>
      <c r="BD939">
        <v>104299</v>
      </c>
      <c r="BE939" t="s">
        <v>17720</v>
      </c>
      <c r="BF939" t="str">
        <f>HYPERLINK("http://dx.doi.org/10.1016/j.scs.2022.104299","http://dx.doi.org/10.1016/j.scs.2022.104299")</f>
        <v>http://dx.doi.org/10.1016/j.scs.2022.104299</v>
      </c>
      <c r="BG939" t="s">
        <v>74</v>
      </c>
      <c r="BH939" t="s">
        <v>10385</v>
      </c>
      <c r="BI939">
        <v>9</v>
      </c>
      <c r="BJ939" t="s">
        <v>17721</v>
      </c>
      <c r="BK939" t="s">
        <v>102</v>
      </c>
      <c r="BL939" t="s">
        <v>17722</v>
      </c>
      <c r="BM939" t="s">
        <v>17723</v>
      </c>
      <c r="BN939" t="s">
        <v>74</v>
      </c>
      <c r="BO939" t="s">
        <v>74</v>
      </c>
      <c r="BP939" t="s">
        <v>74</v>
      </c>
      <c r="BQ939" t="s">
        <v>74</v>
      </c>
      <c r="BR939" t="s">
        <v>106</v>
      </c>
      <c r="BS939" t="s">
        <v>17724</v>
      </c>
      <c r="BT939" t="str">
        <f>HYPERLINK("https%3A%2F%2Fwww.webofscience.com%2Fwos%2Fwoscc%2Ffull-record%2FWOS:000913146900001","View Full Record in Web of Science")</f>
        <v>View Full Record in Web of Science</v>
      </c>
    </row>
    <row r="940" spans="1:72" x14ac:dyDescent="0.2">
      <c r="A940" t="s">
        <v>72</v>
      </c>
      <c r="B940" t="s">
        <v>17725</v>
      </c>
      <c r="C940" t="s">
        <v>74</v>
      </c>
      <c r="D940" t="s">
        <v>74</v>
      </c>
      <c r="E940" t="s">
        <v>74</v>
      </c>
      <c r="F940" t="s">
        <v>17726</v>
      </c>
      <c r="G940" t="s">
        <v>74</v>
      </c>
      <c r="H940" t="s">
        <v>74</v>
      </c>
      <c r="I940" t="s">
        <v>17727</v>
      </c>
      <c r="J940" t="s">
        <v>17728</v>
      </c>
      <c r="K940" t="s">
        <v>74</v>
      </c>
      <c r="L940" t="s">
        <v>74</v>
      </c>
      <c r="M940" t="s">
        <v>78</v>
      </c>
      <c r="N940" t="s">
        <v>79</v>
      </c>
      <c r="O940" t="s">
        <v>74</v>
      </c>
      <c r="P940" t="s">
        <v>74</v>
      </c>
      <c r="Q940" t="s">
        <v>74</v>
      </c>
      <c r="R940" t="s">
        <v>74</v>
      </c>
      <c r="S940" t="s">
        <v>74</v>
      </c>
      <c r="T940" t="s">
        <v>17729</v>
      </c>
      <c r="U940" t="s">
        <v>74</v>
      </c>
      <c r="V940" t="s">
        <v>17730</v>
      </c>
      <c r="W940" t="s">
        <v>17731</v>
      </c>
      <c r="X940" t="s">
        <v>17732</v>
      </c>
      <c r="Y940" t="s">
        <v>17733</v>
      </c>
      <c r="Z940" t="s">
        <v>17734</v>
      </c>
      <c r="AA940" t="s">
        <v>17735</v>
      </c>
      <c r="AB940" t="s">
        <v>17736</v>
      </c>
      <c r="AC940" t="s">
        <v>4844</v>
      </c>
      <c r="AD940" t="s">
        <v>1591</v>
      </c>
      <c r="AE940" t="s">
        <v>17737</v>
      </c>
      <c r="AF940" t="s">
        <v>74</v>
      </c>
      <c r="AG940">
        <v>40</v>
      </c>
      <c r="AH940">
        <v>0</v>
      </c>
      <c r="AI940">
        <v>0</v>
      </c>
      <c r="AJ940">
        <v>13</v>
      </c>
      <c r="AK940">
        <v>13</v>
      </c>
      <c r="AL940" t="s">
        <v>247</v>
      </c>
      <c r="AM940" t="s">
        <v>248</v>
      </c>
      <c r="AN940" t="s">
        <v>249</v>
      </c>
      <c r="AO940" t="s">
        <v>17738</v>
      </c>
      <c r="AP940" t="s">
        <v>17739</v>
      </c>
      <c r="AQ940" t="s">
        <v>74</v>
      </c>
      <c r="AR940" t="s">
        <v>17740</v>
      </c>
      <c r="AS940" t="s">
        <v>17741</v>
      </c>
      <c r="AT940" t="s">
        <v>1752</v>
      </c>
      <c r="AU940">
        <v>2025</v>
      </c>
      <c r="AV940">
        <v>39</v>
      </c>
      <c r="AW940">
        <v>8</v>
      </c>
      <c r="AX940" t="s">
        <v>74</v>
      </c>
      <c r="AY940" t="s">
        <v>74</v>
      </c>
      <c r="AZ940" t="s">
        <v>74</v>
      </c>
      <c r="BA940" t="s">
        <v>74</v>
      </c>
      <c r="BB940">
        <v>1972</v>
      </c>
      <c r="BC940">
        <v>1981</v>
      </c>
      <c r="BD940" t="s">
        <v>74</v>
      </c>
      <c r="BE940" t="s">
        <v>17742</v>
      </c>
      <c r="BF940" t="str">
        <f>HYPERLINK("http://dx.doi.org/10.1111/1365-2435.70097","http://dx.doi.org/10.1111/1365-2435.70097")</f>
        <v>http://dx.doi.org/10.1111/1365-2435.70097</v>
      </c>
      <c r="BG940" t="s">
        <v>74</v>
      </c>
      <c r="BH940" t="s">
        <v>1965</v>
      </c>
      <c r="BI940">
        <v>10</v>
      </c>
      <c r="BJ940" t="s">
        <v>4692</v>
      </c>
      <c r="BK940" t="s">
        <v>102</v>
      </c>
      <c r="BL940" t="s">
        <v>568</v>
      </c>
      <c r="BM940" t="s">
        <v>17743</v>
      </c>
      <c r="BN940" t="s">
        <v>74</v>
      </c>
      <c r="BO940" t="s">
        <v>916</v>
      </c>
      <c r="BP940" t="s">
        <v>74</v>
      </c>
      <c r="BQ940" t="s">
        <v>74</v>
      </c>
      <c r="BR940" t="s">
        <v>106</v>
      </c>
      <c r="BS940" t="s">
        <v>17744</v>
      </c>
      <c r="BT940" t="str">
        <f>HYPERLINK("https%3A%2F%2Fwww.webofscience.com%2Fwos%2Fwoscc%2Ffull-record%2FWOS:001526477000001","View Full Record in Web of Science")</f>
        <v>View Full Record in Web of Science</v>
      </c>
    </row>
    <row r="941" spans="1:72" x14ac:dyDescent="0.2">
      <c r="A941" t="s">
        <v>72</v>
      </c>
      <c r="B941" t="s">
        <v>17745</v>
      </c>
      <c r="C941" t="s">
        <v>74</v>
      </c>
      <c r="D941" t="s">
        <v>74</v>
      </c>
      <c r="E941" t="s">
        <v>74</v>
      </c>
      <c r="F941" t="s">
        <v>17746</v>
      </c>
      <c r="G941" t="s">
        <v>74</v>
      </c>
      <c r="H941" t="s">
        <v>74</v>
      </c>
      <c r="I941" t="s">
        <v>17747</v>
      </c>
      <c r="J941" t="s">
        <v>3158</v>
      </c>
      <c r="K941" t="s">
        <v>74</v>
      </c>
      <c r="L941" t="s">
        <v>74</v>
      </c>
      <c r="M941" t="s">
        <v>78</v>
      </c>
      <c r="N941" t="s">
        <v>79</v>
      </c>
      <c r="O941" t="s">
        <v>74</v>
      </c>
      <c r="P941" t="s">
        <v>74</v>
      </c>
      <c r="Q941" t="s">
        <v>74</v>
      </c>
      <c r="R941" t="s">
        <v>74</v>
      </c>
      <c r="S941" t="s">
        <v>74</v>
      </c>
      <c r="T941" t="s">
        <v>17748</v>
      </c>
      <c r="U941" t="s">
        <v>17749</v>
      </c>
      <c r="V941" t="s">
        <v>17750</v>
      </c>
      <c r="W941" t="s">
        <v>17751</v>
      </c>
      <c r="X941" t="s">
        <v>17752</v>
      </c>
      <c r="Y941" t="s">
        <v>17753</v>
      </c>
      <c r="Z941" t="s">
        <v>17754</v>
      </c>
      <c r="AA941" t="s">
        <v>17755</v>
      </c>
      <c r="AB941" t="s">
        <v>17756</v>
      </c>
      <c r="AC941" t="s">
        <v>17757</v>
      </c>
      <c r="AD941" t="s">
        <v>17758</v>
      </c>
      <c r="AE941" t="s">
        <v>17759</v>
      </c>
      <c r="AF941" t="s">
        <v>74</v>
      </c>
      <c r="AG941">
        <v>115</v>
      </c>
      <c r="AH941">
        <v>17</v>
      </c>
      <c r="AI941">
        <v>17</v>
      </c>
      <c r="AJ941">
        <v>8</v>
      </c>
      <c r="AK941">
        <v>135</v>
      </c>
      <c r="AL941" t="s">
        <v>3169</v>
      </c>
      <c r="AM941" t="s">
        <v>531</v>
      </c>
      <c r="AN941" t="s">
        <v>3170</v>
      </c>
      <c r="AO941" t="s">
        <v>74</v>
      </c>
      <c r="AP941" t="s">
        <v>3171</v>
      </c>
      <c r="AQ941" t="s">
        <v>74</v>
      </c>
      <c r="AR941" t="s">
        <v>3158</v>
      </c>
      <c r="AS941" t="s">
        <v>3172</v>
      </c>
      <c r="AT941" t="s">
        <v>99</v>
      </c>
      <c r="AU941">
        <v>2023</v>
      </c>
      <c r="AV941">
        <v>11</v>
      </c>
      <c r="AW941">
        <v>3</v>
      </c>
      <c r="AX941" t="s">
        <v>74</v>
      </c>
      <c r="AY941" t="s">
        <v>74</v>
      </c>
      <c r="AZ941" t="s">
        <v>74</v>
      </c>
      <c r="BA941" t="s">
        <v>74</v>
      </c>
      <c r="BB941" t="s">
        <v>74</v>
      </c>
      <c r="BC941" t="s">
        <v>74</v>
      </c>
      <c r="BD941" t="s">
        <v>17760</v>
      </c>
      <c r="BE941" t="s">
        <v>17761</v>
      </c>
      <c r="BF941" t="str">
        <f>HYPERLINK("http://dx.doi.org/10.1029/2022EF003057","http://dx.doi.org/10.1029/2022EF003057")</f>
        <v>http://dx.doi.org/10.1029/2022EF003057</v>
      </c>
      <c r="BG941" t="s">
        <v>74</v>
      </c>
      <c r="BH941" t="s">
        <v>74</v>
      </c>
      <c r="BI941">
        <v>17</v>
      </c>
      <c r="BJ941" t="s">
        <v>3175</v>
      </c>
      <c r="BK941" t="s">
        <v>102</v>
      </c>
      <c r="BL941" t="s">
        <v>3176</v>
      </c>
      <c r="BM941" t="s">
        <v>17762</v>
      </c>
      <c r="BN941" t="s">
        <v>74</v>
      </c>
      <c r="BO941" t="s">
        <v>231</v>
      </c>
      <c r="BP941" t="s">
        <v>74</v>
      </c>
      <c r="BQ941" t="s">
        <v>74</v>
      </c>
      <c r="BR941" t="s">
        <v>106</v>
      </c>
      <c r="BS941" t="s">
        <v>17763</v>
      </c>
      <c r="BT941" t="str">
        <f>HYPERLINK("https%3A%2F%2Fwww.webofscience.com%2Fwos%2Fwoscc%2Ffull-record%2FWOS:000949086600001","View Full Record in Web of Science")</f>
        <v>View Full Record in Web of Science</v>
      </c>
    </row>
    <row r="942" spans="1:72" x14ac:dyDescent="0.2">
      <c r="A942" t="s">
        <v>72</v>
      </c>
      <c r="B942" t="s">
        <v>17764</v>
      </c>
      <c r="C942" t="s">
        <v>74</v>
      </c>
      <c r="D942" t="s">
        <v>74</v>
      </c>
      <c r="E942" t="s">
        <v>74</v>
      </c>
      <c r="F942" t="s">
        <v>17765</v>
      </c>
      <c r="G942" t="s">
        <v>74</v>
      </c>
      <c r="H942" t="s">
        <v>74</v>
      </c>
      <c r="I942" t="s">
        <v>17766</v>
      </c>
      <c r="J942" t="s">
        <v>1451</v>
      </c>
      <c r="K942" t="s">
        <v>74</v>
      </c>
      <c r="L942" t="s">
        <v>74</v>
      </c>
      <c r="M942" t="s">
        <v>78</v>
      </c>
      <c r="N942" t="s">
        <v>79</v>
      </c>
      <c r="O942" t="s">
        <v>74</v>
      </c>
      <c r="P942" t="s">
        <v>74</v>
      </c>
      <c r="Q942" t="s">
        <v>74</v>
      </c>
      <c r="R942" t="s">
        <v>74</v>
      </c>
      <c r="S942" t="s">
        <v>74</v>
      </c>
      <c r="T942" t="s">
        <v>17767</v>
      </c>
      <c r="U942" t="s">
        <v>17768</v>
      </c>
      <c r="V942" t="s">
        <v>17769</v>
      </c>
      <c r="W942" t="s">
        <v>17770</v>
      </c>
      <c r="X942" t="s">
        <v>2652</v>
      </c>
      <c r="Y942" t="s">
        <v>17771</v>
      </c>
      <c r="Z942" t="s">
        <v>17772</v>
      </c>
      <c r="AA942" t="s">
        <v>17773</v>
      </c>
      <c r="AB942" t="s">
        <v>17774</v>
      </c>
      <c r="AC942" t="s">
        <v>17775</v>
      </c>
      <c r="AD942" t="s">
        <v>17776</v>
      </c>
      <c r="AE942" t="s">
        <v>17777</v>
      </c>
      <c r="AF942" t="s">
        <v>74</v>
      </c>
      <c r="AG942">
        <v>45</v>
      </c>
      <c r="AH942">
        <v>86</v>
      </c>
      <c r="AI942">
        <v>89</v>
      </c>
      <c r="AJ942">
        <v>90</v>
      </c>
      <c r="AK942">
        <v>593</v>
      </c>
      <c r="AL942" t="s">
        <v>123</v>
      </c>
      <c r="AM942" t="s">
        <v>124</v>
      </c>
      <c r="AN942" t="s">
        <v>125</v>
      </c>
      <c r="AO942" t="s">
        <v>1464</v>
      </c>
      <c r="AP942" t="s">
        <v>1465</v>
      </c>
      <c r="AQ942" t="s">
        <v>74</v>
      </c>
      <c r="AR942" t="s">
        <v>1466</v>
      </c>
      <c r="AS942" t="s">
        <v>1467</v>
      </c>
      <c r="AT942" t="s">
        <v>3199</v>
      </c>
      <c r="AU942">
        <v>2023</v>
      </c>
      <c r="AV942">
        <v>347</v>
      </c>
      <c r="AW942" t="s">
        <v>74</v>
      </c>
      <c r="AX942" t="s">
        <v>74</v>
      </c>
      <c r="AY942" t="s">
        <v>74</v>
      </c>
      <c r="AZ942" t="s">
        <v>74</v>
      </c>
      <c r="BA942" t="s">
        <v>74</v>
      </c>
      <c r="BB942" t="s">
        <v>74</v>
      </c>
      <c r="BC942" t="s">
        <v>74</v>
      </c>
      <c r="BD942">
        <v>108366</v>
      </c>
      <c r="BE942" t="s">
        <v>17778</v>
      </c>
      <c r="BF942" t="str">
        <f>HYPERLINK("http://dx.doi.org/10.1016/j.agee.2023.108366","http://dx.doi.org/10.1016/j.agee.2023.108366")</f>
        <v>http://dx.doi.org/10.1016/j.agee.2023.108366</v>
      </c>
      <c r="BG942" t="s">
        <v>74</v>
      </c>
      <c r="BH942" t="s">
        <v>10562</v>
      </c>
      <c r="BI942">
        <v>11</v>
      </c>
      <c r="BJ942" t="s">
        <v>1470</v>
      </c>
      <c r="BK942" t="s">
        <v>102</v>
      </c>
      <c r="BL942" t="s">
        <v>1471</v>
      </c>
      <c r="BM942" t="s">
        <v>17779</v>
      </c>
      <c r="BN942" t="s">
        <v>74</v>
      </c>
      <c r="BO942" t="s">
        <v>74</v>
      </c>
      <c r="BP942" t="s">
        <v>4815</v>
      </c>
      <c r="BQ942" t="s">
        <v>4816</v>
      </c>
      <c r="BR942" t="s">
        <v>106</v>
      </c>
      <c r="BS942" t="s">
        <v>17780</v>
      </c>
      <c r="BT942" t="str">
        <f>HYPERLINK("https%3A%2F%2Fwww.webofscience.com%2Fwos%2Fwoscc%2Ffull-record%2FWOS:001026058300001","View Full Record in Web of Science")</f>
        <v>View Full Record in Web of Science</v>
      </c>
    </row>
    <row r="943" spans="1:72" x14ac:dyDescent="0.2">
      <c r="A943" t="s">
        <v>72</v>
      </c>
      <c r="B943" t="s">
        <v>17781</v>
      </c>
      <c r="C943" t="s">
        <v>74</v>
      </c>
      <c r="D943" t="s">
        <v>74</v>
      </c>
      <c r="E943" t="s">
        <v>74</v>
      </c>
      <c r="F943" t="s">
        <v>17782</v>
      </c>
      <c r="G943" t="s">
        <v>74</v>
      </c>
      <c r="H943" t="s">
        <v>74</v>
      </c>
      <c r="I943" t="s">
        <v>17783</v>
      </c>
      <c r="J943" t="s">
        <v>10568</v>
      </c>
      <c r="K943" t="s">
        <v>74</v>
      </c>
      <c r="L943" t="s">
        <v>74</v>
      </c>
      <c r="M943" t="s">
        <v>78</v>
      </c>
      <c r="N943" t="s">
        <v>79</v>
      </c>
      <c r="O943" t="s">
        <v>74</v>
      </c>
      <c r="P943" t="s">
        <v>74</v>
      </c>
      <c r="Q943" t="s">
        <v>74</v>
      </c>
      <c r="R943" t="s">
        <v>74</v>
      </c>
      <c r="S943" t="s">
        <v>74</v>
      </c>
      <c r="T943" t="s">
        <v>17784</v>
      </c>
      <c r="U943" t="s">
        <v>17785</v>
      </c>
      <c r="V943" t="s">
        <v>17786</v>
      </c>
      <c r="W943" t="s">
        <v>17787</v>
      </c>
      <c r="X943" t="s">
        <v>17788</v>
      </c>
      <c r="Y943" t="s">
        <v>17789</v>
      </c>
      <c r="Z943" t="s">
        <v>17790</v>
      </c>
      <c r="AA943" t="s">
        <v>17791</v>
      </c>
      <c r="AB943" t="s">
        <v>17792</v>
      </c>
      <c r="AC943" t="s">
        <v>17793</v>
      </c>
      <c r="AD943" t="s">
        <v>17793</v>
      </c>
      <c r="AE943" t="s">
        <v>17794</v>
      </c>
      <c r="AF943" t="s">
        <v>74</v>
      </c>
      <c r="AG943">
        <v>83</v>
      </c>
      <c r="AH943">
        <v>8</v>
      </c>
      <c r="AI943">
        <v>10</v>
      </c>
      <c r="AJ943">
        <v>1</v>
      </c>
      <c r="AK943">
        <v>31</v>
      </c>
      <c r="AL943" t="s">
        <v>176</v>
      </c>
      <c r="AM943" t="s">
        <v>177</v>
      </c>
      <c r="AN943" t="s">
        <v>178</v>
      </c>
      <c r="AO943" t="s">
        <v>10580</v>
      </c>
      <c r="AP943" t="s">
        <v>74</v>
      </c>
      <c r="AQ943" t="s">
        <v>74</v>
      </c>
      <c r="AR943" t="s">
        <v>10568</v>
      </c>
      <c r="AS943" t="s">
        <v>10581</v>
      </c>
      <c r="AT943" t="s">
        <v>1963</v>
      </c>
      <c r="AU943">
        <v>2019</v>
      </c>
      <c r="AV943">
        <v>27</v>
      </c>
      <c r="AW943" t="s">
        <v>74</v>
      </c>
      <c r="AX943" t="s">
        <v>74</v>
      </c>
      <c r="AY943" t="s">
        <v>74</v>
      </c>
      <c r="AZ943" t="s">
        <v>74</v>
      </c>
      <c r="BA943" t="s">
        <v>74</v>
      </c>
      <c r="BB943" t="s">
        <v>74</v>
      </c>
      <c r="BC943" t="s">
        <v>74</v>
      </c>
      <c r="BD943">
        <v>100213</v>
      </c>
      <c r="BE943" t="s">
        <v>17795</v>
      </c>
      <c r="BF943" t="str">
        <f>HYPERLINK("http://dx.doi.org/10.1016/j.ancene.2019.100213","http://dx.doi.org/10.1016/j.ancene.2019.100213")</f>
        <v>http://dx.doi.org/10.1016/j.ancene.2019.100213</v>
      </c>
      <c r="BG943" t="s">
        <v>74</v>
      </c>
      <c r="BH943" t="s">
        <v>74</v>
      </c>
      <c r="BI943">
        <v>17</v>
      </c>
      <c r="BJ943" t="s">
        <v>10583</v>
      </c>
      <c r="BK943" t="s">
        <v>186</v>
      </c>
      <c r="BL943" t="s">
        <v>10584</v>
      </c>
      <c r="BM943" t="s">
        <v>17796</v>
      </c>
      <c r="BN943" t="s">
        <v>74</v>
      </c>
      <c r="BO943" t="s">
        <v>916</v>
      </c>
      <c r="BP943" t="s">
        <v>74</v>
      </c>
      <c r="BQ943" t="s">
        <v>74</v>
      </c>
      <c r="BR943" t="s">
        <v>106</v>
      </c>
      <c r="BS943" t="s">
        <v>17797</v>
      </c>
      <c r="BT943" t="str">
        <f>HYPERLINK("https%3A%2F%2Fwww.webofscience.com%2Fwos%2Fwoscc%2Ffull-record%2FWOS:000488238700002","View Full Record in Web of Science")</f>
        <v>View Full Record in Web of Science</v>
      </c>
    </row>
    <row r="944" spans="1:72" x14ac:dyDescent="0.2">
      <c r="A944" t="s">
        <v>72</v>
      </c>
      <c r="B944" t="s">
        <v>17798</v>
      </c>
      <c r="C944" t="s">
        <v>74</v>
      </c>
      <c r="D944" t="s">
        <v>74</v>
      </c>
      <c r="E944" t="s">
        <v>74</v>
      </c>
      <c r="F944" t="s">
        <v>17799</v>
      </c>
      <c r="G944" t="s">
        <v>74</v>
      </c>
      <c r="H944" t="s">
        <v>74</v>
      </c>
      <c r="I944" t="s">
        <v>17800</v>
      </c>
      <c r="J944" t="s">
        <v>2104</v>
      </c>
      <c r="K944" t="s">
        <v>74</v>
      </c>
      <c r="L944" t="s">
        <v>74</v>
      </c>
      <c r="M944" t="s">
        <v>78</v>
      </c>
      <c r="N944" t="s">
        <v>79</v>
      </c>
      <c r="O944" t="s">
        <v>74</v>
      </c>
      <c r="P944" t="s">
        <v>74</v>
      </c>
      <c r="Q944" t="s">
        <v>74</v>
      </c>
      <c r="R944" t="s">
        <v>74</v>
      </c>
      <c r="S944" t="s">
        <v>74</v>
      </c>
      <c r="T944" t="s">
        <v>17801</v>
      </c>
      <c r="U944" t="s">
        <v>17802</v>
      </c>
      <c r="V944" t="s">
        <v>17803</v>
      </c>
      <c r="W944" t="s">
        <v>17804</v>
      </c>
      <c r="X944" t="s">
        <v>17805</v>
      </c>
      <c r="Y944" t="s">
        <v>17806</v>
      </c>
      <c r="Z944" t="s">
        <v>17807</v>
      </c>
      <c r="AA944" t="s">
        <v>17808</v>
      </c>
      <c r="AB944" t="s">
        <v>17809</v>
      </c>
      <c r="AC944" t="s">
        <v>17810</v>
      </c>
      <c r="AD944" t="s">
        <v>17811</v>
      </c>
      <c r="AE944" t="s">
        <v>17812</v>
      </c>
      <c r="AF944" t="s">
        <v>74</v>
      </c>
      <c r="AG944">
        <v>114</v>
      </c>
      <c r="AH944">
        <v>46</v>
      </c>
      <c r="AI944">
        <v>52</v>
      </c>
      <c r="AJ944">
        <v>2</v>
      </c>
      <c r="AK944">
        <v>129</v>
      </c>
      <c r="AL944" t="s">
        <v>1242</v>
      </c>
      <c r="AM944" t="s">
        <v>1243</v>
      </c>
      <c r="AN944" t="s">
        <v>1244</v>
      </c>
      <c r="AO944" t="s">
        <v>2116</v>
      </c>
      <c r="AP944" t="s">
        <v>2117</v>
      </c>
      <c r="AQ944" t="s">
        <v>74</v>
      </c>
      <c r="AR944" t="s">
        <v>2118</v>
      </c>
      <c r="AS944" t="s">
        <v>2119</v>
      </c>
      <c r="AT944" t="s">
        <v>1752</v>
      </c>
      <c r="AU944">
        <v>2016</v>
      </c>
      <c r="AV944">
        <v>21</v>
      </c>
      <c r="AW944">
        <v>8</v>
      </c>
      <c r="AX944" t="s">
        <v>74</v>
      </c>
      <c r="AY944" t="s">
        <v>74</v>
      </c>
      <c r="AZ944" t="s">
        <v>74</v>
      </c>
      <c r="BA944" t="s">
        <v>74</v>
      </c>
      <c r="BB944">
        <v>1197</v>
      </c>
      <c r="BC944">
        <v>1212</v>
      </c>
      <c r="BD944" t="s">
        <v>74</v>
      </c>
      <c r="BE944" t="s">
        <v>17813</v>
      </c>
      <c r="BF944" t="str">
        <f>HYPERLINK("http://dx.doi.org/10.1007/s11367-016-1095-8","http://dx.doi.org/10.1007/s11367-016-1095-8")</f>
        <v>http://dx.doi.org/10.1007/s11367-016-1095-8</v>
      </c>
      <c r="BG944" t="s">
        <v>74</v>
      </c>
      <c r="BH944" t="s">
        <v>74</v>
      </c>
      <c r="BI944">
        <v>16</v>
      </c>
      <c r="BJ944" t="s">
        <v>340</v>
      </c>
      <c r="BK944" t="s">
        <v>102</v>
      </c>
      <c r="BL944" t="s">
        <v>341</v>
      </c>
      <c r="BM944" t="s">
        <v>17814</v>
      </c>
      <c r="BN944" t="s">
        <v>74</v>
      </c>
      <c r="BO944" t="s">
        <v>74</v>
      </c>
      <c r="BP944" t="s">
        <v>74</v>
      </c>
      <c r="BQ944" t="s">
        <v>74</v>
      </c>
      <c r="BR944" t="s">
        <v>106</v>
      </c>
      <c r="BS944" t="s">
        <v>17815</v>
      </c>
      <c r="BT944" t="str">
        <f>HYPERLINK("https%3A%2F%2Fwww.webofscience.com%2Fwos%2Fwoscc%2Ffull-record%2FWOS:000379612900011","View Full Record in Web of Science")</f>
        <v>View Full Record in Web of Science</v>
      </c>
    </row>
    <row r="945" spans="1:72" x14ac:dyDescent="0.2">
      <c r="A945" t="s">
        <v>72</v>
      </c>
      <c r="B945" t="s">
        <v>17816</v>
      </c>
      <c r="C945" t="s">
        <v>74</v>
      </c>
      <c r="D945" t="s">
        <v>74</v>
      </c>
      <c r="E945" t="s">
        <v>74</v>
      </c>
      <c r="F945" t="s">
        <v>17817</v>
      </c>
      <c r="G945" t="s">
        <v>74</v>
      </c>
      <c r="H945" t="s">
        <v>74</v>
      </c>
      <c r="I945" t="s">
        <v>17818</v>
      </c>
      <c r="J945" t="s">
        <v>1231</v>
      </c>
      <c r="K945" t="s">
        <v>74</v>
      </c>
      <c r="L945" t="s">
        <v>74</v>
      </c>
      <c r="M945" t="s">
        <v>78</v>
      </c>
      <c r="N945" t="s">
        <v>79</v>
      </c>
      <c r="O945" t="s">
        <v>74</v>
      </c>
      <c r="P945" t="s">
        <v>74</v>
      </c>
      <c r="Q945" t="s">
        <v>74</v>
      </c>
      <c r="R945" t="s">
        <v>74</v>
      </c>
      <c r="S945" t="s">
        <v>74</v>
      </c>
      <c r="T945" t="s">
        <v>17819</v>
      </c>
      <c r="U945" t="s">
        <v>17820</v>
      </c>
      <c r="V945" t="s">
        <v>17821</v>
      </c>
      <c r="W945" t="s">
        <v>17822</v>
      </c>
      <c r="X945" t="s">
        <v>9876</v>
      </c>
      <c r="Y945" t="s">
        <v>17823</v>
      </c>
      <c r="Z945" t="s">
        <v>17824</v>
      </c>
      <c r="AA945" t="s">
        <v>17825</v>
      </c>
      <c r="AB945" t="s">
        <v>17826</v>
      </c>
      <c r="AC945" t="s">
        <v>17827</v>
      </c>
      <c r="AD945" t="s">
        <v>17828</v>
      </c>
      <c r="AE945" t="s">
        <v>17829</v>
      </c>
      <c r="AF945" t="s">
        <v>74</v>
      </c>
      <c r="AG945">
        <v>98</v>
      </c>
      <c r="AH945">
        <v>44</v>
      </c>
      <c r="AI945">
        <v>50</v>
      </c>
      <c r="AJ945">
        <v>0</v>
      </c>
      <c r="AK945">
        <v>20</v>
      </c>
      <c r="AL945" t="s">
        <v>1242</v>
      </c>
      <c r="AM945" t="s">
        <v>1243</v>
      </c>
      <c r="AN945" t="s">
        <v>1244</v>
      </c>
      <c r="AO945" t="s">
        <v>1245</v>
      </c>
      <c r="AP945" t="s">
        <v>1246</v>
      </c>
      <c r="AQ945" t="s">
        <v>74</v>
      </c>
      <c r="AR945" t="s">
        <v>1247</v>
      </c>
      <c r="AS945" t="s">
        <v>1248</v>
      </c>
      <c r="AT945" t="s">
        <v>1963</v>
      </c>
      <c r="AU945">
        <v>2020</v>
      </c>
      <c r="AV945">
        <v>27</v>
      </c>
      <c r="AW945">
        <v>25</v>
      </c>
      <c r="AX945" t="s">
        <v>74</v>
      </c>
      <c r="AY945" t="s">
        <v>74</v>
      </c>
      <c r="AZ945" t="s">
        <v>74</v>
      </c>
      <c r="BA945" t="s">
        <v>74</v>
      </c>
      <c r="BB945">
        <v>31369</v>
      </c>
      <c r="BC945">
        <v>31382</v>
      </c>
      <c r="BD945" t="s">
        <v>74</v>
      </c>
      <c r="BE945" t="s">
        <v>17830</v>
      </c>
      <c r="BF945" t="str">
        <f>HYPERLINK("http://dx.doi.org/10.1007/s11356-020-09346-3","http://dx.doi.org/10.1007/s11356-020-09346-3")</f>
        <v>http://dx.doi.org/10.1007/s11356-020-09346-3</v>
      </c>
      <c r="BG945" t="s">
        <v>74</v>
      </c>
      <c r="BH945" t="s">
        <v>284</v>
      </c>
      <c r="BI945">
        <v>14</v>
      </c>
      <c r="BJ945" t="s">
        <v>567</v>
      </c>
      <c r="BK945" t="s">
        <v>186</v>
      </c>
      <c r="BL945" t="s">
        <v>568</v>
      </c>
      <c r="BM945" t="s">
        <v>17831</v>
      </c>
      <c r="BN945">
        <v>32488707</v>
      </c>
      <c r="BO945" t="s">
        <v>74</v>
      </c>
      <c r="BP945" t="s">
        <v>74</v>
      </c>
      <c r="BQ945" t="s">
        <v>74</v>
      </c>
      <c r="BR945" t="s">
        <v>106</v>
      </c>
      <c r="BS945" t="s">
        <v>17832</v>
      </c>
      <c r="BT945" t="str">
        <f>HYPERLINK("https%3A%2F%2Fwww.webofscience.com%2Fwos%2Fwoscc%2Ffull-record%2FWOS:000537417400008","View Full Record in Web of Science")</f>
        <v>View Full Record in Web of Science</v>
      </c>
    </row>
    <row r="946" spans="1:72" x14ac:dyDescent="0.2">
      <c r="A946" t="s">
        <v>72</v>
      </c>
      <c r="B946" t="s">
        <v>17833</v>
      </c>
      <c r="C946" t="s">
        <v>74</v>
      </c>
      <c r="D946" t="s">
        <v>74</v>
      </c>
      <c r="E946" t="s">
        <v>74</v>
      </c>
      <c r="F946" t="s">
        <v>17834</v>
      </c>
      <c r="G946" t="s">
        <v>74</v>
      </c>
      <c r="H946" t="s">
        <v>74</v>
      </c>
      <c r="I946" t="s">
        <v>17835</v>
      </c>
      <c r="J946" t="s">
        <v>17836</v>
      </c>
      <c r="K946" t="s">
        <v>74</v>
      </c>
      <c r="L946" t="s">
        <v>74</v>
      </c>
      <c r="M946" t="s">
        <v>78</v>
      </c>
      <c r="N946" t="s">
        <v>79</v>
      </c>
      <c r="O946" t="s">
        <v>74</v>
      </c>
      <c r="P946" t="s">
        <v>74</v>
      </c>
      <c r="Q946" t="s">
        <v>74</v>
      </c>
      <c r="R946" t="s">
        <v>74</v>
      </c>
      <c r="S946" t="s">
        <v>74</v>
      </c>
      <c r="T946" t="s">
        <v>17837</v>
      </c>
      <c r="U946" t="s">
        <v>17838</v>
      </c>
      <c r="V946" t="s">
        <v>17839</v>
      </c>
      <c r="W946" t="s">
        <v>17840</v>
      </c>
      <c r="X946" t="s">
        <v>17841</v>
      </c>
      <c r="Y946" t="s">
        <v>17842</v>
      </c>
      <c r="Z946" t="s">
        <v>17843</v>
      </c>
      <c r="AA946" t="s">
        <v>17844</v>
      </c>
      <c r="AB946" t="s">
        <v>17845</v>
      </c>
      <c r="AC946" t="s">
        <v>17846</v>
      </c>
      <c r="AD946" t="s">
        <v>17846</v>
      </c>
      <c r="AE946" t="s">
        <v>17847</v>
      </c>
      <c r="AF946" t="s">
        <v>74</v>
      </c>
      <c r="AG946">
        <v>36</v>
      </c>
      <c r="AH946">
        <v>29</v>
      </c>
      <c r="AI946">
        <v>30</v>
      </c>
      <c r="AJ946">
        <v>5</v>
      </c>
      <c r="AK946">
        <v>270</v>
      </c>
      <c r="AL946" t="s">
        <v>176</v>
      </c>
      <c r="AM946" t="s">
        <v>177</v>
      </c>
      <c r="AN946" t="s">
        <v>178</v>
      </c>
      <c r="AO946" t="s">
        <v>17848</v>
      </c>
      <c r="AP946" t="s">
        <v>17849</v>
      </c>
      <c r="AQ946" t="s">
        <v>74</v>
      </c>
      <c r="AR946" t="s">
        <v>17850</v>
      </c>
      <c r="AS946" t="s">
        <v>17851</v>
      </c>
      <c r="AT946" t="s">
        <v>1710</v>
      </c>
      <c r="AU946">
        <v>2020</v>
      </c>
      <c r="AV946">
        <v>312</v>
      </c>
      <c r="AW946" t="s">
        <v>74</v>
      </c>
      <c r="AX946" t="s">
        <v>74</v>
      </c>
      <c r="AY946" t="s">
        <v>74</v>
      </c>
      <c r="AZ946" t="s">
        <v>74</v>
      </c>
      <c r="BA946" t="s">
        <v>74</v>
      </c>
      <c r="BB946" t="s">
        <v>74</v>
      </c>
      <c r="BC946" t="s">
        <v>74</v>
      </c>
      <c r="BD946">
        <v>126076</v>
      </c>
      <c r="BE946" t="s">
        <v>17852</v>
      </c>
      <c r="BF946" t="str">
        <f>HYPERLINK("http://dx.doi.org/10.1016/j.foodchem.2019.126076","http://dx.doi.org/10.1016/j.foodchem.2019.126076")</f>
        <v>http://dx.doi.org/10.1016/j.foodchem.2019.126076</v>
      </c>
      <c r="BG946" t="s">
        <v>74</v>
      </c>
      <c r="BH946" t="s">
        <v>74</v>
      </c>
      <c r="BI946">
        <v>10</v>
      </c>
      <c r="BJ946" t="s">
        <v>17853</v>
      </c>
      <c r="BK946" t="s">
        <v>102</v>
      </c>
      <c r="BL946" t="s">
        <v>17854</v>
      </c>
      <c r="BM946" t="s">
        <v>17855</v>
      </c>
      <c r="BN946">
        <v>31896461</v>
      </c>
      <c r="BO946" t="s">
        <v>74</v>
      </c>
      <c r="BP946" t="s">
        <v>74</v>
      </c>
      <c r="BQ946" t="s">
        <v>74</v>
      </c>
      <c r="BR946" t="s">
        <v>106</v>
      </c>
      <c r="BS946" t="s">
        <v>17856</v>
      </c>
      <c r="BT946" t="str">
        <f>HYPERLINK("https%3A%2F%2Fwww.webofscience.com%2Fwos%2Fwoscc%2Ffull-record%2FWOS:000507460200033","View Full Record in Web of Science")</f>
        <v>View Full Record in Web of Science</v>
      </c>
    </row>
    <row r="947" spans="1:72" x14ac:dyDescent="0.2">
      <c r="A947" t="s">
        <v>72</v>
      </c>
      <c r="B947" t="s">
        <v>17857</v>
      </c>
      <c r="C947" t="s">
        <v>74</v>
      </c>
      <c r="D947" t="s">
        <v>74</v>
      </c>
      <c r="E947" t="s">
        <v>74</v>
      </c>
      <c r="F947" t="s">
        <v>17858</v>
      </c>
      <c r="G947" t="s">
        <v>74</v>
      </c>
      <c r="H947" t="s">
        <v>74</v>
      </c>
      <c r="I947" t="s">
        <v>17859</v>
      </c>
      <c r="J947" t="s">
        <v>546</v>
      </c>
      <c r="K947" t="s">
        <v>74</v>
      </c>
      <c r="L947" t="s">
        <v>74</v>
      </c>
      <c r="M947" t="s">
        <v>78</v>
      </c>
      <c r="N947" t="s">
        <v>79</v>
      </c>
      <c r="O947" t="s">
        <v>74</v>
      </c>
      <c r="P947" t="s">
        <v>74</v>
      </c>
      <c r="Q947" t="s">
        <v>74</v>
      </c>
      <c r="R947" t="s">
        <v>74</v>
      </c>
      <c r="S947" t="s">
        <v>74</v>
      </c>
      <c r="T947" t="s">
        <v>17860</v>
      </c>
      <c r="U947" t="s">
        <v>17861</v>
      </c>
      <c r="V947" t="s">
        <v>17862</v>
      </c>
      <c r="W947" t="s">
        <v>17863</v>
      </c>
      <c r="X947" t="s">
        <v>17864</v>
      </c>
      <c r="Y947" t="s">
        <v>17865</v>
      </c>
      <c r="Z947" t="s">
        <v>17866</v>
      </c>
      <c r="AA947" t="s">
        <v>17867</v>
      </c>
      <c r="AB947" t="s">
        <v>74</v>
      </c>
      <c r="AC947" t="s">
        <v>17868</v>
      </c>
      <c r="AD947" t="s">
        <v>17869</v>
      </c>
      <c r="AE947" t="s">
        <v>17870</v>
      </c>
      <c r="AF947" t="s">
        <v>74</v>
      </c>
      <c r="AG947">
        <v>71</v>
      </c>
      <c r="AH947">
        <v>8</v>
      </c>
      <c r="AI947">
        <v>8</v>
      </c>
      <c r="AJ947">
        <v>18</v>
      </c>
      <c r="AK947">
        <v>105</v>
      </c>
      <c r="AL947" t="s">
        <v>559</v>
      </c>
      <c r="AM947" t="s">
        <v>93</v>
      </c>
      <c r="AN947" t="s">
        <v>560</v>
      </c>
      <c r="AO947" t="s">
        <v>561</v>
      </c>
      <c r="AP947" t="s">
        <v>562</v>
      </c>
      <c r="AQ947" t="s">
        <v>74</v>
      </c>
      <c r="AR947" t="s">
        <v>563</v>
      </c>
      <c r="AS947" t="s">
        <v>564</v>
      </c>
      <c r="AT947" t="s">
        <v>459</v>
      </c>
      <c r="AU947">
        <v>2024</v>
      </c>
      <c r="AV947">
        <v>351</v>
      </c>
      <c r="AW947" t="s">
        <v>74</v>
      </c>
      <c r="AX947" t="s">
        <v>74</v>
      </c>
      <c r="AY947" t="s">
        <v>74</v>
      </c>
      <c r="AZ947" t="s">
        <v>74</v>
      </c>
      <c r="BA947" t="s">
        <v>74</v>
      </c>
      <c r="BB947" t="s">
        <v>74</v>
      </c>
      <c r="BC947" t="s">
        <v>74</v>
      </c>
      <c r="BD947">
        <v>119854</v>
      </c>
      <c r="BE947" t="s">
        <v>17871</v>
      </c>
      <c r="BF947" t="str">
        <f>HYPERLINK("http://dx.doi.org/10.1016/j.jenvman.2023.119854","http://dx.doi.org/10.1016/j.jenvman.2023.119854")</f>
        <v>http://dx.doi.org/10.1016/j.jenvman.2023.119854</v>
      </c>
      <c r="BG947" t="s">
        <v>74</v>
      </c>
      <c r="BH947" t="s">
        <v>1712</v>
      </c>
      <c r="BI947">
        <v>12</v>
      </c>
      <c r="BJ947" t="s">
        <v>567</v>
      </c>
      <c r="BK947" t="s">
        <v>102</v>
      </c>
      <c r="BL947" t="s">
        <v>568</v>
      </c>
      <c r="BM947" t="s">
        <v>17872</v>
      </c>
      <c r="BN947">
        <v>38128212</v>
      </c>
      <c r="BO947" t="s">
        <v>74</v>
      </c>
      <c r="BP947" t="s">
        <v>74</v>
      </c>
      <c r="BQ947" t="s">
        <v>74</v>
      </c>
      <c r="BR947" t="s">
        <v>106</v>
      </c>
      <c r="BS947" t="s">
        <v>17873</v>
      </c>
      <c r="BT947" t="str">
        <f>HYPERLINK("https%3A%2F%2Fwww.webofscience.com%2Fwos%2Fwoscc%2Ffull-record%2FWOS:001142971600001","View Full Record in Web of Science")</f>
        <v>View Full Record in Web of Science</v>
      </c>
    </row>
    <row r="948" spans="1:72" x14ac:dyDescent="0.2">
      <c r="A948" t="s">
        <v>72</v>
      </c>
      <c r="B948" t="s">
        <v>17874</v>
      </c>
      <c r="C948" t="s">
        <v>74</v>
      </c>
      <c r="D948" t="s">
        <v>74</v>
      </c>
      <c r="E948" t="s">
        <v>74</v>
      </c>
      <c r="F948" t="s">
        <v>17875</v>
      </c>
      <c r="G948" t="s">
        <v>74</v>
      </c>
      <c r="H948" t="s">
        <v>74</v>
      </c>
      <c r="I948" t="s">
        <v>17876</v>
      </c>
      <c r="J948" t="s">
        <v>1344</v>
      </c>
      <c r="K948" t="s">
        <v>74</v>
      </c>
      <c r="L948" t="s">
        <v>74</v>
      </c>
      <c r="M948" t="s">
        <v>78</v>
      </c>
      <c r="N948" t="s">
        <v>79</v>
      </c>
      <c r="O948" t="s">
        <v>74</v>
      </c>
      <c r="P948" t="s">
        <v>74</v>
      </c>
      <c r="Q948" t="s">
        <v>74</v>
      </c>
      <c r="R948" t="s">
        <v>74</v>
      </c>
      <c r="S948" t="s">
        <v>74</v>
      </c>
      <c r="T948" t="s">
        <v>17877</v>
      </c>
      <c r="U948" t="s">
        <v>74</v>
      </c>
      <c r="V948" t="s">
        <v>17878</v>
      </c>
      <c r="W948" t="s">
        <v>17879</v>
      </c>
      <c r="X948" t="s">
        <v>17880</v>
      </c>
      <c r="Y948" t="s">
        <v>17881</v>
      </c>
      <c r="Z948" t="s">
        <v>17882</v>
      </c>
      <c r="AA948" t="s">
        <v>17883</v>
      </c>
      <c r="AB948" t="s">
        <v>17884</v>
      </c>
      <c r="AC948" t="s">
        <v>17885</v>
      </c>
      <c r="AD948" t="s">
        <v>17885</v>
      </c>
      <c r="AE948" t="s">
        <v>17886</v>
      </c>
      <c r="AF948" t="s">
        <v>74</v>
      </c>
      <c r="AG948">
        <v>41</v>
      </c>
      <c r="AH948">
        <v>11</v>
      </c>
      <c r="AI948">
        <v>12</v>
      </c>
      <c r="AJ948">
        <v>4</v>
      </c>
      <c r="AK948">
        <v>36</v>
      </c>
      <c r="AL948" t="s">
        <v>222</v>
      </c>
      <c r="AM948" t="s">
        <v>223</v>
      </c>
      <c r="AN948" t="s">
        <v>224</v>
      </c>
      <c r="AO948" t="s">
        <v>74</v>
      </c>
      <c r="AP948" t="s">
        <v>1354</v>
      </c>
      <c r="AQ948" t="s">
        <v>74</v>
      </c>
      <c r="AR948" t="s">
        <v>1344</v>
      </c>
      <c r="AS948" t="s">
        <v>1355</v>
      </c>
      <c r="AT948" t="s">
        <v>227</v>
      </c>
      <c r="AU948">
        <v>2023</v>
      </c>
      <c r="AV948">
        <v>13</v>
      </c>
      <c r="AW948">
        <v>1</v>
      </c>
      <c r="AX948" t="s">
        <v>74</v>
      </c>
      <c r="AY948" t="s">
        <v>74</v>
      </c>
      <c r="AZ948" t="s">
        <v>74</v>
      </c>
      <c r="BA948" t="s">
        <v>74</v>
      </c>
      <c r="BB948" t="s">
        <v>74</v>
      </c>
      <c r="BC948" t="s">
        <v>74</v>
      </c>
      <c r="BD948">
        <v>70</v>
      </c>
      <c r="BE948" t="s">
        <v>17887</v>
      </c>
      <c r="BF948" t="str">
        <f>HYPERLINK("http://dx.doi.org/10.3390/agriculture13010070","http://dx.doi.org/10.3390/agriculture13010070")</f>
        <v>http://dx.doi.org/10.3390/agriculture13010070</v>
      </c>
      <c r="BG948" t="s">
        <v>74</v>
      </c>
      <c r="BH948" t="s">
        <v>74</v>
      </c>
      <c r="BI948">
        <v>18</v>
      </c>
      <c r="BJ948" t="s">
        <v>1357</v>
      </c>
      <c r="BK948" t="s">
        <v>102</v>
      </c>
      <c r="BL948" t="s">
        <v>103</v>
      </c>
      <c r="BM948" t="s">
        <v>17888</v>
      </c>
      <c r="BN948" t="s">
        <v>74</v>
      </c>
      <c r="BO948" t="s">
        <v>161</v>
      </c>
      <c r="BP948" t="s">
        <v>74</v>
      </c>
      <c r="BQ948" t="s">
        <v>74</v>
      </c>
      <c r="BR948" t="s">
        <v>106</v>
      </c>
      <c r="BS948" t="s">
        <v>17889</v>
      </c>
      <c r="BT948" t="str">
        <f>HYPERLINK("https%3A%2F%2Fwww.webofscience.com%2Fwos%2Fwoscc%2Ffull-record%2FWOS:000916446800001","View Full Record in Web of Science")</f>
        <v>View Full Record in Web of Science</v>
      </c>
    </row>
    <row r="949" spans="1:72" x14ac:dyDescent="0.2">
      <c r="A949" t="s">
        <v>72</v>
      </c>
      <c r="B949" t="s">
        <v>17890</v>
      </c>
      <c r="C949" t="s">
        <v>74</v>
      </c>
      <c r="D949" t="s">
        <v>74</v>
      </c>
      <c r="E949" t="s">
        <v>74</v>
      </c>
      <c r="F949" t="s">
        <v>17891</v>
      </c>
      <c r="G949" t="s">
        <v>74</v>
      </c>
      <c r="H949" t="s">
        <v>74</v>
      </c>
      <c r="I949" t="s">
        <v>17892</v>
      </c>
      <c r="J949" t="s">
        <v>17893</v>
      </c>
      <c r="K949" t="s">
        <v>74</v>
      </c>
      <c r="L949" t="s">
        <v>74</v>
      </c>
      <c r="M949" t="s">
        <v>78</v>
      </c>
      <c r="N949" t="s">
        <v>79</v>
      </c>
      <c r="O949" t="s">
        <v>74</v>
      </c>
      <c r="P949" t="s">
        <v>74</v>
      </c>
      <c r="Q949" t="s">
        <v>74</v>
      </c>
      <c r="R949" t="s">
        <v>74</v>
      </c>
      <c r="S949" t="s">
        <v>74</v>
      </c>
      <c r="T949" t="s">
        <v>17894</v>
      </c>
      <c r="U949" t="s">
        <v>17895</v>
      </c>
      <c r="V949" t="s">
        <v>17896</v>
      </c>
      <c r="W949" t="s">
        <v>17897</v>
      </c>
      <c r="X949" t="s">
        <v>17898</v>
      </c>
      <c r="Y949" t="s">
        <v>17899</v>
      </c>
      <c r="Z949" t="s">
        <v>17900</v>
      </c>
      <c r="AA949" t="s">
        <v>17901</v>
      </c>
      <c r="AB949" t="s">
        <v>74</v>
      </c>
      <c r="AC949" t="s">
        <v>74</v>
      </c>
      <c r="AD949" t="s">
        <v>74</v>
      </c>
      <c r="AE949" t="s">
        <v>74</v>
      </c>
      <c r="AF949" t="s">
        <v>74</v>
      </c>
      <c r="AG949">
        <v>23</v>
      </c>
      <c r="AH949">
        <v>0</v>
      </c>
      <c r="AI949">
        <v>1</v>
      </c>
      <c r="AJ949">
        <v>0</v>
      </c>
      <c r="AK949">
        <v>21</v>
      </c>
      <c r="AL949" t="s">
        <v>17902</v>
      </c>
      <c r="AM949" t="s">
        <v>17903</v>
      </c>
      <c r="AN949" t="s">
        <v>17904</v>
      </c>
      <c r="AO949" t="s">
        <v>17905</v>
      </c>
      <c r="AP949" t="s">
        <v>74</v>
      </c>
      <c r="AQ949" t="s">
        <v>74</v>
      </c>
      <c r="AR949" t="s">
        <v>17906</v>
      </c>
      <c r="AS949" t="s">
        <v>17907</v>
      </c>
      <c r="AT949" t="s">
        <v>74</v>
      </c>
      <c r="AU949">
        <v>2022</v>
      </c>
      <c r="AV949">
        <v>27</v>
      </c>
      <c r="AW949">
        <v>3</v>
      </c>
      <c r="AX949" t="s">
        <v>74</v>
      </c>
      <c r="AY949" t="s">
        <v>74</v>
      </c>
      <c r="AZ949" t="s">
        <v>74</v>
      </c>
      <c r="BA949" t="s">
        <v>74</v>
      </c>
      <c r="BB949">
        <v>744</v>
      </c>
      <c r="BC949">
        <v>753</v>
      </c>
      <c r="BD949" t="s">
        <v>74</v>
      </c>
      <c r="BE949" t="s">
        <v>17908</v>
      </c>
      <c r="BF949" t="str">
        <f>HYPERLINK("http://dx.doi.org/10.46544/AMS.v27i3.14","http://dx.doi.org/10.46544/AMS.v27i3.14")</f>
        <v>http://dx.doi.org/10.46544/AMS.v27i3.14</v>
      </c>
      <c r="BG949" t="s">
        <v>74</v>
      </c>
      <c r="BH949" t="s">
        <v>74</v>
      </c>
      <c r="BI949">
        <v>10</v>
      </c>
      <c r="BJ949" t="s">
        <v>17909</v>
      </c>
      <c r="BK949" t="s">
        <v>102</v>
      </c>
      <c r="BL949" t="s">
        <v>17910</v>
      </c>
      <c r="BM949" t="s">
        <v>17911</v>
      </c>
      <c r="BN949" t="s">
        <v>74</v>
      </c>
      <c r="BO949" t="s">
        <v>231</v>
      </c>
      <c r="BP949" t="s">
        <v>74</v>
      </c>
      <c r="BQ949" t="s">
        <v>74</v>
      </c>
      <c r="BR949" t="s">
        <v>106</v>
      </c>
      <c r="BS949" t="s">
        <v>17912</v>
      </c>
      <c r="BT949" t="str">
        <f>HYPERLINK("https%3A%2F%2Fwww.webofscience.com%2Fwos%2Fwoscc%2Ffull-record%2FWOS:000913204700014","View Full Record in Web of Science")</f>
        <v>View Full Record in Web of Science</v>
      </c>
    </row>
    <row r="950" spans="1:72" x14ac:dyDescent="0.2">
      <c r="A950" t="s">
        <v>72</v>
      </c>
      <c r="B950" t="s">
        <v>17913</v>
      </c>
      <c r="C950" t="s">
        <v>74</v>
      </c>
      <c r="D950" t="s">
        <v>74</v>
      </c>
      <c r="E950" t="s">
        <v>74</v>
      </c>
      <c r="F950" t="s">
        <v>17914</v>
      </c>
      <c r="G950" t="s">
        <v>74</v>
      </c>
      <c r="H950" t="s">
        <v>74</v>
      </c>
      <c r="I950" t="s">
        <v>17915</v>
      </c>
      <c r="J950" t="s">
        <v>17916</v>
      </c>
      <c r="K950" t="s">
        <v>74</v>
      </c>
      <c r="L950" t="s">
        <v>74</v>
      </c>
      <c r="M950" t="s">
        <v>78</v>
      </c>
      <c r="N950" t="s">
        <v>79</v>
      </c>
      <c r="O950" t="s">
        <v>74</v>
      </c>
      <c r="P950" t="s">
        <v>74</v>
      </c>
      <c r="Q950" t="s">
        <v>74</v>
      </c>
      <c r="R950" t="s">
        <v>74</v>
      </c>
      <c r="S950" t="s">
        <v>74</v>
      </c>
      <c r="T950" t="s">
        <v>17917</v>
      </c>
      <c r="U950" t="s">
        <v>74</v>
      </c>
      <c r="V950" t="s">
        <v>17918</v>
      </c>
      <c r="W950" t="s">
        <v>17919</v>
      </c>
      <c r="X950" t="s">
        <v>17920</v>
      </c>
      <c r="Y950" t="s">
        <v>17921</v>
      </c>
      <c r="Z950" t="s">
        <v>17922</v>
      </c>
      <c r="AA950" t="s">
        <v>74</v>
      </c>
      <c r="AB950" t="s">
        <v>17923</v>
      </c>
      <c r="AC950" t="s">
        <v>17924</v>
      </c>
      <c r="AD950" t="s">
        <v>17925</v>
      </c>
      <c r="AE950" t="s">
        <v>17926</v>
      </c>
      <c r="AF950" t="s">
        <v>74</v>
      </c>
      <c r="AG950">
        <v>9</v>
      </c>
      <c r="AH950">
        <v>10</v>
      </c>
      <c r="AI950">
        <v>12</v>
      </c>
      <c r="AJ950">
        <v>2</v>
      </c>
      <c r="AK950">
        <v>26</v>
      </c>
      <c r="AL950" t="s">
        <v>17927</v>
      </c>
      <c r="AM950" t="s">
        <v>1418</v>
      </c>
      <c r="AN950" t="s">
        <v>17928</v>
      </c>
      <c r="AO950" t="s">
        <v>17929</v>
      </c>
      <c r="AP950" t="s">
        <v>74</v>
      </c>
      <c r="AQ950" t="s">
        <v>74</v>
      </c>
      <c r="AR950" t="s">
        <v>17916</v>
      </c>
      <c r="AS950" t="s">
        <v>17930</v>
      </c>
      <c r="AT950" t="s">
        <v>636</v>
      </c>
      <c r="AU950">
        <v>2018</v>
      </c>
      <c r="AV950">
        <v>20</v>
      </c>
      <c r="AW950">
        <v>2</v>
      </c>
      <c r="AX950" t="s">
        <v>74</v>
      </c>
      <c r="AY950" t="s">
        <v>74</v>
      </c>
      <c r="AZ950" t="s">
        <v>74</v>
      </c>
      <c r="BA950" t="s">
        <v>74</v>
      </c>
      <c r="BB950">
        <v>116</v>
      </c>
      <c r="BC950">
        <v>121</v>
      </c>
      <c r="BD950" t="s">
        <v>74</v>
      </c>
      <c r="BE950" t="s">
        <v>17931</v>
      </c>
      <c r="BF950" t="str">
        <f>HYPERLINK("http://dx.doi.org/10.1007/s12355-018-0600-8","http://dx.doi.org/10.1007/s12355-018-0600-8")</f>
        <v>http://dx.doi.org/10.1007/s12355-018-0600-8</v>
      </c>
      <c r="BG950" t="s">
        <v>74</v>
      </c>
      <c r="BH950" t="s">
        <v>74</v>
      </c>
      <c r="BI950">
        <v>6</v>
      </c>
      <c r="BJ950" t="s">
        <v>1357</v>
      </c>
      <c r="BK950" t="s">
        <v>102</v>
      </c>
      <c r="BL950" t="s">
        <v>103</v>
      </c>
      <c r="BM950" t="s">
        <v>17932</v>
      </c>
      <c r="BN950" t="s">
        <v>74</v>
      </c>
      <c r="BO950" t="s">
        <v>74</v>
      </c>
      <c r="BP950" t="s">
        <v>74</v>
      </c>
      <c r="BQ950" t="s">
        <v>74</v>
      </c>
      <c r="BR950" t="s">
        <v>106</v>
      </c>
      <c r="BS950" t="s">
        <v>17933</v>
      </c>
      <c r="BT950" t="str">
        <f>HYPERLINK("https%3A%2F%2Fwww.webofscience.com%2Fwos%2Fwoscc%2Ffull-record%2FWOS:000425020400002","View Full Record in Web of Science")</f>
        <v>View Full Record in Web of Science</v>
      </c>
    </row>
    <row r="951" spans="1:72" x14ac:dyDescent="0.2">
      <c r="A951" t="s">
        <v>72</v>
      </c>
      <c r="B951" t="s">
        <v>17934</v>
      </c>
      <c r="C951" t="s">
        <v>74</v>
      </c>
      <c r="D951" t="s">
        <v>74</v>
      </c>
      <c r="E951" t="s">
        <v>74</v>
      </c>
      <c r="F951" t="s">
        <v>17935</v>
      </c>
      <c r="G951" t="s">
        <v>74</v>
      </c>
      <c r="H951" t="s">
        <v>74</v>
      </c>
      <c r="I951" t="s">
        <v>17936</v>
      </c>
      <c r="J951" t="s">
        <v>3277</v>
      </c>
      <c r="K951" t="s">
        <v>74</v>
      </c>
      <c r="L951" t="s">
        <v>74</v>
      </c>
      <c r="M951" t="s">
        <v>78</v>
      </c>
      <c r="N951" t="s">
        <v>79</v>
      </c>
      <c r="O951" t="s">
        <v>74</v>
      </c>
      <c r="P951" t="s">
        <v>74</v>
      </c>
      <c r="Q951" t="s">
        <v>74</v>
      </c>
      <c r="R951" t="s">
        <v>74</v>
      </c>
      <c r="S951" t="s">
        <v>74</v>
      </c>
      <c r="T951" t="s">
        <v>74</v>
      </c>
      <c r="U951" t="s">
        <v>17937</v>
      </c>
      <c r="V951" t="s">
        <v>17938</v>
      </c>
      <c r="W951" t="s">
        <v>17939</v>
      </c>
      <c r="X951" t="s">
        <v>17940</v>
      </c>
      <c r="Y951" t="s">
        <v>17941</v>
      </c>
      <c r="Z951" t="s">
        <v>17942</v>
      </c>
      <c r="AA951" t="s">
        <v>17943</v>
      </c>
      <c r="AB951" t="s">
        <v>17944</v>
      </c>
      <c r="AC951" t="s">
        <v>17945</v>
      </c>
      <c r="AD951" t="s">
        <v>17946</v>
      </c>
      <c r="AE951" t="s">
        <v>17947</v>
      </c>
      <c r="AF951" t="s">
        <v>74</v>
      </c>
      <c r="AG951">
        <v>35</v>
      </c>
      <c r="AH951">
        <v>29</v>
      </c>
      <c r="AI951">
        <v>29</v>
      </c>
      <c r="AJ951">
        <v>1</v>
      </c>
      <c r="AK951">
        <v>41</v>
      </c>
      <c r="AL951" t="s">
        <v>3289</v>
      </c>
      <c r="AM951" t="s">
        <v>3290</v>
      </c>
      <c r="AN951" t="s">
        <v>3291</v>
      </c>
      <c r="AO951" t="s">
        <v>3292</v>
      </c>
      <c r="AP951" t="s">
        <v>3293</v>
      </c>
      <c r="AQ951" t="s">
        <v>74</v>
      </c>
      <c r="AR951" t="s">
        <v>3277</v>
      </c>
      <c r="AS951" t="s">
        <v>3294</v>
      </c>
      <c r="AT951" t="s">
        <v>74</v>
      </c>
      <c r="AU951">
        <v>2016</v>
      </c>
      <c r="AV951">
        <v>13</v>
      </c>
      <c r="AW951">
        <v>10</v>
      </c>
      <c r="AX951" t="s">
        <v>74</v>
      </c>
      <c r="AY951" t="s">
        <v>74</v>
      </c>
      <c r="AZ951" t="s">
        <v>74</v>
      </c>
      <c r="BA951" t="s">
        <v>74</v>
      </c>
      <c r="BB951">
        <v>2959</v>
      </c>
      <c r="BC951">
        <v>2969</v>
      </c>
      <c r="BD951" t="s">
        <v>74</v>
      </c>
      <c r="BE951" t="s">
        <v>17948</v>
      </c>
      <c r="BF951" t="str">
        <f>HYPERLINK("http://dx.doi.org/10.5194/bg-13-2959-2016","http://dx.doi.org/10.5194/bg-13-2959-2016")</f>
        <v>http://dx.doi.org/10.5194/bg-13-2959-2016</v>
      </c>
      <c r="BG951" t="s">
        <v>74</v>
      </c>
      <c r="BH951" t="s">
        <v>74</v>
      </c>
      <c r="BI951">
        <v>11</v>
      </c>
      <c r="BJ951" t="s">
        <v>3296</v>
      </c>
      <c r="BK951" t="s">
        <v>102</v>
      </c>
      <c r="BL951" t="s">
        <v>1206</v>
      </c>
      <c r="BM951" t="s">
        <v>17949</v>
      </c>
      <c r="BN951" t="s">
        <v>74</v>
      </c>
      <c r="BO951" t="s">
        <v>161</v>
      </c>
      <c r="BP951" t="s">
        <v>74</v>
      </c>
      <c r="BQ951" t="s">
        <v>74</v>
      </c>
      <c r="BR951" t="s">
        <v>106</v>
      </c>
      <c r="BS951" t="s">
        <v>17950</v>
      </c>
      <c r="BT951" t="str">
        <f>HYPERLINK("https%3A%2F%2Fwww.webofscience.com%2Fwos%2Fwoscc%2Ffull-record%2FWOS:000378354900007","View Full Record in Web of Science")</f>
        <v>View Full Record in Web of Science</v>
      </c>
    </row>
    <row r="952" spans="1:72" x14ac:dyDescent="0.2">
      <c r="A952" t="s">
        <v>72</v>
      </c>
      <c r="B952" t="s">
        <v>17951</v>
      </c>
      <c r="C952" t="s">
        <v>74</v>
      </c>
      <c r="D952" t="s">
        <v>74</v>
      </c>
      <c r="E952" t="s">
        <v>74</v>
      </c>
      <c r="F952" t="s">
        <v>17952</v>
      </c>
      <c r="G952" t="s">
        <v>74</v>
      </c>
      <c r="H952" t="s">
        <v>74</v>
      </c>
      <c r="I952" t="s">
        <v>17953</v>
      </c>
      <c r="J952" t="s">
        <v>5578</v>
      </c>
      <c r="K952" t="s">
        <v>74</v>
      </c>
      <c r="L952" t="s">
        <v>74</v>
      </c>
      <c r="M952" t="s">
        <v>78</v>
      </c>
      <c r="N952" t="s">
        <v>79</v>
      </c>
      <c r="O952" t="s">
        <v>74</v>
      </c>
      <c r="P952" t="s">
        <v>74</v>
      </c>
      <c r="Q952" t="s">
        <v>74</v>
      </c>
      <c r="R952" t="s">
        <v>74</v>
      </c>
      <c r="S952" t="s">
        <v>74</v>
      </c>
      <c r="T952" t="s">
        <v>17954</v>
      </c>
      <c r="U952" t="s">
        <v>17955</v>
      </c>
      <c r="V952" t="s">
        <v>17956</v>
      </c>
      <c r="W952" t="s">
        <v>17957</v>
      </c>
      <c r="X952" t="s">
        <v>17958</v>
      </c>
      <c r="Y952" t="s">
        <v>17959</v>
      </c>
      <c r="Z952" t="s">
        <v>17960</v>
      </c>
      <c r="AA952" t="s">
        <v>17961</v>
      </c>
      <c r="AB952" t="s">
        <v>17962</v>
      </c>
      <c r="AC952" t="s">
        <v>17963</v>
      </c>
      <c r="AD952" t="s">
        <v>17964</v>
      </c>
      <c r="AE952" t="s">
        <v>17965</v>
      </c>
      <c r="AF952" t="s">
        <v>74</v>
      </c>
      <c r="AG952">
        <v>69</v>
      </c>
      <c r="AH952">
        <v>4</v>
      </c>
      <c r="AI952">
        <v>4</v>
      </c>
      <c r="AJ952">
        <v>34</v>
      </c>
      <c r="AK952">
        <v>89</v>
      </c>
      <c r="AL952" t="s">
        <v>504</v>
      </c>
      <c r="AM952" t="s">
        <v>505</v>
      </c>
      <c r="AN952" t="s">
        <v>506</v>
      </c>
      <c r="AO952" t="s">
        <v>5589</v>
      </c>
      <c r="AP952" t="s">
        <v>5590</v>
      </c>
      <c r="AQ952" t="s">
        <v>74</v>
      </c>
      <c r="AR952" t="s">
        <v>5591</v>
      </c>
      <c r="AS952" t="s">
        <v>5592</v>
      </c>
      <c r="AT952" t="s">
        <v>183</v>
      </c>
      <c r="AU952">
        <v>2025</v>
      </c>
      <c r="AV952">
        <v>512</v>
      </c>
      <c r="AW952" t="s">
        <v>913</v>
      </c>
      <c r="AX952" t="s">
        <v>74</v>
      </c>
      <c r="AY952" t="s">
        <v>74</v>
      </c>
      <c r="AZ952" t="s">
        <v>1070</v>
      </c>
      <c r="BA952" t="s">
        <v>74</v>
      </c>
      <c r="BB952">
        <v>381</v>
      </c>
      <c r="BC952">
        <v>394</v>
      </c>
      <c r="BD952" t="s">
        <v>74</v>
      </c>
      <c r="BE952" t="s">
        <v>17966</v>
      </c>
      <c r="BF952" t="str">
        <f>HYPERLINK("http://dx.doi.org/10.1007/s11104-024-07082-y","http://dx.doi.org/10.1007/s11104-024-07082-y")</f>
        <v>http://dx.doi.org/10.1007/s11104-024-07082-y</v>
      </c>
      <c r="BG952" t="s">
        <v>74</v>
      </c>
      <c r="BH952" t="s">
        <v>3624</v>
      </c>
      <c r="BI952">
        <v>14</v>
      </c>
      <c r="BJ952" t="s">
        <v>5595</v>
      </c>
      <c r="BK952" t="s">
        <v>102</v>
      </c>
      <c r="BL952" t="s">
        <v>462</v>
      </c>
      <c r="BM952" t="s">
        <v>17967</v>
      </c>
      <c r="BN952" t="s">
        <v>74</v>
      </c>
      <c r="BO952" t="s">
        <v>74</v>
      </c>
      <c r="BP952" t="s">
        <v>74</v>
      </c>
      <c r="BQ952" t="s">
        <v>74</v>
      </c>
      <c r="BR952" t="s">
        <v>106</v>
      </c>
      <c r="BS952" t="s">
        <v>17968</v>
      </c>
      <c r="BT952" t="str">
        <f>HYPERLINK("https%3A%2F%2Fwww.webofscience.com%2Fwos%2Fwoscc%2Ffull-record%2FWOS:001369379000001","View Full Record in Web of Science")</f>
        <v>View Full Record in Web of Science</v>
      </c>
    </row>
    <row r="953" spans="1:72" x14ac:dyDescent="0.2">
      <c r="A953" t="s">
        <v>72</v>
      </c>
      <c r="B953" t="s">
        <v>17969</v>
      </c>
      <c r="C953" t="s">
        <v>74</v>
      </c>
      <c r="D953" t="s">
        <v>74</v>
      </c>
      <c r="E953" t="s">
        <v>74</v>
      </c>
      <c r="F953" t="s">
        <v>17970</v>
      </c>
      <c r="G953" t="s">
        <v>74</v>
      </c>
      <c r="H953" t="s">
        <v>74</v>
      </c>
      <c r="I953" t="s">
        <v>17971</v>
      </c>
      <c r="J953" t="s">
        <v>1526</v>
      </c>
      <c r="K953" t="s">
        <v>74</v>
      </c>
      <c r="L953" t="s">
        <v>74</v>
      </c>
      <c r="M953" t="s">
        <v>78</v>
      </c>
      <c r="N953" t="s">
        <v>79</v>
      </c>
      <c r="O953" t="s">
        <v>74</v>
      </c>
      <c r="P953" t="s">
        <v>74</v>
      </c>
      <c r="Q953" t="s">
        <v>74</v>
      </c>
      <c r="R953" t="s">
        <v>74</v>
      </c>
      <c r="S953" t="s">
        <v>74</v>
      </c>
      <c r="T953" t="s">
        <v>17972</v>
      </c>
      <c r="U953" t="s">
        <v>17973</v>
      </c>
      <c r="V953" t="s">
        <v>17974</v>
      </c>
      <c r="W953" t="s">
        <v>17975</v>
      </c>
      <c r="X953" t="s">
        <v>17976</v>
      </c>
      <c r="Y953" t="s">
        <v>17977</v>
      </c>
      <c r="Z953" t="s">
        <v>17978</v>
      </c>
      <c r="AA953" t="s">
        <v>17979</v>
      </c>
      <c r="AB953" t="s">
        <v>17980</v>
      </c>
      <c r="AC953" t="s">
        <v>17981</v>
      </c>
      <c r="AD953" t="s">
        <v>17982</v>
      </c>
      <c r="AE953" t="s">
        <v>17983</v>
      </c>
      <c r="AF953" t="s">
        <v>74</v>
      </c>
      <c r="AG953">
        <v>191</v>
      </c>
      <c r="AH953">
        <v>24</v>
      </c>
      <c r="AI953">
        <v>26</v>
      </c>
      <c r="AJ953">
        <v>5</v>
      </c>
      <c r="AK953">
        <v>75</v>
      </c>
      <c r="AL953" t="s">
        <v>176</v>
      </c>
      <c r="AM953" t="s">
        <v>1610</v>
      </c>
      <c r="AN953" t="s">
        <v>1611</v>
      </c>
      <c r="AO953" t="s">
        <v>1538</v>
      </c>
      <c r="AP953" t="s">
        <v>1539</v>
      </c>
      <c r="AQ953" t="s">
        <v>74</v>
      </c>
      <c r="AR953" t="s">
        <v>1540</v>
      </c>
      <c r="AS953" t="s">
        <v>1541</v>
      </c>
      <c r="AT953" t="s">
        <v>3077</v>
      </c>
      <c r="AU953">
        <v>2021</v>
      </c>
      <c r="AV953">
        <v>302</v>
      </c>
      <c r="AW953" t="s">
        <v>74</v>
      </c>
      <c r="AX953" t="s">
        <v>74</v>
      </c>
      <c r="AY953" t="s">
        <v>74</v>
      </c>
      <c r="AZ953" t="s">
        <v>74</v>
      </c>
      <c r="BA953" t="s">
        <v>74</v>
      </c>
      <c r="BB953" t="s">
        <v>74</v>
      </c>
      <c r="BC953" t="s">
        <v>74</v>
      </c>
      <c r="BD953">
        <v>126132</v>
      </c>
      <c r="BE953" t="s">
        <v>17984</v>
      </c>
      <c r="BF953" t="str">
        <f>HYPERLINK("http://dx.doi.org/10.1016/j.jclepro.2021.126132","http://dx.doi.org/10.1016/j.jclepro.2021.126132")</f>
        <v>http://dx.doi.org/10.1016/j.jclepro.2021.126132</v>
      </c>
      <c r="BG953" t="s">
        <v>74</v>
      </c>
      <c r="BH953" t="s">
        <v>13843</v>
      </c>
      <c r="BI953">
        <v>19</v>
      </c>
      <c r="BJ953" t="s">
        <v>1543</v>
      </c>
      <c r="BK953" t="s">
        <v>186</v>
      </c>
      <c r="BL953" t="s">
        <v>1544</v>
      </c>
      <c r="BM953" t="s">
        <v>17985</v>
      </c>
      <c r="BN953" t="s">
        <v>74</v>
      </c>
      <c r="BO953" t="s">
        <v>2296</v>
      </c>
      <c r="BP953" t="s">
        <v>74</v>
      </c>
      <c r="BQ953" t="s">
        <v>74</v>
      </c>
      <c r="BR953" t="s">
        <v>106</v>
      </c>
      <c r="BS953" t="s">
        <v>17986</v>
      </c>
      <c r="BT953" t="str">
        <f>HYPERLINK("https%3A%2F%2Fwww.webofscience.com%2Fwos%2Fwoscc%2Ffull-record%2FWOS:000649707300001","View Full Record in Web of Science")</f>
        <v>View Full Record in Web of Science</v>
      </c>
    </row>
    <row r="954" spans="1:72" x14ac:dyDescent="0.2">
      <c r="A954" t="s">
        <v>72</v>
      </c>
      <c r="B954" t="s">
        <v>17987</v>
      </c>
      <c r="C954" t="s">
        <v>74</v>
      </c>
      <c r="D954" t="s">
        <v>74</v>
      </c>
      <c r="E954" t="s">
        <v>74</v>
      </c>
      <c r="F954" t="s">
        <v>17988</v>
      </c>
      <c r="G954" t="s">
        <v>74</v>
      </c>
      <c r="H954" t="s">
        <v>74</v>
      </c>
      <c r="I954" t="s">
        <v>17989</v>
      </c>
      <c r="J954" t="s">
        <v>2236</v>
      </c>
      <c r="K954" t="s">
        <v>74</v>
      </c>
      <c r="L954" t="s">
        <v>74</v>
      </c>
      <c r="M954" t="s">
        <v>78</v>
      </c>
      <c r="N954" t="s">
        <v>79</v>
      </c>
      <c r="O954" t="s">
        <v>74</v>
      </c>
      <c r="P954" t="s">
        <v>74</v>
      </c>
      <c r="Q954" t="s">
        <v>74</v>
      </c>
      <c r="R954" t="s">
        <v>74</v>
      </c>
      <c r="S954" t="s">
        <v>74</v>
      </c>
      <c r="T954" t="s">
        <v>17990</v>
      </c>
      <c r="U954" t="s">
        <v>17991</v>
      </c>
      <c r="V954" t="s">
        <v>17992</v>
      </c>
      <c r="W954" t="s">
        <v>17993</v>
      </c>
      <c r="X954" t="s">
        <v>17994</v>
      </c>
      <c r="Y954" t="s">
        <v>17995</v>
      </c>
      <c r="Z954" t="s">
        <v>17996</v>
      </c>
      <c r="AA954" t="s">
        <v>17997</v>
      </c>
      <c r="AB954" t="s">
        <v>74</v>
      </c>
      <c r="AC954" t="s">
        <v>17998</v>
      </c>
      <c r="AD954" t="s">
        <v>17999</v>
      </c>
      <c r="AE954" t="s">
        <v>18000</v>
      </c>
      <c r="AF954" t="s">
        <v>74</v>
      </c>
      <c r="AG954">
        <v>59</v>
      </c>
      <c r="AH954">
        <v>14</v>
      </c>
      <c r="AI954">
        <v>15</v>
      </c>
      <c r="AJ954">
        <v>36</v>
      </c>
      <c r="AK954">
        <v>110</v>
      </c>
      <c r="AL954" t="s">
        <v>176</v>
      </c>
      <c r="AM954" t="s">
        <v>1610</v>
      </c>
      <c r="AN954" t="s">
        <v>1611</v>
      </c>
      <c r="AO954" t="s">
        <v>2248</v>
      </c>
      <c r="AP954" t="s">
        <v>2249</v>
      </c>
      <c r="AQ954" t="s">
        <v>74</v>
      </c>
      <c r="AR954" t="s">
        <v>2250</v>
      </c>
      <c r="AS954" t="s">
        <v>2251</v>
      </c>
      <c r="AT954" t="s">
        <v>912</v>
      </c>
      <c r="AU954">
        <v>2024</v>
      </c>
      <c r="AV954">
        <v>217</v>
      </c>
      <c r="AW954" t="s">
        <v>74</v>
      </c>
      <c r="AX954" t="s">
        <v>74</v>
      </c>
      <c r="AY954" t="s">
        <v>74</v>
      </c>
      <c r="AZ954" t="s">
        <v>74</v>
      </c>
      <c r="BA954" t="s">
        <v>74</v>
      </c>
      <c r="BB954" t="s">
        <v>74</v>
      </c>
      <c r="BC954" t="s">
        <v>74</v>
      </c>
      <c r="BD954">
        <v>103904</v>
      </c>
      <c r="BE954" t="s">
        <v>18001</v>
      </c>
      <c r="BF954" t="str">
        <f>HYPERLINK("http://dx.doi.org/10.1016/j.agsy.2024.103904","http://dx.doi.org/10.1016/j.agsy.2024.103904")</f>
        <v>http://dx.doi.org/10.1016/j.agsy.2024.103904</v>
      </c>
      <c r="BG954" t="s">
        <v>74</v>
      </c>
      <c r="BH954" t="s">
        <v>5349</v>
      </c>
      <c r="BI954">
        <v>13</v>
      </c>
      <c r="BJ954" t="s">
        <v>101</v>
      </c>
      <c r="BK954" t="s">
        <v>102</v>
      </c>
      <c r="BL954" t="s">
        <v>103</v>
      </c>
      <c r="BM954" t="s">
        <v>18002</v>
      </c>
      <c r="BN954" t="s">
        <v>74</v>
      </c>
      <c r="BO954" t="s">
        <v>74</v>
      </c>
      <c r="BP954" t="s">
        <v>74</v>
      </c>
      <c r="BQ954" t="s">
        <v>74</v>
      </c>
      <c r="BR954" t="s">
        <v>106</v>
      </c>
      <c r="BS954" t="s">
        <v>18003</v>
      </c>
      <c r="BT954" t="str">
        <f>HYPERLINK("https%3A%2F%2Fwww.webofscience.com%2Fwos%2Fwoscc%2Ffull-record%2FWOS:001216725700001","View Full Record in Web of Science")</f>
        <v>View Full Record in Web of Science</v>
      </c>
    </row>
    <row r="955" spans="1:72" x14ac:dyDescent="0.2">
      <c r="A955" t="s">
        <v>72</v>
      </c>
      <c r="B955" t="s">
        <v>18004</v>
      </c>
      <c r="C955" t="s">
        <v>74</v>
      </c>
      <c r="D955" t="s">
        <v>74</v>
      </c>
      <c r="E955" t="s">
        <v>74</v>
      </c>
      <c r="F955" t="s">
        <v>18005</v>
      </c>
      <c r="G955" t="s">
        <v>74</v>
      </c>
      <c r="H955" t="s">
        <v>74</v>
      </c>
      <c r="I955" t="s">
        <v>18006</v>
      </c>
      <c r="J955" t="s">
        <v>2749</v>
      </c>
      <c r="K955" t="s">
        <v>74</v>
      </c>
      <c r="L955" t="s">
        <v>74</v>
      </c>
      <c r="M955" t="s">
        <v>78</v>
      </c>
      <c r="N955" t="s">
        <v>79</v>
      </c>
      <c r="O955" t="s">
        <v>74</v>
      </c>
      <c r="P955" t="s">
        <v>74</v>
      </c>
      <c r="Q955" t="s">
        <v>74</v>
      </c>
      <c r="R955" t="s">
        <v>74</v>
      </c>
      <c r="S955" t="s">
        <v>74</v>
      </c>
      <c r="T955" t="s">
        <v>18007</v>
      </c>
      <c r="U955" t="s">
        <v>18008</v>
      </c>
      <c r="V955" t="s">
        <v>18009</v>
      </c>
      <c r="W955" t="s">
        <v>18010</v>
      </c>
      <c r="X955" t="s">
        <v>18011</v>
      </c>
      <c r="Y955" t="s">
        <v>18012</v>
      </c>
      <c r="Z955" t="s">
        <v>18013</v>
      </c>
      <c r="AA955" t="s">
        <v>18014</v>
      </c>
      <c r="AB955" t="s">
        <v>18015</v>
      </c>
      <c r="AC955" t="s">
        <v>18016</v>
      </c>
      <c r="AD955" t="s">
        <v>18017</v>
      </c>
      <c r="AE955" t="s">
        <v>18018</v>
      </c>
      <c r="AF955" t="s">
        <v>74</v>
      </c>
      <c r="AG955">
        <v>71</v>
      </c>
      <c r="AH955">
        <v>7</v>
      </c>
      <c r="AI955">
        <v>9</v>
      </c>
      <c r="AJ955">
        <v>12</v>
      </c>
      <c r="AK955">
        <v>31</v>
      </c>
      <c r="AL955" t="s">
        <v>2762</v>
      </c>
      <c r="AM955" t="s">
        <v>2763</v>
      </c>
      <c r="AN955" t="s">
        <v>2764</v>
      </c>
      <c r="AO955" t="s">
        <v>2765</v>
      </c>
      <c r="AP955" t="s">
        <v>2766</v>
      </c>
      <c r="AQ955" t="s">
        <v>74</v>
      </c>
      <c r="AR955" t="s">
        <v>2767</v>
      </c>
      <c r="AS955" t="s">
        <v>2768</v>
      </c>
      <c r="AT955" t="s">
        <v>1752</v>
      </c>
      <c r="AU955">
        <v>2024</v>
      </c>
      <c r="AV955">
        <v>44</v>
      </c>
      <c r="AW955">
        <v>4</v>
      </c>
      <c r="AX955" t="s">
        <v>74</v>
      </c>
      <c r="AY955" t="s">
        <v>74</v>
      </c>
      <c r="AZ955" t="s">
        <v>74</v>
      </c>
      <c r="BA955" t="s">
        <v>74</v>
      </c>
      <c r="BB955" t="s">
        <v>74</v>
      </c>
      <c r="BC955" t="s">
        <v>74</v>
      </c>
      <c r="BD955">
        <v>41</v>
      </c>
      <c r="BE955" t="s">
        <v>18019</v>
      </c>
      <c r="BF955" t="str">
        <f>HYPERLINK("http://dx.doi.org/10.1007/s13593-024-00977-1","http://dx.doi.org/10.1007/s13593-024-00977-1")</f>
        <v>http://dx.doi.org/10.1007/s13593-024-00977-1</v>
      </c>
      <c r="BG955" t="s">
        <v>74</v>
      </c>
      <c r="BH955" t="s">
        <v>74</v>
      </c>
      <c r="BI955">
        <v>14</v>
      </c>
      <c r="BJ955" t="s">
        <v>2770</v>
      </c>
      <c r="BK955" t="s">
        <v>102</v>
      </c>
      <c r="BL955" t="s">
        <v>1847</v>
      </c>
      <c r="BM955" t="s">
        <v>18020</v>
      </c>
      <c r="BN955" t="s">
        <v>74</v>
      </c>
      <c r="BO955" t="s">
        <v>916</v>
      </c>
      <c r="BP955" t="s">
        <v>74</v>
      </c>
      <c r="BQ955" t="s">
        <v>74</v>
      </c>
      <c r="BR955" t="s">
        <v>106</v>
      </c>
      <c r="BS955" t="s">
        <v>18021</v>
      </c>
      <c r="BT955" t="str">
        <f>HYPERLINK("https%3A%2F%2Fwww.webofscience.com%2Fwos%2Fwoscc%2Ffull-record%2FWOS:001271206100001","View Full Record in Web of Science")</f>
        <v>View Full Record in Web of Science</v>
      </c>
    </row>
    <row r="956" spans="1:72" x14ac:dyDescent="0.2">
      <c r="A956" t="s">
        <v>72</v>
      </c>
      <c r="B956" t="s">
        <v>18022</v>
      </c>
      <c r="C956" t="s">
        <v>74</v>
      </c>
      <c r="D956" t="s">
        <v>74</v>
      </c>
      <c r="E956" t="s">
        <v>74</v>
      </c>
      <c r="F956" t="s">
        <v>18023</v>
      </c>
      <c r="G956" t="s">
        <v>74</v>
      </c>
      <c r="H956" t="s">
        <v>74</v>
      </c>
      <c r="I956" t="s">
        <v>18024</v>
      </c>
      <c r="J956" t="s">
        <v>18025</v>
      </c>
      <c r="K956" t="s">
        <v>74</v>
      </c>
      <c r="L956" t="s">
        <v>74</v>
      </c>
      <c r="M956" t="s">
        <v>78</v>
      </c>
      <c r="N956" t="s">
        <v>79</v>
      </c>
      <c r="O956" t="s">
        <v>74</v>
      </c>
      <c r="P956" t="s">
        <v>74</v>
      </c>
      <c r="Q956" t="s">
        <v>74</v>
      </c>
      <c r="R956" t="s">
        <v>74</v>
      </c>
      <c r="S956" t="s">
        <v>74</v>
      </c>
      <c r="T956" t="s">
        <v>18026</v>
      </c>
      <c r="U956" t="s">
        <v>18027</v>
      </c>
      <c r="V956" t="s">
        <v>18028</v>
      </c>
      <c r="W956" t="s">
        <v>18029</v>
      </c>
      <c r="X956" t="s">
        <v>18030</v>
      </c>
      <c r="Y956" t="s">
        <v>18031</v>
      </c>
      <c r="Z956" t="s">
        <v>5905</v>
      </c>
      <c r="AA956" t="s">
        <v>18032</v>
      </c>
      <c r="AB956" t="s">
        <v>74</v>
      </c>
      <c r="AC956" t="s">
        <v>18033</v>
      </c>
      <c r="AD956" t="s">
        <v>18034</v>
      </c>
      <c r="AE956" t="s">
        <v>18035</v>
      </c>
      <c r="AF956" t="s">
        <v>74</v>
      </c>
      <c r="AG956">
        <v>41</v>
      </c>
      <c r="AH956">
        <v>9</v>
      </c>
      <c r="AI956">
        <v>9</v>
      </c>
      <c r="AJ956">
        <v>4</v>
      </c>
      <c r="AK956">
        <v>18</v>
      </c>
      <c r="AL956" t="s">
        <v>123</v>
      </c>
      <c r="AM956" t="s">
        <v>124</v>
      </c>
      <c r="AN956" t="s">
        <v>125</v>
      </c>
      <c r="AO956" t="s">
        <v>18036</v>
      </c>
      <c r="AP956" t="s">
        <v>18037</v>
      </c>
      <c r="AQ956" t="s">
        <v>74</v>
      </c>
      <c r="AR956" t="s">
        <v>18025</v>
      </c>
      <c r="AS956" t="s">
        <v>18038</v>
      </c>
      <c r="AT956" t="s">
        <v>1632</v>
      </c>
      <c r="AU956">
        <v>2025</v>
      </c>
      <c r="AV956">
        <v>281</v>
      </c>
      <c r="AW956" t="s">
        <v>74</v>
      </c>
      <c r="AX956" t="s">
        <v>74</v>
      </c>
      <c r="AY956" t="s">
        <v>74</v>
      </c>
      <c r="AZ956" t="s">
        <v>74</v>
      </c>
      <c r="BA956" t="s">
        <v>74</v>
      </c>
      <c r="BB956" t="s">
        <v>74</v>
      </c>
      <c r="BC956" t="s">
        <v>74</v>
      </c>
      <c r="BD956">
        <v>126911</v>
      </c>
      <c r="BE956" t="s">
        <v>18039</v>
      </c>
      <c r="BF956" t="str">
        <f>HYPERLINK("http://dx.doi.org/10.1016/j.talanta.2024.126911","http://dx.doi.org/10.1016/j.talanta.2024.126911")</f>
        <v>http://dx.doi.org/10.1016/j.talanta.2024.126911</v>
      </c>
      <c r="BG956" t="s">
        <v>74</v>
      </c>
      <c r="BH956" t="s">
        <v>2956</v>
      </c>
      <c r="BI956">
        <v>8</v>
      </c>
      <c r="BJ956" t="s">
        <v>5916</v>
      </c>
      <c r="BK956" t="s">
        <v>102</v>
      </c>
      <c r="BL956" t="s">
        <v>2499</v>
      </c>
      <c r="BM956" t="s">
        <v>18040</v>
      </c>
      <c r="BN956">
        <v>39317067</v>
      </c>
      <c r="BO956" t="s">
        <v>74</v>
      </c>
      <c r="BP956" t="s">
        <v>74</v>
      </c>
      <c r="BQ956" t="s">
        <v>74</v>
      </c>
      <c r="BR956" t="s">
        <v>106</v>
      </c>
      <c r="BS956" t="s">
        <v>18041</v>
      </c>
      <c r="BT956" t="str">
        <f>HYPERLINK("https%3A%2F%2Fwww.webofscience.com%2Fwos%2Fwoscc%2Ffull-record%2FWOS:001322639400001","View Full Record in Web of Science")</f>
        <v>View Full Record in Web of Science</v>
      </c>
    </row>
    <row r="957" spans="1:72" x14ac:dyDescent="0.2">
      <c r="A957" t="s">
        <v>72</v>
      </c>
      <c r="B957" t="s">
        <v>18042</v>
      </c>
      <c r="C957" t="s">
        <v>74</v>
      </c>
      <c r="D957" t="s">
        <v>74</v>
      </c>
      <c r="E957" t="s">
        <v>74</v>
      </c>
      <c r="F957" t="s">
        <v>18043</v>
      </c>
      <c r="G957" t="s">
        <v>74</v>
      </c>
      <c r="H957" t="s">
        <v>74</v>
      </c>
      <c r="I957" t="s">
        <v>18044</v>
      </c>
      <c r="J957" t="s">
        <v>2149</v>
      </c>
      <c r="K957" t="s">
        <v>74</v>
      </c>
      <c r="L957" t="s">
        <v>74</v>
      </c>
      <c r="M957" t="s">
        <v>78</v>
      </c>
      <c r="N957" t="s">
        <v>79</v>
      </c>
      <c r="O957" t="s">
        <v>74</v>
      </c>
      <c r="P957" t="s">
        <v>74</v>
      </c>
      <c r="Q957" t="s">
        <v>74</v>
      </c>
      <c r="R957" t="s">
        <v>74</v>
      </c>
      <c r="S957" t="s">
        <v>74</v>
      </c>
      <c r="T957" t="s">
        <v>18045</v>
      </c>
      <c r="U957" t="s">
        <v>18046</v>
      </c>
      <c r="V957" t="s">
        <v>18047</v>
      </c>
      <c r="W957" t="s">
        <v>18048</v>
      </c>
      <c r="X957" t="s">
        <v>18049</v>
      </c>
      <c r="Y957" t="s">
        <v>18050</v>
      </c>
      <c r="Z957" t="s">
        <v>18051</v>
      </c>
      <c r="AA957" t="s">
        <v>18052</v>
      </c>
      <c r="AB957" t="s">
        <v>74</v>
      </c>
      <c r="AC957" t="s">
        <v>18053</v>
      </c>
      <c r="AD957" t="s">
        <v>18054</v>
      </c>
      <c r="AE957" t="s">
        <v>18055</v>
      </c>
      <c r="AF957" t="s">
        <v>74</v>
      </c>
      <c r="AG957">
        <v>82</v>
      </c>
      <c r="AH957">
        <v>7</v>
      </c>
      <c r="AI957">
        <v>8</v>
      </c>
      <c r="AJ957">
        <v>8</v>
      </c>
      <c r="AK957">
        <v>79</v>
      </c>
      <c r="AL957" t="s">
        <v>123</v>
      </c>
      <c r="AM957" t="s">
        <v>124</v>
      </c>
      <c r="AN957" t="s">
        <v>125</v>
      </c>
      <c r="AO957" t="s">
        <v>2164</v>
      </c>
      <c r="AP957" t="s">
        <v>2165</v>
      </c>
      <c r="AQ957" t="s">
        <v>74</v>
      </c>
      <c r="AR957" t="s">
        <v>2166</v>
      </c>
      <c r="AS957" t="s">
        <v>2167</v>
      </c>
      <c r="AT957" t="s">
        <v>227</v>
      </c>
      <c r="AU957">
        <v>2023</v>
      </c>
      <c r="AV957">
        <v>225</v>
      </c>
      <c r="AW957" t="s">
        <v>74</v>
      </c>
      <c r="AX957" t="s">
        <v>74</v>
      </c>
      <c r="AY957" t="s">
        <v>74</v>
      </c>
      <c r="AZ957" t="s">
        <v>74</v>
      </c>
      <c r="BA957" t="s">
        <v>74</v>
      </c>
      <c r="BB957" t="s">
        <v>74</v>
      </c>
      <c r="BC957" t="s">
        <v>74</v>
      </c>
      <c r="BD957">
        <v>105561</v>
      </c>
      <c r="BE957" t="s">
        <v>18056</v>
      </c>
      <c r="BF957" t="str">
        <f>HYPERLINK("http://dx.doi.org/10.1016/j.still.2022.105561","http://dx.doi.org/10.1016/j.still.2022.105561")</f>
        <v>http://dx.doi.org/10.1016/j.still.2022.105561</v>
      </c>
      <c r="BG957" t="s">
        <v>74</v>
      </c>
      <c r="BH957" t="s">
        <v>11795</v>
      </c>
      <c r="BI957">
        <v>14</v>
      </c>
      <c r="BJ957" t="s">
        <v>256</v>
      </c>
      <c r="BK957" t="s">
        <v>102</v>
      </c>
      <c r="BL957" t="s">
        <v>103</v>
      </c>
      <c r="BM957" t="s">
        <v>18057</v>
      </c>
      <c r="BN957" t="s">
        <v>74</v>
      </c>
      <c r="BO957" t="s">
        <v>74</v>
      </c>
      <c r="BP957" t="s">
        <v>74</v>
      </c>
      <c r="BQ957" t="s">
        <v>74</v>
      </c>
      <c r="BR957" t="s">
        <v>106</v>
      </c>
      <c r="BS957" t="s">
        <v>18058</v>
      </c>
      <c r="BT957" t="str">
        <f>HYPERLINK("https%3A%2F%2Fwww.webofscience.com%2Fwos%2Fwoscc%2Ffull-record%2FWOS:000880077800005","View Full Record in Web of Science")</f>
        <v>View Full Record in Web of Science</v>
      </c>
    </row>
    <row r="958" spans="1:72" x14ac:dyDescent="0.2">
      <c r="A958" t="s">
        <v>72</v>
      </c>
      <c r="B958" t="s">
        <v>18059</v>
      </c>
      <c r="C958" t="s">
        <v>74</v>
      </c>
      <c r="D958" t="s">
        <v>74</v>
      </c>
      <c r="E958" t="s">
        <v>74</v>
      </c>
      <c r="F958" t="s">
        <v>18060</v>
      </c>
      <c r="G958" t="s">
        <v>74</v>
      </c>
      <c r="H958" t="s">
        <v>74</v>
      </c>
      <c r="I958" t="s">
        <v>18061</v>
      </c>
      <c r="J958" t="s">
        <v>18062</v>
      </c>
      <c r="K958" t="s">
        <v>74</v>
      </c>
      <c r="L958" t="s">
        <v>74</v>
      </c>
      <c r="M958" t="s">
        <v>78</v>
      </c>
      <c r="N958" t="s">
        <v>79</v>
      </c>
      <c r="O958" t="s">
        <v>74</v>
      </c>
      <c r="P958" t="s">
        <v>74</v>
      </c>
      <c r="Q958" t="s">
        <v>74</v>
      </c>
      <c r="R958" t="s">
        <v>74</v>
      </c>
      <c r="S958" t="s">
        <v>74</v>
      </c>
      <c r="T958" t="s">
        <v>74</v>
      </c>
      <c r="U958" t="s">
        <v>18063</v>
      </c>
      <c r="V958" t="s">
        <v>18064</v>
      </c>
      <c r="W958" t="s">
        <v>18065</v>
      </c>
      <c r="X958" t="s">
        <v>18066</v>
      </c>
      <c r="Y958" t="s">
        <v>18067</v>
      </c>
      <c r="Z958" t="s">
        <v>18068</v>
      </c>
      <c r="AA958" t="s">
        <v>18069</v>
      </c>
      <c r="AB958" t="s">
        <v>18070</v>
      </c>
      <c r="AC958" t="s">
        <v>74</v>
      </c>
      <c r="AD958" t="s">
        <v>74</v>
      </c>
      <c r="AE958" t="s">
        <v>74</v>
      </c>
      <c r="AF958" t="s">
        <v>74</v>
      </c>
      <c r="AG958">
        <v>47</v>
      </c>
      <c r="AH958">
        <v>4</v>
      </c>
      <c r="AI958">
        <v>4</v>
      </c>
      <c r="AJ958">
        <v>2</v>
      </c>
      <c r="AK958">
        <v>4</v>
      </c>
      <c r="AL958" t="s">
        <v>14388</v>
      </c>
      <c r="AM958" t="s">
        <v>14389</v>
      </c>
      <c r="AN958" t="s">
        <v>14390</v>
      </c>
      <c r="AO958" t="s">
        <v>18071</v>
      </c>
      <c r="AP958" t="s">
        <v>18072</v>
      </c>
      <c r="AQ958" t="s">
        <v>74</v>
      </c>
      <c r="AR958" t="s">
        <v>18062</v>
      </c>
      <c r="AS958" t="s">
        <v>18073</v>
      </c>
      <c r="AT958" t="s">
        <v>805</v>
      </c>
      <c r="AU958">
        <v>2024</v>
      </c>
      <c r="AV958">
        <v>34</v>
      </c>
      <c r="AW958">
        <v>11</v>
      </c>
      <c r="AX958" t="s">
        <v>74</v>
      </c>
      <c r="AY958" t="s">
        <v>74</v>
      </c>
      <c r="AZ958" t="s">
        <v>74</v>
      </c>
      <c r="BA958" t="s">
        <v>74</v>
      </c>
      <c r="BB958" t="s">
        <v>74</v>
      </c>
      <c r="BC958" t="s">
        <v>74</v>
      </c>
      <c r="BD958">
        <v>113134</v>
      </c>
      <c r="BE958" t="s">
        <v>18074</v>
      </c>
      <c r="BF958" t="str">
        <f>HYPERLINK("http://dx.doi.org/10.1063/5.0225698","http://dx.doi.org/10.1063/5.0225698")</f>
        <v>http://dx.doi.org/10.1063/5.0225698</v>
      </c>
      <c r="BG958" t="s">
        <v>74</v>
      </c>
      <c r="BH958" t="s">
        <v>74</v>
      </c>
      <c r="BI958">
        <v>23</v>
      </c>
      <c r="BJ958" t="s">
        <v>18075</v>
      </c>
      <c r="BK958" t="s">
        <v>102</v>
      </c>
      <c r="BL958" t="s">
        <v>18076</v>
      </c>
      <c r="BM958" t="s">
        <v>18077</v>
      </c>
      <c r="BN958">
        <v>39589402</v>
      </c>
      <c r="BO958" t="s">
        <v>74</v>
      </c>
      <c r="BP958" t="s">
        <v>74</v>
      </c>
      <c r="BQ958" t="s">
        <v>74</v>
      </c>
      <c r="BR958" t="s">
        <v>106</v>
      </c>
      <c r="BS958" t="s">
        <v>18078</v>
      </c>
      <c r="BT958" t="str">
        <f>HYPERLINK("https%3A%2F%2Fwww.webofscience.com%2Fwos%2Fwoscc%2Ffull-record%2FWOS:001366896200001","View Full Record in Web of Science")</f>
        <v>View Full Record in Web of Science</v>
      </c>
    </row>
    <row r="959" spans="1:72" x14ac:dyDescent="0.2">
      <c r="A959" t="s">
        <v>72</v>
      </c>
      <c r="B959" t="s">
        <v>18079</v>
      </c>
      <c r="C959" t="s">
        <v>74</v>
      </c>
      <c r="D959" t="s">
        <v>74</v>
      </c>
      <c r="E959" t="s">
        <v>74</v>
      </c>
      <c r="F959" t="s">
        <v>18080</v>
      </c>
      <c r="G959" t="s">
        <v>74</v>
      </c>
      <c r="H959" t="s">
        <v>74</v>
      </c>
      <c r="I959" t="s">
        <v>18081</v>
      </c>
      <c r="J959" t="s">
        <v>1187</v>
      </c>
      <c r="K959" t="s">
        <v>74</v>
      </c>
      <c r="L959" t="s">
        <v>74</v>
      </c>
      <c r="M959" t="s">
        <v>78</v>
      </c>
      <c r="N959" t="s">
        <v>79</v>
      </c>
      <c r="O959" t="s">
        <v>74</v>
      </c>
      <c r="P959" t="s">
        <v>74</v>
      </c>
      <c r="Q959" t="s">
        <v>74</v>
      </c>
      <c r="R959" t="s">
        <v>74</v>
      </c>
      <c r="S959" t="s">
        <v>74</v>
      </c>
      <c r="T959" t="s">
        <v>18082</v>
      </c>
      <c r="U959" t="s">
        <v>18083</v>
      </c>
      <c r="V959" t="s">
        <v>18084</v>
      </c>
      <c r="W959" t="s">
        <v>18085</v>
      </c>
      <c r="X959" t="s">
        <v>18086</v>
      </c>
      <c r="Y959" t="s">
        <v>18087</v>
      </c>
      <c r="Z959" t="s">
        <v>16618</v>
      </c>
      <c r="AA959" t="s">
        <v>18088</v>
      </c>
      <c r="AB959" t="s">
        <v>18089</v>
      </c>
      <c r="AC959" t="s">
        <v>18090</v>
      </c>
      <c r="AD959" t="s">
        <v>18091</v>
      </c>
      <c r="AE959" t="s">
        <v>18092</v>
      </c>
      <c r="AF959" t="s">
        <v>74</v>
      </c>
      <c r="AG959">
        <v>61</v>
      </c>
      <c r="AH959">
        <v>16</v>
      </c>
      <c r="AI959">
        <v>17</v>
      </c>
      <c r="AJ959">
        <v>2</v>
      </c>
      <c r="AK959">
        <v>61</v>
      </c>
      <c r="AL959" t="s">
        <v>504</v>
      </c>
      <c r="AM959" t="s">
        <v>505</v>
      </c>
      <c r="AN959" t="s">
        <v>506</v>
      </c>
      <c r="AO959" t="s">
        <v>1200</v>
      </c>
      <c r="AP959" t="s">
        <v>1201</v>
      </c>
      <c r="AQ959" t="s">
        <v>74</v>
      </c>
      <c r="AR959" t="s">
        <v>1187</v>
      </c>
      <c r="AS959" t="s">
        <v>1202</v>
      </c>
      <c r="AT959" t="s">
        <v>1752</v>
      </c>
      <c r="AU959">
        <v>2021</v>
      </c>
      <c r="AV959">
        <v>155</v>
      </c>
      <c r="AW959">
        <v>1</v>
      </c>
      <c r="AX959" t="s">
        <v>74</v>
      </c>
      <c r="AY959" t="s">
        <v>74</v>
      </c>
      <c r="AZ959" t="s">
        <v>74</v>
      </c>
      <c r="BA959" t="s">
        <v>74</v>
      </c>
      <c r="BB959">
        <v>113</v>
      </c>
      <c r="BC959">
        <v>125</v>
      </c>
      <c r="BD959" t="s">
        <v>74</v>
      </c>
      <c r="BE959" t="s">
        <v>18093</v>
      </c>
      <c r="BF959" t="str">
        <f>HYPERLINK("http://dx.doi.org/10.1007/s10533-021-00816-5","http://dx.doi.org/10.1007/s10533-021-00816-5")</f>
        <v>http://dx.doi.org/10.1007/s10533-021-00816-5</v>
      </c>
      <c r="BG959" t="s">
        <v>74</v>
      </c>
      <c r="BH959" t="s">
        <v>7541</v>
      </c>
      <c r="BI959">
        <v>13</v>
      </c>
      <c r="BJ959" t="s">
        <v>1205</v>
      </c>
      <c r="BK959" t="s">
        <v>102</v>
      </c>
      <c r="BL959" t="s">
        <v>1206</v>
      </c>
      <c r="BM959" t="s">
        <v>18094</v>
      </c>
      <c r="BN959" t="s">
        <v>74</v>
      </c>
      <c r="BO959" t="s">
        <v>2296</v>
      </c>
      <c r="BP959" t="s">
        <v>74</v>
      </c>
      <c r="BQ959" t="s">
        <v>74</v>
      </c>
      <c r="BR959" t="s">
        <v>106</v>
      </c>
      <c r="BS959" t="s">
        <v>18095</v>
      </c>
      <c r="BT959" t="str">
        <f>HYPERLINK("https%3A%2F%2Fwww.webofscience.com%2Fwos%2Fwoscc%2Ffull-record%2FWOS:000658590400001","View Full Record in Web of Science")</f>
        <v>View Full Record in Web of Science</v>
      </c>
    </row>
    <row r="960" spans="1:72" x14ac:dyDescent="0.2">
      <c r="A960" t="s">
        <v>72</v>
      </c>
      <c r="B960" t="s">
        <v>18096</v>
      </c>
      <c r="C960" t="s">
        <v>74</v>
      </c>
      <c r="D960" t="s">
        <v>74</v>
      </c>
      <c r="E960" t="s">
        <v>74</v>
      </c>
      <c r="F960" t="s">
        <v>18097</v>
      </c>
      <c r="G960" t="s">
        <v>74</v>
      </c>
      <c r="H960" t="s">
        <v>74</v>
      </c>
      <c r="I960" t="s">
        <v>18098</v>
      </c>
      <c r="J960" t="s">
        <v>7956</v>
      </c>
      <c r="K960" t="s">
        <v>74</v>
      </c>
      <c r="L960" t="s">
        <v>74</v>
      </c>
      <c r="M960" t="s">
        <v>78</v>
      </c>
      <c r="N960" t="s">
        <v>79</v>
      </c>
      <c r="O960" t="s">
        <v>74</v>
      </c>
      <c r="P960" t="s">
        <v>74</v>
      </c>
      <c r="Q960" t="s">
        <v>74</v>
      </c>
      <c r="R960" t="s">
        <v>74</v>
      </c>
      <c r="S960" t="s">
        <v>74</v>
      </c>
      <c r="T960" t="s">
        <v>18099</v>
      </c>
      <c r="U960" t="s">
        <v>18100</v>
      </c>
      <c r="V960" t="s">
        <v>18101</v>
      </c>
      <c r="W960" t="s">
        <v>18102</v>
      </c>
      <c r="X960" t="s">
        <v>74</v>
      </c>
      <c r="Y960" t="s">
        <v>18103</v>
      </c>
      <c r="Z960" t="s">
        <v>18104</v>
      </c>
      <c r="AA960" t="s">
        <v>18105</v>
      </c>
      <c r="AB960" t="s">
        <v>74</v>
      </c>
      <c r="AC960" t="s">
        <v>18106</v>
      </c>
      <c r="AD960" t="s">
        <v>18107</v>
      </c>
      <c r="AE960" t="s">
        <v>18108</v>
      </c>
      <c r="AF960" t="s">
        <v>74</v>
      </c>
      <c r="AG960">
        <v>45</v>
      </c>
      <c r="AH960">
        <v>5</v>
      </c>
      <c r="AI960">
        <v>5</v>
      </c>
      <c r="AJ960">
        <v>0</v>
      </c>
      <c r="AK960">
        <v>20</v>
      </c>
      <c r="AL960" t="s">
        <v>1820</v>
      </c>
      <c r="AM960" t="s">
        <v>1821</v>
      </c>
      <c r="AN960" t="s">
        <v>1822</v>
      </c>
      <c r="AO960" t="s">
        <v>7969</v>
      </c>
      <c r="AP960" t="s">
        <v>7970</v>
      </c>
      <c r="AQ960" t="s">
        <v>74</v>
      </c>
      <c r="AR960" t="s">
        <v>7971</v>
      </c>
      <c r="AS960" t="s">
        <v>7972</v>
      </c>
      <c r="AT960" t="s">
        <v>74</v>
      </c>
      <c r="AU960">
        <v>2016</v>
      </c>
      <c r="AV960">
        <v>38</v>
      </c>
      <c r="AW960">
        <v>3</v>
      </c>
      <c r="AX960" t="s">
        <v>74</v>
      </c>
      <c r="AY960" t="s">
        <v>74</v>
      </c>
      <c r="AZ960" t="s">
        <v>1070</v>
      </c>
      <c r="BA960" t="s">
        <v>74</v>
      </c>
      <c r="BB960">
        <v>307</v>
      </c>
      <c r="BC960">
        <v>317</v>
      </c>
      <c r="BD960" t="s">
        <v>74</v>
      </c>
      <c r="BE960" t="s">
        <v>18109</v>
      </c>
      <c r="BF960" t="str">
        <f>HYPERLINK("http://dx.doi.org/10.1071/RJ15084","http://dx.doi.org/10.1071/RJ15084")</f>
        <v>http://dx.doi.org/10.1071/RJ15084</v>
      </c>
      <c r="BG960" t="s">
        <v>74</v>
      </c>
      <c r="BH960" t="s">
        <v>74</v>
      </c>
      <c r="BI960">
        <v>11</v>
      </c>
      <c r="BJ960" t="s">
        <v>4692</v>
      </c>
      <c r="BK960" t="s">
        <v>102</v>
      </c>
      <c r="BL960" t="s">
        <v>568</v>
      </c>
      <c r="BM960" t="s">
        <v>18110</v>
      </c>
      <c r="BN960" t="s">
        <v>74</v>
      </c>
      <c r="BO960" t="s">
        <v>74</v>
      </c>
      <c r="BP960" t="s">
        <v>74</v>
      </c>
      <c r="BQ960" t="s">
        <v>74</v>
      </c>
      <c r="BR960" t="s">
        <v>106</v>
      </c>
      <c r="BS960" t="s">
        <v>18111</v>
      </c>
      <c r="BT960" t="str">
        <f>HYPERLINK("https%3A%2F%2Fwww.webofscience.com%2Fwos%2Fwoscc%2Ffull-record%2FWOS:000379496100009","View Full Record in Web of Science")</f>
        <v>View Full Record in Web of Science</v>
      </c>
    </row>
    <row r="961" spans="1:72" x14ac:dyDescent="0.2">
      <c r="A961" t="s">
        <v>72</v>
      </c>
      <c r="B961" t="s">
        <v>18112</v>
      </c>
      <c r="C961" t="s">
        <v>74</v>
      </c>
      <c r="D961" t="s">
        <v>74</v>
      </c>
      <c r="E961" t="s">
        <v>74</v>
      </c>
      <c r="F961" t="s">
        <v>18113</v>
      </c>
      <c r="G961" t="s">
        <v>74</v>
      </c>
      <c r="H961" t="s">
        <v>74</v>
      </c>
      <c r="I961" t="s">
        <v>18114</v>
      </c>
      <c r="J961" t="s">
        <v>18115</v>
      </c>
      <c r="K961" t="s">
        <v>74</v>
      </c>
      <c r="L961" t="s">
        <v>74</v>
      </c>
      <c r="M961" t="s">
        <v>78</v>
      </c>
      <c r="N961" t="s">
        <v>79</v>
      </c>
      <c r="O961" t="s">
        <v>74</v>
      </c>
      <c r="P961" t="s">
        <v>74</v>
      </c>
      <c r="Q961" t="s">
        <v>74</v>
      </c>
      <c r="R961" t="s">
        <v>74</v>
      </c>
      <c r="S961" t="s">
        <v>74</v>
      </c>
      <c r="T961" t="s">
        <v>18116</v>
      </c>
      <c r="U961" t="s">
        <v>18117</v>
      </c>
      <c r="V961" t="s">
        <v>18118</v>
      </c>
      <c r="W961" t="s">
        <v>18119</v>
      </c>
      <c r="X961" t="s">
        <v>18120</v>
      </c>
      <c r="Y961" t="s">
        <v>18121</v>
      </c>
      <c r="Z961" t="s">
        <v>18122</v>
      </c>
      <c r="AA961" t="s">
        <v>18123</v>
      </c>
      <c r="AB961" t="s">
        <v>18124</v>
      </c>
      <c r="AC961" t="s">
        <v>18125</v>
      </c>
      <c r="AD961" t="s">
        <v>18126</v>
      </c>
      <c r="AE961" t="s">
        <v>18127</v>
      </c>
      <c r="AF961" t="s">
        <v>74</v>
      </c>
      <c r="AG961">
        <v>90</v>
      </c>
      <c r="AH961">
        <v>10</v>
      </c>
      <c r="AI961">
        <v>10</v>
      </c>
      <c r="AJ961">
        <v>2</v>
      </c>
      <c r="AK961">
        <v>8</v>
      </c>
      <c r="AL961" t="s">
        <v>123</v>
      </c>
      <c r="AM961" t="s">
        <v>124</v>
      </c>
      <c r="AN961" t="s">
        <v>125</v>
      </c>
      <c r="AO961" t="s">
        <v>74</v>
      </c>
      <c r="AP961" t="s">
        <v>18128</v>
      </c>
      <c r="AQ961" t="s">
        <v>74</v>
      </c>
      <c r="AR961" t="s">
        <v>18129</v>
      </c>
      <c r="AS961" t="s">
        <v>18130</v>
      </c>
      <c r="AT961" t="s">
        <v>2017</v>
      </c>
      <c r="AU961">
        <v>2024</v>
      </c>
      <c r="AV961">
        <v>41</v>
      </c>
      <c r="AW961" t="s">
        <v>74</v>
      </c>
      <c r="AX961" t="s">
        <v>74</v>
      </c>
      <c r="AY961" t="s">
        <v>74</v>
      </c>
      <c r="AZ961" t="s">
        <v>74</v>
      </c>
      <c r="BA961" t="s">
        <v>74</v>
      </c>
      <c r="BB961" t="s">
        <v>74</v>
      </c>
      <c r="BC961" t="s">
        <v>74</v>
      </c>
      <c r="BD961">
        <v>101734</v>
      </c>
      <c r="BE961" t="s">
        <v>18131</v>
      </c>
      <c r="BF961" t="str">
        <f>HYPERLINK("http://dx.doi.org/10.1016/j.scp.2024.101734","http://dx.doi.org/10.1016/j.scp.2024.101734")</f>
        <v>http://dx.doi.org/10.1016/j.scp.2024.101734</v>
      </c>
      <c r="BG961" t="s">
        <v>74</v>
      </c>
      <c r="BH961" t="s">
        <v>74</v>
      </c>
      <c r="BI961">
        <v>15</v>
      </c>
      <c r="BJ961" t="s">
        <v>18132</v>
      </c>
      <c r="BK961" t="s">
        <v>102</v>
      </c>
      <c r="BL961" t="s">
        <v>18133</v>
      </c>
      <c r="BM961" t="s">
        <v>18134</v>
      </c>
      <c r="BN961" t="s">
        <v>74</v>
      </c>
      <c r="BO961" t="s">
        <v>74</v>
      </c>
      <c r="BP961" t="s">
        <v>74</v>
      </c>
      <c r="BQ961" t="s">
        <v>74</v>
      </c>
      <c r="BR961" t="s">
        <v>106</v>
      </c>
      <c r="BS961" t="s">
        <v>18135</v>
      </c>
      <c r="BT961" t="str">
        <f>HYPERLINK("https%3A%2F%2Fwww.webofscience.com%2Fwos%2Fwoscc%2Ffull-record%2FWOS:001296296500001","View Full Record in Web of Science")</f>
        <v>View Full Record in Web of Science</v>
      </c>
    </row>
    <row r="962" spans="1:72" x14ac:dyDescent="0.2">
      <c r="A962" t="s">
        <v>72</v>
      </c>
      <c r="B962" t="s">
        <v>18136</v>
      </c>
      <c r="C962" t="s">
        <v>74</v>
      </c>
      <c r="D962" t="s">
        <v>74</v>
      </c>
      <c r="E962" t="s">
        <v>74</v>
      </c>
      <c r="F962" t="s">
        <v>18137</v>
      </c>
      <c r="G962" t="s">
        <v>74</v>
      </c>
      <c r="H962" t="s">
        <v>74</v>
      </c>
      <c r="I962" t="s">
        <v>18138</v>
      </c>
      <c r="J962" t="s">
        <v>4923</v>
      </c>
      <c r="K962" t="s">
        <v>74</v>
      </c>
      <c r="L962" t="s">
        <v>74</v>
      </c>
      <c r="M962" t="s">
        <v>78</v>
      </c>
      <c r="N962" t="s">
        <v>79</v>
      </c>
      <c r="O962" t="s">
        <v>74</v>
      </c>
      <c r="P962" t="s">
        <v>74</v>
      </c>
      <c r="Q962" t="s">
        <v>74</v>
      </c>
      <c r="R962" t="s">
        <v>74</v>
      </c>
      <c r="S962" t="s">
        <v>74</v>
      </c>
      <c r="T962" t="s">
        <v>18139</v>
      </c>
      <c r="U962" t="s">
        <v>18140</v>
      </c>
      <c r="V962" t="s">
        <v>18141</v>
      </c>
      <c r="W962" t="s">
        <v>18142</v>
      </c>
      <c r="X962" t="s">
        <v>18143</v>
      </c>
      <c r="Y962" t="s">
        <v>18144</v>
      </c>
      <c r="Z962" t="s">
        <v>18145</v>
      </c>
      <c r="AA962" t="s">
        <v>18146</v>
      </c>
      <c r="AB962" t="s">
        <v>74</v>
      </c>
      <c r="AC962" t="s">
        <v>18147</v>
      </c>
      <c r="AD962" t="s">
        <v>18148</v>
      </c>
      <c r="AE962" t="s">
        <v>18149</v>
      </c>
      <c r="AF962" t="s">
        <v>74</v>
      </c>
      <c r="AG962">
        <v>93</v>
      </c>
      <c r="AH962">
        <v>0</v>
      </c>
      <c r="AI962">
        <v>0</v>
      </c>
      <c r="AJ962">
        <v>7</v>
      </c>
      <c r="AK962">
        <v>7</v>
      </c>
      <c r="AL962" t="s">
        <v>4935</v>
      </c>
      <c r="AM962" t="s">
        <v>4936</v>
      </c>
      <c r="AN962" t="s">
        <v>4937</v>
      </c>
      <c r="AO962" t="s">
        <v>4938</v>
      </c>
      <c r="AP962" t="s">
        <v>4939</v>
      </c>
      <c r="AQ962" t="s">
        <v>74</v>
      </c>
      <c r="AR962" t="s">
        <v>4923</v>
      </c>
      <c r="AS962" t="s">
        <v>4940</v>
      </c>
      <c r="AT962" t="s">
        <v>6996</v>
      </c>
      <c r="AU962">
        <v>2025</v>
      </c>
      <c r="AV962">
        <v>7</v>
      </c>
      <c r="AW962">
        <v>1</v>
      </c>
      <c r="AX962" t="s">
        <v>74</v>
      </c>
      <c r="AY962" t="s">
        <v>74</v>
      </c>
      <c r="AZ962" t="s">
        <v>74</v>
      </c>
      <c r="BA962" t="s">
        <v>74</v>
      </c>
      <c r="BB962" t="s">
        <v>74</v>
      </c>
      <c r="BC962" t="s">
        <v>74</v>
      </c>
      <c r="BD962">
        <v>108</v>
      </c>
      <c r="BE962" t="s">
        <v>18150</v>
      </c>
      <c r="BF962" t="str">
        <f>HYPERLINK("http://dx.doi.org/10.1007/s42773-025-00501-y","http://dx.doi.org/10.1007/s42773-025-00501-y")</f>
        <v>http://dx.doi.org/10.1007/s42773-025-00501-y</v>
      </c>
      <c r="BG962" t="s">
        <v>74</v>
      </c>
      <c r="BH962" t="s">
        <v>74</v>
      </c>
      <c r="BI962">
        <v>19</v>
      </c>
      <c r="BJ962" t="s">
        <v>4942</v>
      </c>
      <c r="BK962" t="s">
        <v>102</v>
      </c>
      <c r="BL962" t="s">
        <v>4943</v>
      </c>
      <c r="BM962" t="s">
        <v>18151</v>
      </c>
      <c r="BN962">
        <v>40948905</v>
      </c>
      <c r="BO962" t="s">
        <v>161</v>
      </c>
      <c r="BP962" t="s">
        <v>74</v>
      </c>
      <c r="BQ962" t="s">
        <v>74</v>
      </c>
      <c r="BR962" t="s">
        <v>106</v>
      </c>
      <c r="BS962" t="s">
        <v>18152</v>
      </c>
      <c r="BT962" t="str">
        <f>HYPERLINK("https%3A%2F%2Fwww.webofscience.com%2Fwos%2Fwoscc%2Ffull-record%2FWOS:001570504300001","View Full Record in Web of Science")</f>
        <v>View Full Record in Web of Science</v>
      </c>
    </row>
    <row r="963" spans="1:72" x14ac:dyDescent="0.2">
      <c r="A963" t="s">
        <v>72</v>
      </c>
      <c r="B963" t="s">
        <v>18153</v>
      </c>
      <c r="C963" t="s">
        <v>74</v>
      </c>
      <c r="D963" t="s">
        <v>74</v>
      </c>
      <c r="E963" t="s">
        <v>74</v>
      </c>
      <c r="F963" t="s">
        <v>18154</v>
      </c>
      <c r="G963" t="s">
        <v>74</v>
      </c>
      <c r="H963" t="s">
        <v>74</v>
      </c>
      <c r="I963" t="s">
        <v>18155</v>
      </c>
      <c r="J963" t="s">
        <v>1344</v>
      </c>
      <c r="K963" t="s">
        <v>74</v>
      </c>
      <c r="L963" t="s">
        <v>74</v>
      </c>
      <c r="M963" t="s">
        <v>78</v>
      </c>
      <c r="N963" t="s">
        <v>79</v>
      </c>
      <c r="O963" t="s">
        <v>74</v>
      </c>
      <c r="P963" t="s">
        <v>74</v>
      </c>
      <c r="Q963" t="s">
        <v>74</v>
      </c>
      <c r="R963" t="s">
        <v>74</v>
      </c>
      <c r="S963" t="s">
        <v>74</v>
      </c>
      <c r="T963" t="s">
        <v>18156</v>
      </c>
      <c r="U963" t="s">
        <v>18157</v>
      </c>
      <c r="V963" t="s">
        <v>18158</v>
      </c>
      <c r="W963" t="s">
        <v>18159</v>
      </c>
      <c r="X963" t="s">
        <v>17994</v>
      </c>
      <c r="Y963" t="s">
        <v>18160</v>
      </c>
      <c r="Z963" t="s">
        <v>18161</v>
      </c>
      <c r="AA963" t="s">
        <v>18162</v>
      </c>
      <c r="AB963" t="s">
        <v>18163</v>
      </c>
      <c r="AC963" t="s">
        <v>18164</v>
      </c>
      <c r="AD963" t="s">
        <v>18165</v>
      </c>
      <c r="AE963" t="s">
        <v>18166</v>
      </c>
      <c r="AF963" t="s">
        <v>74</v>
      </c>
      <c r="AG963">
        <v>102</v>
      </c>
      <c r="AH963">
        <v>1</v>
      </c>
      <c r="AI963">
        <v>1</v>
      </c>
      <c r="AJ963">
        <v>9</v>
      </c>
      <c r="AK963">
        <v>100</v>
      </c>
      <c r="AL963" t="s">
        <v>222</v>
      </c>
      <c r="AM963" t="s">
        <v>223</v>
      </c>
      <c r="AN963" t="s">
        <v>224</v>
      </c>
      <c r="AO963" t="s">
        <v>74</v>
      </c>
      <c r="AP963" t="s">
        <v>1354</v>
      </c>
      <c r="AQ963" t="s">
        <v>74</v>
      </c>
      <c r="AR963" t="s">
        <v>1344</v>
      </c>
      <c r="AS963" t="s">
        <v>1355</v>
      </c>
      <c r="AT963" t="s">
        <v>2017</v>
      </c>
      <c r="AU963">
        <v>2022</v>
      </c>
      <c r="AV963">
        <v>12</v>
      </c>
      <c r="AW963">
        <v>10</v>
      </c>
      <c r="AX963" t="s">
        <v>74</v>
      </c>
      <c r="AY963" t="s">
        <v>74</v>
      </c>
      <c r="AZ963" t="s">
        <v>74</v>
      </c>
      <c r="BA963" t="s">
        <v>74</v>
      </c>
      <c r="BB963" t="s">
        <v>74</v>
      </c>
      <c r="BC963" t="s">
        <v>74</v>
      </c>
      <c r="BD963">
        <v>1704</v>
      </c>
      <c r="BE963" t="s">
        <v>18167</v>
      </c>
      <c r="BF963" t="str">
        <f>HYPERLINK("http://dx.doi.org/10.3390/agriculture12101704","http://dx.doi.org/10.3390/agriculture12101704")</f>
        <v>http://dx.doi.org/10.3390/agriculture12101704</v>
      </c>
      <c r="BG963" t="s">
        <v>74</v>
      </c>
      <c r="BH963" t="s">
        <v>74</v>
      </c>
      <c r="BI963">
        <v>19</v>
      </c>
      <c r="BJ963" t="s">
        <v>1357</v>
      </c>
      <c r="BK963" t="s">
        <v>102</v>
      </c>
      <c r="BL963" t="s">
        <v>103</v>
      </c>
      <c r="BM963" t="s">
        <v>18168</v>
      </c>
      <c r="BN963" t="s">
        <v>74</v>
      </c>
      <c r="BO963" t="s">
        <v>161</v>
      </c>
      <c r="BP963" t="s">
        <v>74</v>
      </c>
      <c r="BQ963" t="s">
        <v>74</v>
      </c>
      <c r="BR963" t="s">
        <v>106</v>
      </c>
      <c r="BS963" t="s">
        <v>18169</v>
      </c>
      <c r="BT963" t="str">
        <f>HYPERLINK("https%3A%2F%2Fwww.webofscience.com%2Fwos%2Fwoscc%2Ffull-record%2FWOS:000872053600001","View Full Record in Web of Science")</f>
        <v>View Full Record in Web of Science</v>
      </c>
    </row>
    <row r="964" spans="1:72" x14ac:dyDescent="0.2">
      <c r="A964" t="s">
        <v>72</v>
      </c>
      <c r="B964" t="s">
        <v>18170</v>
      </c>
      <c r="C964" t="s">
        <v>74</v>
      </c>
      <c r="D964" t="s">
        <v>74</v>
      </c>
      <c r="E964" t="s">
        <v>74</v>
      </c>
      <c r="F964" t="s">
        <v>18171</v>
      </c>
      <c r="G964" t="s">
        <v>74</v>
      </c>
      <c r="H964" t="s">
        <v>74</v>
      </c>
      <c r="I964" t="s">
        <v>18172</v>
      </c>
      <c r="J964" t="s">
        <v>1526</v>
      </c>
      <c r="K964" t="s">
        <v>74</v>
      </c>
      <c r="L964" t="s">
        <v>74</v>
      </c>
      <c r="M964" t="s">
        <v>78</v>
      </c>
      <c r="N964" t="s">
        <v>79</v>
      </c>
      <c r="O964" t="s">
        <v>74</v>
      </c>
      <c r="P964" t="s">
        <v>74</v>
      </c>
      <c r="Q964" t="s">
        <v>74</v>
      </c>
      <c r="R964" t="s">
        <v>74</v>
      </c>
      <c r="S964" t="s">
        <v>74</v>
      </c>
      <c r="T964" t="s">
        <v>18173</v>
      </c>
      <c r="U964" t="s">
        <v>18174</v>
      </c>
      <c r="V964" t="s">
        <v>18175</v>
      </c>
      <c r="W964" t="s">
        <v>18176</v>
      </c>
      <c r="X964" t="s">
        <v>18177</v>
      </c>
      <c r="Y964" t="s">
        <v>18178</v>
      </c>
      <c r="Z964" t="s">
        <v>18179</v>
      </c>
      <c r="AA964" t="s">
        <v>74</v>
      </c>
      <c r="AB964" t="s">
        <v>74</v>
      </c>
      <c r="AC964" t="s">
        <v>18180</v>
      </c>
      <c r="AD964" t="s">
        <v>18181</v>
      </c>
      <c r="AE964" t="s">
        <v>18182</v>
      </c>
      <c r="AF964" t="s">
        <v>74</v>
      </c>
      <c r="AG964">
        <v>57</v>
      </c>
      <c r="AH964">
        <v>59</v>
      </c>
      <c r="AI964">
        <v>65</v>
      </c>
      <c r="AJ964">
        <v>2</v>
      </c>
      <c r="AK964">
        <v>149</v>
      </c>
      <c r="AL964" t="s">
        <v>176</v>
      </c>
      <c r="AM964" t="s">
        <v>177</v>
      </c>
      <c r="AN964" t="s">
        <v>178</v>
      </c>
      <c r="AO964" t="s">
        <v>1538</v>
      </c>
      <c r="AP964" t="s">
        <v>1539</v>
      </c>
      <c r="AQ964" t="s">
        <v>74</v>
      </c>
      <c r="AR964" t="s">
        <v>1540</v>
      </c>
      <c r="AS964" t="s">
        <v>1541</v>
      </c>
      <c r="AT964" t="s">
        <v>1612</v>
      </c>
      <c r="AU964">
        <v>2019</v>
      </c>
      <c r="AV964">
        <v>233</v>
      </c>
      <c r="AW964" t="s">
        <v>74</v>
      </c>
      <c r="AX964" t="s">
        <v>74</v>
      </c>
      <c r="AY964" t="s">
        <v>74</v>
      </c>
      <c r="AZ964" t="s">
        <v>74</v>
      </c>
      <c r="BA964" t="s">
        <v>74</v>
      </c>
      <c r="BB964">
        <v>1465</v>
      </c>
      <c r="BC964">
        <v>1474</v>
      </c>
      <c r="BD964" t="s">
        <v>74</v>
      </c>
      <c r="BE964" t="s">
        <v>18183</v>
      </c>
      <c r="BF964" t="str">
        <f>HYPERLINK("http://dx.doi.org/10.1016/j.jclepro.2019.06.035","http://dx.doi.org/10.1016/j.jclepro.2019.06.035")</f>
        <v>http://dx.doi.org/10.1016/j.jclepro.2019.06.035</v>
      </c>
      <c r="BG964" t="s">
        <v>74</v>
      </c>
      <c r="BH964" t="s">
        <v>74</v>
      </c>
      <c r="BI964">
        <v>10</v>
      </c>
      <c r="BJ964" t="s">
        <v>1543</v>
      </c>
      <c r="BK964" t="s">
        <v>102</v>
      </c>
      <c r="BL964" t="s">
        <v>1544</v>
      </c>
      <c r="BM964" t="s">
        <v>18184</v>
      </c>
      <c r="BN964" t="s">
        <v>74</v>
      </c>
      <c r="BO964" t="s">
        <v>74</v>
      </c>
      <c r="BP964" t="s">
        <v>74</v>
      </c>
      <c r="BQ964" t="s">
        <v>74</v>
      </c>
      <c r="BR964" t="s">
        <v>106</v>
      </c>
      <c r="BS964" t="s">
        <v>18185</v>
      </c>
      <c r="BT964" t="str">
        <f>HYPERLINK("https%3A%2F%2Fwww.webofscience.com%2Fwos%2Fwoscc%2Ffull-record%2FWOS:000479025500120","View Full Record in Web of Science")</f>
        <v>View Full Record in Web of Science</v>
      </c>
    </row>
    <row r="965" spans="1:72" x14ac:dyDescent="0.2">
      <c r="A965" t="s">
        <v>72</v>
      </c>
      <c r="B965" t="s">
        <v>18186</v>
      </c>
      <c r="C965" t="s">
        <v>74</v>
      </c>
      <c r="D965" t="s">
        <v>74</v>
      </c>
      <c r="E965" t="s">
        <v>74</v>
      </c>
      <c r="F965" t="s">
        <v>18187</v>
      </c>
      <c r="G965" t="s">
        <v>74</v>
      </c>
      <c r="H965" t="s">
        <v>74</v>
      </c>
      <c r="I965" t="s">
        <v>18188</v>
      </c>
      <c r="J965" t="s">
        <v>17509</v>
      </c>
      <c r="K965" t="s">
        <v>74</v>
      </c>
      <c r="L965" t="s">
        <v>74</v>
      </c>
      <c r="M965" t="s">
        <v>78</v>
      </c>
      <c r="N965" t="s">
        <v>79</v>
      </c>
      <c r="O965" t="s">
        <v>74</v>
      </c>
      <c r="P965" t="s">
        <v>74</v>
      </c>
      <c r="Q965" t="s">
        <v>74</v>
      </c>
      <c r="R965" t="s">
        <v>74</v>
      </c>
      <c r="S965" t="s">
        <v>74</v>
      </c>
      <c r="T965" t="s">
        <v>18189</v>
      </c>
      <c r="U965" t="s">
        <v>18190</v>
      </c>
      <c r="V965" t="s">
        <v>18191</v>
      </c>
      <c r="W965" t="s">
        <v>18192</v>
      </c>
      <c r="X965" t="s">
        <v>18193</v>
      </c>
      <c r="Y965" t="s">
        <v>18194</v>
      </c>
      <c r="Z965" t="s">
        <v>18195</v>
      </c>
      <c r="AA965" t="s">
        <v>18196</v>
      </c>
      <c r="AB965" t="s">
        <v>74</v>
      </c>
      <c r="AC965" t="s">
        <v>18197</v>
      </c>
      <c r="AD965" t="s">
        <v>18198</v>
      </c>
      <c r="AE965" t="s">
        <v>18199</v>
      </c>
      <c r="AF965" t="s">
        <v>74</v>
      </c>
      <c r="AG965">
        <v>47</v>
      </c>
      <c r="AH965">
        <v>2</v>
      </c>
      <c r="AI965">
        <v>2</v>
      </c>
      <c r="AJ965">
        <v>6</v>
      </c>
      <c r="AK965">
        <v>8</v>
      </c>
      <c r="AL965" t="s">
        <v>12442</v>
      </c>
      <c r="AM965" t="s">
        <v>630</v>
      </c>
      <c r="AN965" t="s">
        <v>12443</v>
      </c>
      <c r="AO965" t="s">
        <v>17519</v>
      </c>
      <c r="AP965" t="s">
        <v>17520</v>
      </c>
      <c r="AQ965" t="s">
        <v>74</v>
      </c>
      <c r="AR965" t="s">
        <v>17521</v>
      </c>
      <c r="AS965" t="s">
        <v>17522</v>
      </c>
      <c r="AT965" t="s">
        <v>1752</v>
      </c>
      <c r="AU965">
        <v>2025</v>
      </c>
      <c r="AV965">
        <v>13</v>
      </c>
      <c r="AW965" t="s">
        <v>74</v>
      </c>
      <c r="AX965" t="s">
        <v>74</v>
      </c>
      <c r="AY965" t="s">
        <v>74</v>
      </c>
      <c r="AZ965" t="s">
        <v>74</v>
      </c>
      <c r="BA965" t="s">
        <v>74</v>
      </c>
      <c r="BB965" t="s">
        <v>74</v>
      </c>
      <c r="BC965" t="s">
        <v>74</v>
      </c>
      <c r="BD965">
        <v>100327</v>
      </c>
      <c r="BE965" t="s">
        <v>18200</v>
      </c>
      <c r="BF965" t="str">
        <f>HYPERLINK("http://dx.doi.org/10.1016/j.fecs.2025.100327","http://dx.doi.org/10.1016/j.fecs.2025.100327")</f>
        <v>http://dx.doi.org/10.1016/j.fecs.2025.100327</v>
      </c>
      <c r="BG965" t="s">
        <v>74</v>
      </c>
      <c r="BH965" t="s">
        <v>74</v>
      </c>
      <c r="BI965">
        <v>13</v>
      </c>
      <c r="BJ965" t="s">
        <v>132</v>
      </c>
      <c r="BK965" t="s">
        <v>102</v>
      </c>
      <c r="BL965" t="s">
        <v>132</v>
      </c>
      <c r="BM965" t="s">
        <v>18201</v>
      </c>
      <c r="BN965" t="s">
        <v>74</v>
      </c>
      <c r="BO965" t="s">
        <v>161</v>
      </c>
      <c r="BP965" t="s">
        <v>74</v>
      </c>
      <c r="BQ965" t="s">
        <v>74</v>
      </c>
      <c r="BR965" t="s">
        <v>106</v>
      </c>
      <c r="BS965" t="s">
        <v>18202</v>
      </c>
      <c r="BT965" t="str">
        <f>HYPERLINK("https%3A%2F%2Fwww.webofscience.com%2Fwos%2Fwoscc%2Ffull-record%2FWOS:001491499600001","View Full Record in Web of Science")</f>
        <v>View Full Record in Web of Science</v>
      </c>
    </row>
    <row r="966" spans="1:72" x14ac:dyDescent="0.2">
      <c r="A966" t="s">
        <v>72</v>
      </c>
      <c r="B966" t="s">
        <v>18203</v>
      </c>
      <c r="C966" t="s">
        <v>74</v>
      </c>
      <c r="D966" t="s">
        <v>74</v>
      </c>
      <c r="E966" t="s">
        <v>74</v>
      </c>
      <c r="F966" t="s">
        <v>18204</v>
      </c>
      <c r="G966" t="s">
        <v>74</v>
      </c>
      <c r="H966" t="s">
        <v>74</v>
      </c>
      <c r="I966" t="s">
        <v>18205</v>
      </c>
      <c r="J966" t="s">
        <v>7882</v>
      </c>
      <c r="K966" t="s">
        <v>74</v>
      </c>
      <c r="L966" t="s">
        <v>74</v>
      </c>
      <c r="M966" t="s">
        <v>78</v>
      </c>
      <c r="N966" t="s">
        <v>79</v>
      </c>
      <c r="O966" t="s">
        <v>74</v>
      </c>
      <c r="P966" t="s">
        <v>74</v>
      </c>
      <c r="Q966" t="s">
        <v>74</v>
      </c>
      <c r="R966" t="s">
        <v>74</v>
      </c>
      <c r="S966" t="s">
        <v>74</v>
      </c>
      <c r="T966" t="s">
        <v>18206</v>
      </c>
      <c r="U966" t="s">
        <v>18207</v>
      </c>
      <c r="V966" t="s">
        <v>18208</v>
      </c>
      <c r="W966" t="s">
        <v>18209</v>
      </c>
      <c r="X966" t="s">
        <v>18210</v>
      </c>
      <c r="Y966" t="s">
        <v>18211</v>
      </c>
      <c r="Z966" t="s">
        <v>18212</v>
      </c>
      <c r="AA966" t="s">
        <v>18213</v>
      </c>
      <c r="AB966" t="s">
        <v>18214</v>
      </c>
      <c r="AC966" t="s">
        <v>18215</v>
      </c>
      <c r="AD966" t="s">
        <v>18216</v>
      </c>
      <c r="AE966" t="s">
        <v>74</v>
      </c>
      <c r="AF966" t="s">
        <v>74</v>
      </c>
      <c r="AG966">
        <v>27</v>
      </c>
      <c r="AH966">
        <v>10</v>
      </c>
      <c r="AI966">
        <v>11</v>
      </c>
      <c r="AJ966">
        <v>0</v>
      </c>
      <c r="AK966">
        <v>19</v>
      </c>
      <c r="AL966" t="s">
        <v>504</v>
      </c>
      <c r="AM966" t="s">
        <v>505</v>
      </c>
      <c r="AN966" t="s">
        <v>506</v>
      </c>
      <c r="AO966" t="s">
        <v>7895</v>
      </c>
      <c r="AP966" t="s">
        <v>7896</v>
      </c>
      <c r="AQ966" t="s">
        <v>74</v>
      </c>
      <c r="AR966" t="s">
        <v>7897</v>
      </c>
      <c r="AS966" t="s">
        <v>7898</v>
      </c>
      <c r="AT966" t="s">
        <v>636</v>
      </c>
      <c r="AU966">
        <v>2020</v>
      </c>
      <c r="AV966">
        <v>25</v>
      </c>
      <c r="AW966">
        <v>4</v>
      </c>
      <c r="AX966" t="s">
        <v>74</v>
      </c>
      <c r="AY966" t="s">
        <v>74</v>
      </c>
      <c r="AZ966" t="s">
        <v>74</v>
      </c>
      <c r="BA966" t="s">
        <v>74</v>
      </c>
      <c r="BB966">
        <v>539</v>
      </c>
      <c r="BC966">
        <v>557</v>
      </c>
      <c r="BD966" t="s">
        <v>74</v>
      </c>
      <c r="BE966" t="s">
        <v>18217</v>
      </c>
      <c r="BF966" t="str">
        <f>HYPERLINK("http://dx.doi.org/10.1007/s11027-019-09879-0","http://dx.doi.org/10.1007/s11027-019-09879-0")</f>
        <v>http://dx.doi.org/10.1007/s11027-019-09879-0</v>
      </c>
      <c r="BG966" t="s">
        <v>74</v>
      </c>
      <c r="BH966" t="s">
        <v>74</v>
      </c>
      <c r="BI966">
        <v>19</v>
      </c>
      <c r="BJ966" t="s">
        <v>567</v>
      </c>
      <c r="BK966" t="s">
        <v>102</v>
      </c>
      <c r="BL966" t="s">
        <v>568</v>
      </c>
      <c r="BM966" t="s">
        <v>18218</v>
      </c>
      <c r="BN966" t="s">
        <v>74</v>
      </c>
      <c r="BO966" t="s">
        <v>916</v>
      </c>
      <c r="BP966" t="s">
        <v>74</v>
      </c>
      <c r="BQ966" t="s">
        <v>74</v>
      </c>
      <c r="BR966" t="s">
        <v>106</v>
      </c>
      <c r="BS966" t="s">
        <v>18219</v>
      </c>
      <c r="BT966" t="str">
        <f>HYPERLINK("https%3A%2F%2Fwww.webofscience.com%2Fwos%2Fwoscc%2Ffull-record%2FWOS:000555490500003","View Full Record in Web of Science")</f>
        <v>View Full Record in Web of Science</v>
      </c>
    </row>
    <row r="967" spans="1:72" x14ac:dyDescent="0.2">
      <c r="A967" t="s">
        <v>72</v>
      </c>
      <c r="B967" t="s">
        <v>18220</v>
      </c>
      <c r="C967" t="s">
        <v>74</v>
      </c>
      <c r="D967" t="s">
        <v>74</v>
      </c>
      <c r="E967" t="s">
        <v>74</v>
      </c>
      <c r="F967" t="s">
        <v>18221</v>
      </c>
      <c r="G967" t="s">
        <v>74</v>
      </c>
      <c r="H967" t="s">
        <v>74</v>
      </c>
      <c r="I967" t="s">
        <v>18222</v>
      </c>
      <c r="J967" t="s">
        <v>347</v>
      </c>
      <c r="K967" t="s">
        <v>74</v>
      </c>
      <c r="L967" t="s">
        <v>74</v>
      </c>
      <c r="M967" t="s">
        <v>78</v>
      </c>
      <c r="N967" t="s">
        <v>79</v>
      </c>
      <c r="O967" t="s">
        <v>74</v>
      </c>
      <c r="P967" t="s">
        <v>74</v>
      </c>
      <c r="Q967" t="s">
        <v>74</v>
      </c>
      <c r="R967" t="s">
        <v>74</v>
      </c>
      <c r="S967" t="s">
        <v>74</v>
      </c>
      <c r="T967" t="s">
        <v>74</v>
      </c>
      <c r="U967" t="s">
        <v>18223</v>
      </c>
      <c r="V967" t="s">
        <v>18224</v>
      </c>
      <c r="W967" t="s">
        <v>18225</v>
      </c>
      <c r="X967" t="s">
        <v>18226</v>
      </c>
      <c r="Y967" t="s">
        <v>18227</v>
      </c>
      <c r="Z967" t="s">
        <v>18228</v>
      </c>
      <c r="AA967" t="s">
        <v>74</v>
      </c>
      <c r="AB967" t="s">
        <v>74</v>
      </c>
      <c r="AC967" t="s">
        <v>18229</v>
      </c>
      <c r="AD967" t="s">
        <v>18230</v>
      </c>
      <c r="AE967" t="s">
        <v>18231</v>
      </c>
      <c r="AF967" t="s">
        <v>74</v>
      </c>
      <c r="AG967">
        <v>48</v>
      </c>
      <c r="AH967">
        <v>1</v>
      </c>
      <c r="AI967">
        <v>1</v>
      </c>
      <c r="AJ967">
        <v>3</v>
      </c>
      <c r="AK967">
        <v>3</v>
      </c>
      <c r="AL967" t="s">
        <v>274</v>
      </c>
      <c r="AM967" t="s">
        <v>275</v>
      </c>
      <c r="AN967" t="s">
        <v>276</v>
      </c>
      <c r="AO967" t="s">
        <v>357</v>
      </c>
      <c r="AP967" t="s">
        <v>74</v>
      </c>
      <c r="AQ967" t="s">
        <v>74</v>
      </c>
      <c r="AR967" t="s">
        <v>358</v>
      </c>
      <c r="AS967" t="s">
        <v>359</v>
      </c>
      <c r="AT967" t="s">
        <v>18232</v>
      </c>
      <c r="AU967">
        <v>2025</v>
      </c>
      <c r="AV967">
        <v>15</v>
      </c>
      <c r="AW967">
        <v>1</v>
      </c>
      <c r="AX967" t="s">
        <v>74</v>
      </c>
      <c r="AY967" t="s">
        <v>74</v>
      </c>
      <c r="AZ967" t="s">
        <v>74</v>
      </c>
      <c r="BA967" t="s">
        <v>74</v>
      </c>
      <c r="BB967" t="s">
        <v>74</v>
      </c>
      <c r="BC967" t="s">
        <v>74</v>
      </c>
      <c r="BD967">
        <v>12161</v>
      </c>
      <c r="BE967" t="s">
        <v>18233</v>
      </c>
      <c r="BF967" t="str">
        <f>HYPERLINK("http://dx.doi.org/10.1038/s41598-025-94819-z","http://dx.doi.org/10.1038/s41598-025-94819-z")</f>
        <v>http://dx.doi.org/10.1038/s41598-025-94819-z</v>
      </c>
      <c r="BG967" t="s">
        <v>74</v>
      </c>
      <c r="BH967" t="s">
        <v>74</v>
      </c>
      <c r="BI967">
        <v>16</v>
      </c>
      <c r="BJ967" t="s">
        <v>158</v>
      </c>
      <c r="BK967" t="s">
        <v>102</v>
      </c>
      <c r="BL967" t="s">
        <v>159</v>
      </c>
      <c r="BM967" t="s">
        <v>18234</v>
      </c>
      <c r="BN967">
        <v>40204786</v>
      </c>
      <c r="BO967" t="s">
        <v>161</v>
      </c>
      <c r="BP967" t="s">
        <v>74</v>
      </c>
      <c r="BQ967" t="s">
        <v>74</v>
      </c>
      <c r="BR967" t="s">
        <v>106</v>
      </c>
      <c r="BS967" t="s">
        <v>18235</v>
      </c>
      <c r="BT967" t="str">
        <f>HYPERLINK("https%3A%2F%2Fwww.webofscience.com%2Fwos%2Fwoscc%2Ffull-record%2FWOS:001464297900004","View Full Record in Web of Science")</f>
        <v>View Full Record in Web of Science</v>
      </c>
    </row>
    <row r="968" spans="1:72" x14ac:dyDescent="0.2">
      <c r="A968" t="s">
        <v>72</v>
      </c>
      <c r="B968" t="s">
        <v>18236</v>
      </c>
      <c r="C968" t="s">
        <v>74</v>
      </c>
      <c r="D968" t="s">
        <v>74</v>
      </c>
      <c r="E968" t="s">
        <v>74</v>
      </c>
      <c r="F968" t="s">
        <v>18237</v>
      </c>
      <c r="G968" t="s">
        <v>74</v>
      </c>
      <c r="H968" t="s">
        <v>74</v>
      </c>
      <c r="I968" t="s">
        <v>18238</v>
      </c>
      <c r="J968" t="s">
        <v>18239</v>
      </c>
      <c r="K968" t="s">
        <v>74</v>
      </c>
      <c r="L968" t="s">
        <v>74</v>
      </c>
      <c r="M968" t="s">
        <v>78</v>
      </c>
      <c r="N968" t="s">
        <v>79</v>
      </c>
      <c r="O968" t="s">
        <v>74</v>
      </c>
      <c r="P968" t="s">
        <v>74</v>
      </c>
      <c r="Q968" t="s">
        <v>74</v>
      </c>
      <c r="R968" t="s">
        <v>74</v>
      </c>
      <c r="S968" t="s">
        <v>74</v>
      </c>
      <c r="T968" t="s">
        <v>18240</v>
      </c>
      <c r="U968" t="s">
        <v>18241</v>
      </c>
      <c r="V968" t="s">
        <v>18242</v>
      </c>
      <c r="W968" t="s">
        <v>18243</v>
      </c>
      <c r="X968" t="s">
        <v>18244</v>
      </c>
      <c r="Y968" t="s">
        <v>18245</v>
      </c>
      <c r="Z968" t="s">
        <v>18246</v>
      </c>
      <c r="AA968" t="s">
        <v>18247</v>
      </c>
      <c r="AB968" t="s">
        <v>18248</v>
      </c>
      <c r="AC968" t="s">
        <v>18249</v>
      </c>
      <c r="AD968" t="s">
        <v>18249</v>
      </c>
      <c r="AE968" t="s">
        <v>456</v>
      </c>
      <c r="AF968" t="s">
        <v>74</v>
      </c>
      <c r="AG968">
        <v>51</v>
      </c>
      <c r="AH968">
        <v>2</v>
      </c>
      <c r="AI968">
        <v>2</v>
      </c>
      <c r="AJ968">
        <v>0</v>
      </c>
      <c r="AK968">
        <v>8</v>
      </c>
      <c r="AL968" t="s">
        <v>3942</v>
      </c>
      <c r="AM968" t="s">
        <v>3943</v>
      </c>
      <c r="AN968" t="s">
        <v>3944</v>
      </c>
      <c r="AO968" t="s">
        <v>18250</v>
      </c>
      <c r="AP968" t="s">
        <v>74</v>
      </c>
      <c r="AQ968" t="s">
        <v>74</v>
      </c>
      <c r="AR968" t="s">
        <v>18239</v>
      </c>
      <c r="AS968" t="s">
        <v>18251</v>
      </c>
      <c r="AT968" t="s">
        <v>74</v>
      </c>
      <c r="AU968">
        <v>2023</v>
      </c>
      <c r="AV968">
        <v>11</v>
      </c>
      <c r="AW968" t="s">
        <v>74</v>
      </c>
      <c r="AX968" t="s">
        <v>74</v>
      </c>
      <c r="AY968" t="s">
        <v>74</v>
      </c>
      <c r="AZ968" t="s">
        <v>74</v>
      </c>
      <c r="BA968" t="s">
        <v>74</v>
      </c>
      <c r="BB968">
        <v>142964</v>
      </c>
      <c r="BC968">
        <v>142978</v>
      </c>
      <c r="BD968" t="s">
        <v>74</v>
      </c>
      <c r="BE968" t="s">
        <v>18252</v>
      </c>
      <c r="BF968" t="str">
        <f>HYPERLINK("http://dx.doi.org/10.1109/ACCESS.2023.3340983","http://dx.doi.org/10.1109/ACCESS.2023.3340983")</f>
        <v>http://dx.doi.org/10.1109/ACCESS.2023.3340983</v>
      </c>
      <c r="BG968" t="s">
        <v>74</v>
      </c>
      <c r="BH968" t="s">
        <v>74</v>
      </c>
      <c r="BI968">
        <v>15</v>
      </c>
      <c r="BJ968" t="s">
        <v>18253</v>
      </c>
      <c r="BK968" t="s">
        <v>102</v>
      </c>
      <c r="BL968" t="s">
        <v>18254</v>
      </c>
      <c r="BM968" t="s">
        <v>18255</v>
      </c>
      <c r="BN968" t="s">
        <v>74</v>
      </c>
      <c r="BO968" t="s">
        <v>231</v>
      </c>
      <c r="BP968" t="s">
        <v>74</v>
      </c>
      <c r="BQ968" t="s">
        <v>74</v>
      </c>
      <c r="BR968" t="s">
        <v>106</v>
      </c>
      <c r="BS968" t="s">
        <v>18256</v>
      </c>
      <c r="BT968" t="str">
        <f>HYPERLINK("https%3A%2F%2Fwww.webofscience.com%2Fwos%2Fwoscc%2Ffull-record%2FWOS:001130197200001","View Full Record in Web of Science")</f>
        <v>View Full Record in Web of Science</v>
      </c>
    </row>
    <row r="969" spans="1:72" x14ac:dyDescent="0.2">
      <c r="A969" t="s">
        <v>72</v>
      </c>
      <c r="B969" t="s">
        <v>18257</v>
      </c>
      <c r="C969" t="s">
        <v>74</v>
      </c>
      <c r="D969" t="s">
        <v>74</v>
      </c>
      <c r="E969" t="s">
        <v>74</v>
      </c>
      <c r="F969" t="s">
        <v>18258</v>
      </c>
      <c r="G969" t="s">
        <v>74</v>
      </c>
      <c r="H969" t="s">
        <v>74</v>
      </c>
      <c r="I969" t="s">
        <v>18259</v>
      </c>
      <c r="J969" t="s">
        <v>18260</v>
      </c>
      <c r="K969" t="s">
        <v>74</v>
      </c>
      <c r="L969" t="s">
        <v>74</v>
      </c>
      <c r="M969" t="s">
        <v>78</v>
      </c>
      <c r="N969" t="s">
        <v>3739</v>
      </c>
      <c r="O969" t="s">
        <v>74</v>
      </c>
      <c r="P969" t="s">
        <v>74</v>
      </c>
      <c r="Q969" t="s">
        <v>74</v>
      </c>
      <c r="R969" t="s">
        <v>74</v>
      </c>
      <c r="S969" t="s">
        <v>74</v>
      </c>
      <c r="T969" t="s">
        <v>74</v>
      </c>
      <c r="U969" t="s">
        <v>18261</v>
      </c>
      <c r="V969" t="s">
        <v>18262</v>
      </c>
      <c r="W969" t="s">
        <v>18263</v>
      </c>
      <c r="X969" t="s">
        <v>18264</v>
      </c>
      <c r="Y969" t="s">
        <v>18265</v>
      </c>
      <c r="Z969" t="s">
        <v>18266</v>
      </c>
      <c r="AA969" t="s">
        <v>18267</v>
      </c>
      <c r="AB969" t="s">
        <v>18268</v>
      </c>
      <c r="AC969" t="s">
        <v>18269</v>
      </c>
      <c r="AD969" t="s">
        <v>18270</v>
      </c>
      <c r="AE969" t="s">
        <v>18271</v>
      </c>
      <c r="AF969" t="s">
        <v>74</v>
      </c>
      <c r="AG969">
        <v>31</v>
      </c>
      <c r="AH969">
        <v>63</v>
      </c>
      <c r="AI969">
        <v>69</v>
      </c>
      <c r="AJ969">
        <v>2</v>
      </c>
      <c r="AK969">
        <v>54</v>
      </c>
      <c r="AL969" t="s">
        <v>274</v>
      </c>
      <c r="AM969" t="s">
        <v>275</v>
      </c>
      <c r="AN969" t="s">
        <v>276</v>
      </c>
      <c r="AO969" t="s">
        <v>74</v>
      </c>
      <c r="AP969" t="s">
        <v>18272</v>
      </c>
      <c r="AQ969" t="s">
        <v>74</v>
      </c>
      <c r="AR969" t="s">
        <v>18273</v>
      </c>
      <c r="AS969" t="s">
        <v>18274</v>
      </c>
      <c r="AT969" t="s">
        <v>18275</v>
      </c>
      <c r="AU969">
        <v>2021</v>
      </c>
      <c r="AV969">
        <v>8</v>
      </c>
      <c r="AW969">
        <v>1</v>
      </c>
      <c r="AX969" t="s">
        <v>74</v>
      </c>
      <c r="AY969" t="s">
        <v>74</v>
      </c>
      <c r="AZ969" t="s">
        <v>74</v>
      </c>
      <c r="BA969" t="s">
        <v>74</v>
      </c>
      <c r="BB969" t="s">
        <v>74</v>
      </c>
      <c r="BC969" t="s">
        <v>74</v>
      </c>
      <c r="BD969">
        <v>127</v>
      </c>
      <c r="BE969" t="s">
        <v>18276</v>
      </c>
      <c r="BF969" t="str">
        <f>HYPERLINK("http://dx.doi.org/10.1038/s41597-021-00909-8","http://dx.doi.org/10.1038/s41597-021-00909-8")</f>
        <v>http://dx.doi.org/10.1038/s41597-021-00909-8</v>
      </c>
      <c r="BG969" t="s">
        <v>74</v>
      </c>
      <c r="BH969" t="s">
        <v>74</v>
      </c>
      <c r="BI969">
        <v>12</v>
      </c>
      <c r="BJ969" t="s">
        <v>158</v>
      </c>
      <c r="BK969" t="s">
        <v>102</v>
      </c>
      <c r="BL969" t="s">
        <v>159</v>
      </c>
      <c r="BM969" t="s">
        <v>18277</v>
      </c>
      <c r="BN969">
        <v>33963181</v>
      </c>
      <c r="BO969" t="s">
        <v>8302</v>
      </c>
      <c r="BP969" t="s">
        <v>74</v>
      </c>
      <c r="BQ969" t="s">
        <v>74</v>
      </c>
      <c r="BR969" t="s">
        <v>106</v>
      </c>
      <c r="BS969" t="s">
        <v>18278</v>
      </c>
      <c r="BT969" t="str">
        <f>HYPERLINK("https%3A%2F%2Fwww.webofscience.com%2Fwos%2Fwoscc%2Ffull-record%2FWOS:000656495900002","View Full Record in Web of Science")</f>
        <v>View Full Record in Web of Science</v>
      </c>
    </row>
    <row r="970" spans="1:72" x14ac:dyDescent="0.2">
      <c r="A970" t="s">
        <v>72</v>
      </c>
      <c r="B970" t="s">
        <v>18279</v>
      </c>
      <c r="C970" t="s">
        <v>74</v>
      </c>
      <c r="D970" t="s">
        <v>74</v>
      </c>
      <c r="E970" t="s">
        <v>74</v>
      </c>
      <c r="F970" t="s">
        <v>18280</v>
      </c>
      <c r="G970" t="s">
        <v>74</v>
      </c>
      <c r="H970" t="s">
        <v>74</v>
      </c>
      <c r="I970" t="s">
        <v>18281</v>
      </c>
      <c r="J970" t="s">
        <v>1385</v>
      </c>
      <c r="K970" t="s">
        <v>74</v>
      </c>
      <c r="L970" t="s">
        <v>74</v>
      </c>
      <c r="M970" t="s">
        <v>78</v>
      </c>
      <c r="N970" t="s">
        <v>79</v>
      </c>
      <c r="O970" t="s">
        <v>74</v>
      </c>
      <c r="P970" t="s">
        <v>74</v>
      </c>
      <c r="Q970" t="s">
        <v>74</v>
      </c>
      <c r="R970" t="s">
        <v>74</v>
      </c>
      <c r="S970" t="s">
        <v>74</v>
      </c>
      <c r="T970" t="s">
        <v>18282</v>
      </c>
      <c r="U970" t="s">
        <v>18283</v>
      </c>
      <c r="V970" t="s">
        <v>18284</v>
      </c>
      <c r="W970" t="s">
        <v>18285</v>
      </c>
      <c r="X970" t="s">
        <v>18286</v>
      </c>
      <c r="Y970" t="s">
        <v>18287</v>
      </c>
      <c r="Z970" t="s">
        <v>18288</v>
      </c>
      <c r="AA970" t="s">
        <v>18289</v>
      </c>
      <c r="AB970" t="s">
        <v>74</v>
      </c>
      <c r="AC970" t="s">
        <v>18290</v>
      </c>
      <c r="AD970" t="s">
        <v>18291</v>
      </c>
      <c r="AE970" t="s">
        <v>18292</v>
      </c>
      <c r="AF970" t="s">
        <v>74</v>
      </c>
      <c r="AG970">
        <v>47</v>
      </c>
      <c r="AH970">
        <v>16</v>
      </c>
      <c r="AI970">
        <v>19</v>
      </c>
      <c r="AJ970">
        <v>36</v>
      </c>
      <c r="AK970">
        <v>107</v>
      </c>
      <c r="AL970" t="s">
        <v>934</v>
      </c>
      <c r="AM970" t="s">
        <v>177</v>
      </c>
      <c r="AN970" t="s">
        <v>935</v>
      </c>
      <c r="AO970" t="s">
        <v>1397</v>
      </c>
      <c r="AP970" t="s">
        <v>1398</v>
      </c>
      <c r="AQ970" t="s">
        <v>74</v>
      </c>
      <c r="AR970" t="s">
        <v>1399</v>
      </c>
      <c r="AS970" t="s">
        <v>1400</v>
      </c>
      <c r="AT970" t="s">
        <v>99</v>
      </c>
      <c r="AU970">
        <v>2024</v>
      </c>
      <c r="AV970">
        <v>182</v>
      </c>
      <c r="AW970" t="s">
        <v>74</v>
      </c>
      <c r="AX970" t="s">
        <v>74</v>
      </c>
      <c r="AY970" t="s">
        <v>74</v>
      </c>
      <c r="AZ970" t="s">
        <v>74</v>
      </c>
      <c r="BA970" t="s">
        <v>74</v>
      </c>
      <c r="BB970" t="s">
        <v>74</v>
      </c>
      <c r="BC970" t="s">
        <v>74</v>
      </c>
      <c r="BD970">
        <v>107098</v>
      </c>
      <c r="BE970" t="s">
        <v>18293</v>
      </c>
      <c r="BF970" t="str">
        <f>HYPERLINK("http://dx.doi.org/10.1016/j.biombioe.2024.107098","http://dx.doi.org/10.1016/j.biombioe.2024.107098")</f>
        <v>http://dx.doi.org/10.1016/j.biombioe.2024.107098</v>
      </c>
      <c r="BG970" t="s">
        <v>74</v>
      </c>
      <c r="BH970" t="s">
        <v>2430</v>
      </c>
      <c r="BI970">
        <v>14</v>
      </c>
      <c r="BJ970" t="s">
        <v>1402</v>
      </c>
      <c r="BK970" t="s">
        <v>102</v>
      </c>
      <c r="BL970" t="s">
        <v>890</v>
      </c>
      <c r="BM970" t="s">
        <v>18294</v>
      </c>
      <c r="BN970" t="s">
        <v>74</v>
      </c>
      <c r="BO970" t="s">
        <v>74</v>
      </c>
      <c r="BP970" t="s">
        <v>74</v>
      </c>
      <c r="BQ970" t="s">
        <v>74</v>
      </c>
      <c r="BR970" t="s">
        <v>106</v>
      </c>
      <c r="BS970" t="s">
        <v>18295</v>
      </c>
      <c r="BT970" t="str">
        <f>HYPERLINK("https%3A%2F%2Fwww.webofscience.com%2Fwos%2Fwoscc%2Ffull-record%2FWOS:001184600300001","View Full Record in Web of Science")</f>
        <v>View Full Record in Web of Science</v>
      </c>
    </row>
    <row r="971" spans="1:72" x14ac:dyDescent="0.2">
      <c r="A971" t="s">
        <v>72</v>
      </c>
      <c r="B971" t="s">
        <v>18296</v>
      </c>
      <c r="C971" t="s">
        <v>74</v>
      </c>
      <c r="D971" t="s">
        <v>74</v>
      </c>
      <c r="E971" t="s">
        <v>74</v>
      </c>
      <c r="F971" t="s">
        <v>18297</v>
      </c>
      <c r="G971" t="s">
        <v>74</v>
      </c>
      <c r="H971" t="s">
        <v>74</v>
      </c>
      <c r="I971" t="s">
        <v>18298</v>
      </c>
      <c r="J971" t="s">
        <v>18299</v>
      </c>
      <c r="K971" t="s">
        <v>74</v>
      </c>
      <c r="L971" t="s">
        <v>74</v>
      </c>
      <c r="M971" t="s">
        <v>78</v>
      </c>
      <c r="N971" t="s">
        <v>79</v>
      </c>
      <c r="O971" t="s">
        <v>74</v>
      </c>
      <c r="P971" t="s">
        <v>74</v>
      </c>
      <c r="Q971" t="s">
        <v>74</v>
      </c>
      <c r="R971" t="s">
        <v>74</v>
      </c>
      <c r="S971" t="s">
        <v>74</v>
      </c>
      <c r="T971" t="s">
        <v>74</v>
      </c>
      <c r="U971" t="s">
        <v>18300</v>
      </c>
      <c r="V971" t="s">
        <v>18301</v>
      </c>
      <c r="W971" t="s">
        <v>18302</v>
      </c>
      <c r="X971" t="s">
        <v>18303</v>
      </c>
      <c r="Y971" t="s">
        <v>18304</v>
      </c>
      <c r="Z971" t="s">
        <v>18305</v>
      </c>
      <c r="AA971" t="s">
        <v>18306</v>
      </c>
      <c r="AB971" t="s">
        <v>18307</v>
      </c>
      <c r="AC971" t="s">
        <v>18308</v>
      </c>
      <c r="AD971" t="s">
        <v>18309</v>
      </c>
      <c r="AE971" t="s">
        <v>18310</v>
      </c>
      <c r="AF971" t="s">
        <v>74</v>
      </c>
      <c r="AG971">
        <v>39</v>
      </c>
      <c r="AH971">
        <v>109</v>
      </c>
      <c r="AI971">
        <v>115</v>
      </c>
      <c r="AJ971">
        <v>3</v>
      </c>
      <c r="AK971">
        <v>172</v>
      </c>
      <c r="AL971" t="s">
        <v>7324</v>
      </c>
      <c r="AM971" t="s">
        <v>1996</v>
      </c>
      <c r="AN971" t="s">
        <v>7325</v>
      </c>
      <c r="AO971" t="s">
        <v>18311</v>
      </c>
      <c r="AP971" t="s">
        <v>18312</v>
      </c>
      <c r="AQ971" t="s">
        <v>74</v>
      </c>
      <c r="AR971" t="s">
        <v>18313</v>
      </c>
      <c r="AS971" t="s">
        <v>18314</v>
      </c>
      <c r="AT971" t="s">
        <v>74</v>
      </c>
      <c r="AU971">
        <v>2014</v>
      </c>
      <c r="AV971">
        <v>2</v>
      </c>
      <c r="AW971">
        <v>45</v>
      </c>
      <c r="AX971" t="s">
        <v>74</v>
      </c>
      <c r="AY971" t="s">
        <v>74</v>
      </c>
      <c r="AZ971" t="s">
        <v>74</v>
      </c>
      <c r="BA971" t="s">
        <v>74</v>
      </c>
      <c r="BB971">
        <v>9760</v>
      </c>
      <c r="BC971">
        <v>9766</v>
      </c>
      <c r="BD971" t="s">
        <v>74</v>
      </c>
      <c r="BE971" t="s">
        <v>18315</v>
      </c>
      <c r="BF971" t="str">
        <f>HYPERLINK("http://dx.doi.org/10.1039/c4tc01714e","http://dx.doi.org/10.1039/c4tc01714e")</f>
        <v>http://dx.doi.org/10.1039/c4tc01714e</v>
      </c>
      <c r="BG971" t="s">
        <v>74</v>
      </c>
      <c r="BH971" t="s">
        <v>74</v>
      </c>
      <c r="BI971">
        <v>7</v>
      </c>
      <c r="BJ971" t="s">
        <v>18316</v>
      </c>
      <c r="BK971" t="s">
        <v>102</v>
      </c>
      <c r="BL971" t="s">
        <v>18317</v>
      </c>
      <c r="BM971" t="s">
        <v>18318</v>
      </c>
      <c r="BN971" t="s">
        <v>74</v>
      </c>
      <c r="BO971" t="s">
        <v>74</v>
      </c>
      <c r="BP971" t="s">
        <v>74</v>
      </c>
      <c r="BQ971" t="s">
        <v>74</v>
      </c>
      <c r="BR971" t="s">
        <v>106</v>
      </c>
      <c r="BS971" t="s">
        <v>18319</v>
      </c>
      <c r="BT971" t="str">
        <f>HYPERLINK("https%3A%2F%2Fwww.webofscience.com%2Fwos%2Fwoscc%2Ffull-record%2FWOS:000344470400025","View Full Record in Web of Science")</f>
        <v>View Full Record in Web of Science</v>
      </c>
    </row>
    <row r="972" spans="1:72" x14ac:dyDescent="0.2">
      <c r="A972" t="s">
        <v>72</v>
      </c>
      <c r="B972" t="s">
        <v>18320</v>
      </c>
      <c r="C972" t="s">
        <v>74</v>
      </c>
      <c r="D972" t="s">
        <v>74</v>
      </c>
      <c r="E972" t="s">
        <v>74</v>
      </c>
      <c r="F972" t="s">
        <v>18321</v>
      </c>
      <c r="G972" t="s">
        <v>74</v>
      </c>
      <c r="H972" t="s">
        <v>74</v>
      </c>
      <c r="I972" t="s">
        <v>18322</v>
      </c>
      <c r="J972" t="s">
        <v>18323</v>
      </c>
      <c r="K972" t="s">
        <v>74</v>
      </c>
      <c r="L972" t="s">
        <v>74</v>
      </c>
      <c r="M972" t="s">
        <v>78</v>
      </c>
      <c r="N972" t="s">
        <v>79</v>
      </c>
      <c r="O972" t="s">
        <v>74</v>
      </c>
      <c r="P972" t="s">
        <v>74</v>
      </c>
      <c r="Q972" t="s">
        <v>74</v>
      </c>
      <c r="R972" t="s">
        <v>74</v>
      </c>
      <c r="S972" t="s">
        <v>74</v>
      </c>
      <c r="T972" t="s">
        <v>18324</v>
      </c>
      <c r="U972" t="s">
        <v>18325</v>
      </c>
      <c r="V972" t="s">
        <v>18326</v>
      </c>
      <c r="W972" t="s">
        <v>18327</v>
      </c>
      <c r="X972" t="s">
        <v>74</v>
      </c>
      <c r="Y972" t="s">
        <v>18328</v>
      </c>
      <c r="Z972" t="s">
        <v>18329</v>
      </c>
      <c r="AA972" t="s">
        <v>18330</v>
      </c>
      <c r="AB972" t="s">
        <v>74</v>
      </c>
      <c r="AC972" t="s">
        <v>18331</v>
      </c>
      <c r="AD972" t="s">
        <v>18332</v>
      </c>
      <c r="AE972" t="s">
        <v>18333</v>
      </c>
      <c r="AF972" t="s">
        <v>74</v>
      </c>
      <c r="AG972">
        <v>98</v>
      </c>
      <c r="AH972">
        <v>2</v>
      </c>
      <c r="AI972">
        <v>4</v>
      </c>
      <c r="AJ972">
        <v>0</v>
      </c>
      <c r="AK972">
        <v>7</v>
      </c>
      <c r="AL972" t="s">
        <v>655</v>
      </c>
      <c r="AM972" t="s">
        <v>405</v>
      </c>
      <c r="AN972" t="s">
        <v>656</v>
      </c>
      <c r="AO972" t="s">
        <v>74</v>
      </c>
      <c r="AP972" t="s">
        <v>18334</v>
      </c>
      <c r="AQ972" t="s">
        <v>74</v>
      </c>
      <c r="AR972" t="s">
        <v>18335</v>
      </c>
      <c r="AS972" t="s">
        <v>18336</v>
      </c>
      <c r="AT972" t="s">
        <v>74</v>
      </c>
      <c r="AU972">
        <v>2017</v>
      </c>
      <c r="AV972">
        <v>4</v>
      </c>
      <c r="AW972" t="s">
        <v>74</v>
      </c>
      <c r="AX972" t="s">
        <v>74</v>
      </c>
      <c r="AY972" t="s">
        <v>74</v>
      </c>
      <c r="AZ972" t="s">
        <v>74</v>
      </c>
      <c r="BA972" t="s">
        <v>74</v>
      </c>
      <c r="BB972" t="s">
        <v>74</v>
      </c>
      <c r="BC972" t="s">
        <v>74</v>
      </c>
      <c r="BD972">
        <v>65</v>
      </c>
      <c r="BE972" t="s">
        <v>18337</v>
      </c>
      <c r="BF972" t="str">
        <f>HYPERLINK("http://dx.doi.org/10.3389/fmars.2017.00065","http://dx.doi.org/10.3389/fmars.2017.00065")</f>
        <v>http://dx.doi.org/10.3389/fmars.2017.00065</v>
      </c>
      <c r="BG972" t="s">
        <v>74</v>
      </c>
      <c r="BH972" t="s">
        <v>74</v>
      </c>
      <c r="BI972">
        <v>20</v>
      </c>
      <c r="BJ972" t="s">
        <v>18338</v>
      </c>
      <c r="BK972" t="s">
        <v>102</v>
      </c>
      <c r="BL972" t="s">
        <v>10710</v>
      </c>
      <c r="BM972" t="s">
        <v>18339</v>
      </c>
      <c r="BN972" t="s">
        <v>74</v>
      </c>
      <c r="BO972" t="s">
        <v>231</v>
      </c>
      <c r="BP972" t="s">
        <v>74</v>
      </c>
      <c r="BQ972" t="s">
        <v>74</v>
      </c>
      <c r="BR972" t="s">
        <v>106</v>
      </c>
      <c r="BS972" t="s">
        <v>18340</v>
      </c>
      <c r="BT972" t="str">
        <f>HYPERLINK("https%3A%2F%2Fwww.webofscience.com%2Fwos%2Fwoscc%2Ffull-record%2FWOS:000457690600065","View Full Record in Web of Science")</f>
        <v>View Full Record in Web of Science</v>
      </c>
    </row>
    <row r="973" spans="1:72" x14ac:dyDescent="0.2">
      <c r="A973" t="s">
        <v>72</v>
      </c>
      <c r="B973" t="s">
        <v>18341</v>
      </c>
      <c r="C973" t="s">
        <v>74</v>
      </c>
      <c r="D973" t="s">
        <v>74</v>
      </c>
      <c r="E973" t="s">
        <v>74</v>
      </c>
      <c r="F973" t="s">
        <v>18342</v>
      </c>
      <c r="G973" t="s">
        <v>74</v>
      </c>
      <c r="H973" t="s">
        <v>74</v>
      </c>
      <c r="I973" t="s">
        <v>18343</v>
      </c>
      <c r="J973" t="s">
        <v>1451</v>
      </c>
      <c r="K973" t="s">
        <v>74</v>
      </c>
      <c r="L973" t="s">
        <v>74</v>
      </c>
      <c r="M973" t="s">
        <v>78</v>
      </c>
      <c r="N973" t="s">
        <v>79</v>
      </c>
      <c r="O973" t="s">
        <v>74</v>
      </c>
      <c r="P973" t="s">
        <v>74</v>
      </c>
      <c r="Q973" t="s">
        <v>74</v>
      </c>
      <c r="R973" t="s">
        <v>74</v>
      </c>
      <c r="S973" t="s">
        <v>74</v>
      </c>
      <c r="T973" t="s">
        <v>18344</v>
      </c>
      <c r="U973" t="s">
        <v>18345</v>
      </c>
      <c r="V973" t="s">
        <v>18346</v>
      </c>
      <c r="W973" t="s">
        <v>18347</v>
      </c>
      <c r="X973" t="s">
        <v>18348</v>
      </c>
      <c r="Y973" t="s">
        <v>18349</v>
      </c>
      <c r="Z973" t="s">
        <v>18350</v>
      </c>
      <c r="AA973" t="s">
        <v>74</v>
      </c>
      <c r="AB973" t="s">
        <v>18351</v>
      </c>
      <c r="AC973" t="s">
        <v>18352</v>
      </c>
      <c r="AD973" t="s">
        <v>18353</v>
      </c>
      <c r="AE973" t="s">
        <v>18354</v>
      </c>
      <c r="AF973" t="s">
        <v>74</v>
      </c>
      <c r="AG973">
        <v>101</v>
      </c>
      <c r="AH973">
        <v>1</v>
      </c>
      <c r="AI973">
        <v>1</v>
      </c>
      <c r="AJ973">
        <v>1</v>
      </c>
      <c r="AK973">
        <v>6</v>
      </c>
      <c r="AL973" t="s">
        <v>123</v>
      </c>
      <c r="AM973" t="s">
        <v>124</v>
      </c>
      <c r="AN973" t="s">
        <v>125</v>
      </c>
      <c r="AO973" t="s">
        <v>1464</v>
      </c>
      <c r="AP973" t="s">
        <v>1465</v>
      </c>
      <c r="AQ973" t="s">
        <v>74</v>
      </c>
      <c r="AR973" t="s">
        <v>1466</v>
      </c>
      <c r="AS973" t="s">
        <v>1467</v>
      </c>
      <c r="AT973" t="s">
        <v>1612</v>
      </c>
      <c r="AU973">
        <v>2024</v>
      </c>
      <c r="AV973">
        <v>373</v>
      </c>
      <c r="AW973" t="s">
        <v>74</v>
      </c>
      <c r="AX973" t="s">
        <v>74</v>
      </c>
      <c r="AY973" t="s">
        <v>74</v>
      </c>
      <c r="AZ973" t="s">
        <v>74</v>
      </c>
      <c r="BA973" t="s">
        <v>74</v>
      </c>
      <c r="BB973" t="s">
        <v>74</v>
      </c>
      <c r="BC973" t="s">
        <v>74</v>
      </c>
      <c r="BD973">
        <v>109128</v>
      </c>
      <c r="BE973" t="s">
        <v>18355</v>
      </c>
      <c r="BF973" t="str">
        <f>HYPERLINK("http://dx.doi.org/10.1016/j.agee.2024.109128","http://dx.doi.org/10.1016/j.agee.2024.109128")</f>
        <v>http://dx.doi.org/10.1016/j.agee.2024.109128</v>
      </c>
      <c r="BG973" t="s">
        <v>74</v>
      </c>
      <c r="BH973" t="s">
        <v>4236</v>
      </c>
      <c r="BI973">
        <v>11</v>
      </c>
      <c r="BJ973" t="s">
        <v>1470</v>
      </c>
      <c r="BK973" t="s">
        <v>102</v>
      </c>
      <c r="BL973" t="s">
        <v>1471</v>
      </c>
      <c r="BM973" t="s">
        <v>18356</v>
      </c>
      <c r="BN973" t="s">
        <v>74</v>
      </c>
      <c r="BO973" t="s">
        <v>74</v>
      </c>
      <c r="BP973" t="s">
        <v>74</v>
      </c>
      <c r="BQ973" t="s">
        <v>74</v>
      </c>
      <c r="BR973" t="s">
        <v>106</v>
      </c>
      <c r="BS973" t="s">
        <v>18357</v>
      </c>
      <c r="BT973" t="str">
        <f>HYPERLINK("https%3A%2F%2Fwww.webofscience.com%2Fwos%2Fwoscc%2Ffull-record%2FWOS:001256172700001","View Full Record in Web of Science")</f>
        <v>View Full Record in Web of Science</v>
      </c>
    </row>
    <row r="974" spans="1:72" x14ac:dyDescent="0.2">
      <c r="A974" t="s">
        <v>72</v>
      </c>
      <c r="B974" t="s">
        <v>18358</v>
      </c>
      <c r="C974" t="s">
        <v>74</v>
      </c>
      <c r="D974" t="s">
        <v>74</v>
      </c>
      <c r="E974" t="s">
        <v>74</v>
      </c>
      <c r="F974" t="s">
        <v>18359</v>
      </c>
      <c r="G974" t="s">
        <v>74</v>
      </c>
      <c r="H974" t="s">
        <v>74</v>
      </c>
      <c r="I974" t="s">
        <v>18360</v>
      </c>
      <c r="J974" t="s">
        <v>9322</v>
      </c>
      <c r="K974" t="s">
        <v>74</v>
      </c>
      <c r="L974" t="s">
        <v>74</v>
      </c>
      <c r="M974" t="s">
        <v>78</v>
      </c>
      <c r="N974" t="s">
        <v>79</v>
      </c>
      <c r="O974" t="s">
        <v>74</v>
      </c>
      <c r="P974" t="s">
        <v>74</v>
      </c>
      <c r="Q974" t="s">
        <v>74</v>
      </c>
      <c r="R974" t="s">
        <v>74</v>
      </c>
      <c r="S974" t="s">
        <v>74</v>
      </c>
      <c r="T974" t="s">
        <v>18361</v>
      </c>
      <c r="U974" t="s">
        <v>18362</v>
      </c>
      <c r="V974" t="s">
        <v>18363</v>
      </c>
      <c r="W974" t="s">
        <v>18364</v>
      </c>
      <c r="X974" t="s">
        <v>18365</v>
      </c>
      <c r="Y974" t="s">
        <v>18366</v>
      </c>
      <c r="Z974" t="s">
        <v>18367</v>
      </c>
      <c r="AA974" t="s">
        <v>18368</v>
      </c>
      <c r="AB974" t="s">
        <v>18369</v>
      </c>
      <c r="AC974" t="s">
        <v>18370</v>
      </c>
      <c r="AD974" t="s">
        <v>18371</v>
      </c>
      <c r="AE974" t="s">
        <v>18372</v>
      </c>
      <c r="AF974" t="s">
        <v>74</v>
      </c>
      <c r="AG974">
        <v>44</v>
      </c>
      <c r="AH974">
        <v>16</v>
      </c>
      <c r="AI974">
        <v>17</v>
      </c>
      <c r="AJ974">
        <v>5</v>
      </c>
      <c r="AK974">
        <v>45</v>
      </c>
      <c r="AL974" t="s">
        <v>1242</v>
      </c>
      <c r="AM974" t="s">
        <v>1243</v>
      </c>
      <c r="AN974" t="s">
        <v>1244</v>
      </c>
      <c r="AO974" t="s">
        <v>9332</v>
      </c>
      <c r="AP974" t="s">
        <v>9333</v>
      </c>
      <c r="AQ974" t="s">
        <v>74</v>
      </c>
      <c r="AR974" t="s">
        <v>9334</v>
      </c>
      <c r="AS974" t="s">
        <v>9335</v>
      </c>
      <c r="AT974" t="s">
        <v>1963</v>
      </c>
      <c r="AU974">
        <v>2023</v>
      </c>
      <c r="AV974">
        <v>13</v>
      </c>
      <c r="AW974">
        <v>14</v>
      </c>
      <c r="AX974" t="s">
        <v>74</v>
      </c>
      <c r="AY974" t="s">
        <v>74</v>
      </c>
      <c r="AZ974" t="s">
        <v>74</v>
      </c>
      <c r="BA974" t="s">
        <v>74</v>
      </c>
      <c r="BB974">
        <v>13221</v>
      </c>
      <c r="BC974">
        <v>13234</v>
      </c>
      <c r="BD974" t="s">
        <v>74</v>
      </c>
      <c r="BE974" t="s">
        <v>18373</v>
      </c>
      <c r="BF974" t="str">
        <f>HYPERLINK("http://dx.doi.org/10.1007/s13399-021-02193-3","http://dx.doi.org/10.1007/s13399-021-02193-3")</f>
        <v>http://dx.doi.org/10.1007/s13399-021-02193-3</v>
      </c>
      <c r="BG974" t="s">
        <v>74</v>
      </c>
      <c r="BH974" t="s">
        <v>7201</v>
      </c>
      <c r="BI974">
        <v>14</v>
      </c>
      <c r="BJ974" t="s">
        <v>2979</v>
      </c>
      <c r="BK974" t="s">
        <v>102</v>
      </c>
      <c r="BL974" t="s">
        <v>2980</v>
      </c>
      <c r="BM974" t="s">
        <v>18374</v>
      </c>
      <c r="BN974" t="s">
        <v>74</v>
      </c>
      <c r="BO974" t="s">
        <v>74</v>
      </c>
      <c r="BP974" t="s">
        <v>74</v>
      </c>
      <c r="BQ974" t="s">
        <v>74</v>
      </c>
      <c r="BR974" t="s">
        <v>106</v>
      </c>
      <c r="BS974" t="s">
        <v>18375</v>
      </c>
      <c r="BT974" t="str">
        <f>HYPERLINK("https%3A%2F%2Fwww.webofscience.com%2Fwos%2Fwoscc%2Ffull-record%2FWOS:000741940500004","View Full Record in Web of Science")</f>
        <v>View Full Record in Web of Science</v>
      </c>
    </row>
    <row r="975" spans="1:72" x14ac:dyDescent="0.2">
      <c r="A975" t="s">
        <v>72</v>
      </c>
      <c r="B975" t="s">
        <v>18376</v>
      </c>
      <c r="C975" t="s">
        <v>74</v>
      </c>
      <c r="D975" t="s">
        <v>74</v>
      </c>
      <c r="E975" t="s">
        <v>74</v>
      </c>
      <c r="F975" t="s">
        <v>18377</v>
      </c>
      <c r="G975" t="s">
        <v>74</v>
      </c>
      <c r="H975" t="s">
        <v>74</v>
      </c>
      <c r="I975" t="s">
        <v>18378</v>
      </c>
      <c r="J975" t="s">
        <v>1344</v>
      </c>
      <c r="K975" t="s">
        <v>74</v>
      </c>
      <c r="L975" t="s">
        <v>74</v>
      </c>
      <c r="M975" t="s">
        <v>78</v>
      </c>
      <c r="N975" t="s">
        <v>79</v>
      </c>
      <c r="O975" t="s">
        <v>74</v>
      </c>
      <c r="P975" t="s">
        <v>74</v>
      </c>
      <c r="Q975" t="s">
        <v>74</v>
      </c>
      <c r="R975" t="s">
        <v>74</v>
      </c>
      <c r="S975" t="s">
        <v>74</v>
      </c>
      <c r="T975" t="s">
        <v>18379</v>
      </c>
      <c r="U975" t="s">
        <v>74</v>
      </c>
      <c r="V975" t="s">
        <v>18380</v>
      </c>
      <c r="W975" t="s">
        <v>18381</v>
      </c>
      <c r="X975" t="s">
        <v>9755</v>
      </c>
      <c r="Y975" t="s">
        <v>18382</v>
      </c>
      <c r="Z975" t="s">
        <v>18383</v>
      </c>
      <c r="AA975" t="s">
        <v>18384</v>
      </c>
      <c r="AB975" t="s">
        <v>18385</v>
      </c>
      <c r="AC975" t="s">
        <v>18386</v>
      </c>
      <c r="AD975" t="s">
        <v>18387</v>
      </c>
      <c r="AE975" t="s">
        <v>18388</v>
      </c>
      <c r="AF975" t="s">
        <v>74</v>
      </c>
      <c r="AG975">
        <v>68</v>
      </c>
      <c r="AH975">
        <v>2</v>
      </c>
      <c r="AI975">
        <v>2</v>
      </c>
      <c r="AJ975">
        <v>2</v>
      </c>
      <c r="AK975">
        <v>18</v>
      </c>
      <c r="AL975" t="s">
        <v>222</v>
      </c>
      <c r="AM975" t="s">
        <v>223</v>
      </c>
      <c r="AN975" t="s">
        <v>224</v>
      </c>
      <c r="AO975" t="s">
        <v>74</v>
      </c>
      <c r="AP975" t="s">
        <v>1354</v>
      </c>
      <c r="AQ975" t="s">
        <v>74</v>
      </c>
      <c r="AR975" t="s">
        <v>1344</v>
      </c>
      <c r="AS975" t="s">
        <v>1355</v>
      </c>
      <c r="AT975" t="s">
        <v>1963</v>
      </c>
      <c r="AU975">
        <v>2024</v>
      </c>
      <c r="AV975">
        <v>14</v>
      </c>
      <c r="AW975">
        <v>9</v>
      </c>
      <c r="AX975" t="s">
        <v>74</v>
      </c>
      <c r="AY975" t="s">
        <v>74</v>
      </c>
      <c r="AZ975" t="s">
        <v>74</v>
      </c>
      <c r="BA975" t="s">
        <v>74</v>
      </c>
      <c r="BB975" t="s">
        <v>74</v>
      </c>
      <c r="BC975" t="s">
        <v>74</v>
      </c>
      <c r="BD975">
        <v>1513</v>
      </c>
      <c r="BE975" t="s">
        <v>18389</v>
      </c>
      <c r="BF975" t="str">
        <f>HYPERLINK("http://dx.doi.org/10.3390/agriculture14091513","http://dx.doi.org/10.3390/agriculture14091513")</f>
        <v>http://dx.doi.org/10.3390/agriculture14091513</v>
      </c>
      <c r="BG975" t="s">
        <v>74</v>
      </c>
      <c r="BH975" t="s">
        <v>74</v>
      </c>
      <c r="BI975">
        <v>33</v>
      </c>
      <c r="BJ975" t="s">
        <v>1357</v>
      </c>
      <c r="BK975" t="s">
        <v>102</v>
      </c>
      <c r="BL975" t="s">
        <v>103</v>
      </c>
      <c r="BM975" t="s">
        <v>18390</v>
      </c>
      <c r="BN975" t="s">
        <v>74</v>
      </c>
      <c r="BO975" t="s">
        <v>231</v>
      </c>
      <c r="BP975" t="s">
        <v>74</v>
      </c>
      <c r="BQ975" t="s">
        <v>74</v>
      </c>
      <c r="BR975" t="s">
        <v>106</v>
      </c>
      <c r="BS975" t="s">
        <v>18391</v>
      </c>
      <c r="BT975" t="str">
        <f>HYPERLINK("https%3A%2F%2Fwww.webofscience.com%2Fwos%2Fwoscc%2Ffull-record%2FWOS:001324002700001","View Full Record in Web of Science")</f>
        <v>View Full Record in Web of Science</v>
      </c>
    </row>
    <row r="976" spans="1:72" x14ac:dyDescent="0.2">
      <c r="A976" t="s">
        <v>72</v>
      </c>
      <c r="B976" t="s">
        <v>18392</v>
      </c>
      <c r="C976" t="s">
        <v>74</v>
      </c>
      <c r="D976" t="s">
        <v>74</v>
      </c>
      <c r="E976" t="s">
        <v>74</v>
      </c>
      <c r="F976" t="s">
        <v>18393</v>
      </c>
      <c r="G976" t="s">
        <v>74</v>
      </c>
      <c r="H976" t="s">
        <v>74</v>
      </c>
      <c r="I976" t="s">
        <v>18394</v>
      </c>
      <c r="J976" t="s">
        <v>4059</v>
      </c>
      <c r="K976" t="s">
        <v>74</v>
      </c>
      <c r="L976" t="s">
        <v>74</v>
      </c>
      <c r="M976" t="s">
        <v>78</v>
      </c>
      <c r="N976" t="s">
        <v>79</v>
      </c>
      <c r="O976" t="s">
        <v>74</v>
      </c>
      <c r="P976" t="s">
        <v>74</v>
      </c>
      <c r="Q976" t="s">
        <v>74</v>
      </c>
      <c r="R976" t="s">
        <v>74</v>
      </c>
      <c r="S976" t="s">
        <v>74</v>
      </c>
      <c r="T976" t="s">
        <v>18395</v>
      </c>
      <c r="U976" t="s">
        <v>18396</v>
      </c>
      <c r="V976" t="s">
        <v>18397</v>
      </c>
      <c r="W976" t="s">
        <v>18398</v>
      </c>
      <c r="X976" t="s">
        <v>18399</v>
      </c>
      <c r="Y976" t="s">
        <v>18400</v>
      </c>
      <c r="Z976" t="s">
        <v>18401</v>
      </c>
      <c r="AA976" t="s">
        <v>18402</v>
      </c>
      <c r="AB976" t="s">
        <v>74</v>
      </c>
      <c r="AC976" t="s">
        <v>18403</v>
      </c>
      <c r="AD976" t="s">
        <v>18404</v>
      </c>
      <c r="AE976" t="s">
        <v>18405</v>
      </c>
      <c r="AF976" t="s">
        <v>74</v>
      </c>
      <c r="AG976">
        <v>63</v>
      </c>
      <c r="AH976">
        <v>0</v>
      </c>
      <c r="AI976">
        <v>0</v>
      </c>
      <c r="AJ976">
        <v>2</v>
      </c>
      <c r="AK976">
        <v>2</v>
      </c>
      <c r="AL976" t="s">
        <v>123</v>
      </c>
      <c r="AM976" t="s">
        <v>124</v>
      </c>
      <c r="AN976" t="s">
        <v>125</v>
      </c>
      <c r="AO976" t="s">
        <v>4069</v>
      </c>
      <c r="AP976" t="s">
        <v>74</v>
      </c>
      <c r="AQ976" t="s">
        <v>74</v>
      </c>
      <c r="AR976" t="s">
        <v>4070</v>
      </c>
      <c r="AS976" t="s">
        <v>4071</v>
      </c>
      <c r="AT976" t="s">
        <v>2017</v>
      </c>
      <c r="AU976">
        <v>2025</v>
      </c>
      <c r="AV976">
        <v>59</v>
      </c>
      <c r="AW976" t="s">
        <v>74</v>
      </c>
      <c r="AX976" t="s">
        <v>74</v>
      </c>
      <c r="AY976" t="s">
        <v>74</v>
      </c>
      <c r="AZ976" t="s">
        <v>74</v>
      </c>
      <c r="BA976" t="s">
        <v>74</v>
      </c>
      <c r="BB976">
        <v>393</v>
      </c>
      <c r="BC976">
        <v>407</v>
      </c>
      <c r="BD976" t="s">
        <v>74</v>
      </c>
      <c r="BE976" t="s">
        <v>18406</v>
      </c>
      <c r="BF976" t="str">
        <f>HYPERLINK("http://dx.doi.org/10.1016/j.spc.2025.09.002","http://dx.doi.org/10.1016/j.spc.2025.09.002")</f>
        <v>http://dx.doi.org/10.1016/j.spc.2025.09.002</v>
      </c>
      <c r="BG976" t="s">
        <v>74</v>
      </c>
      <c r="BH976" t="s">
        <v>1338</v>
      </c>
      <c r="BI976">
        <v>15</v>
      </c>
      <c r="BJ976" t="s">
        <v>4073</v>
      </c>
      <c r="BK976" t="s">
        <v>186</v>
      </c>
      <c r="BL976" t="s">
        <v>485</v>
      </c>
      <c r="BM976" t="s">
        <v>18407</v>
      </c>
      <c r="BN976" t="s">
        <v>74</v>
      </c>
      <c r="BO976" t="s">
        <v>74</v>
      </c>
      <c r="BP976" t="s">
        <v>74</v>
      </c>
      <c r="BQ976" t="s">
        <v>74</v>
      </c>
      <c r="BR976" t="s">
        <v>106</v>
      </c>
      <c r="BS976" t="s">
        <v>18408</v>
      </c>
      <c r="BT976" t="str">
        <f>HYPERLINK("https%3A%2F%2Fwww.webofscience.com%2Fwos%2Fwoscc%2Ffull-record%2FWOS:001573984300001","View Full Record in Web of Science")</f>
        <v>View Full Record in Web of Science</v>
      </c>
    </row>
    <row r="977" spans="1:72" x14ac:dyDescent="0.2">
      <c r="A977" t="s">
        <v>72</v>
      </c>
      <c r="B977" t="s">
        <v>18409</v>
      </c>
      <c r="C977" t="s">
        <v>74</v>
      </c>
      <c r="D977" t="s">
        <v>74</v>
      </c>
      <c r="E977" t="s">
        <v>74</v>
      </c>
      <c r="F977" t="s">
        <v>18410</v>
      </c>
      <c r="G977" t="s">
        <v>74</v>
      </c>
      <c r="H977" t="s">
        <v>74</v>
      </c>
      <c r="I977" t="s">
        <v>18411</v>
      </c>
      <c r="J977" t="s">
        <v>18412</v>
      </c>
      <c r="K977" t="s">
        <v>74</v>
      </c>
      <c r="L977" t="s">
        <v>74</v>
      </c>
      <c r="M977" t="s">
        <v>78</v>
      </c>
      <c r="N977" t="s">
        <v>79</v>
      </c>
      <c r="O977" t="s">
        <v>74</v>
      </c>
      <c r="P977" t="s">
        <v>74</v>
      </c>
      <c r="Q977" t="s">
        <v>74</v>
      </c>
      <c r="R977" t="s">
        <v>74</v>
      </c>
      <c r="S977" t="s">
        <v>74</v>
      </c>
      <c r="T977" t="s">
        <v>74</v>
      </c>
      <c r="U977" t="s">
        <v>18413</v>
      </c>
      <c r="V977" t="s">
        <v>18414</v>
      </c>
      <c r="W977" t="s">
        <v>18415</v>
      </c>
      <c r="X977" t="s">
        <v>18416</v>
      </c>
      <c r="Y977" t="s">
        <v>18417</v>
      </c>
      <c r="Z977" t="s">
        <v>18418</v>
      </c>
      <c r="AA977" t="s">
        <v>74</v>
      </c>
      <c r="AB977" t="s">
        <v>18419</v>
      </c>
      <c r="AC977" t="s">
        <v>18420</v>
      </c>
      <c r="AD977" t="s">
        <v>18421</v>
      </c>
      <c r="AE977" t="s">
        <v>18422</v>
      </c>
      <c r="AF977" t="s">
        <v>74</v>
      </c>
      <c r="AG977">
        <v>49</v>
      </c>
      <c r="AH977">
        <v>20</v>
      </c>
      <c r="AI977">
        <v>21</v>
      </c>
      <c r="AJ977">
        <v>10</v>
      </c>
      <c r="AK977">
        <v>143</v>
      </c>
      <c r="AL977" t="s">
        <v>247</v>
      </c>
      <c r="AM977" t="s">
        <v>248</v>
      </c>
      <c r="AN977" t="s">
        <v>249</v>
      </c>
      <c r="AO977" t="s">
        <v>18423</v>
      </c>
      <c r="AP977" t="s">
        <v>18424</v>
      </c>
      <c r="AQ977" t="s">
        <v>74</v>
      </c>
      <c r="AR977" t="s">
        <v>18425</v>
      </c>
      <c r="AS977" t="s">
        <v>18426</v>
      </c>
      <c r="AT977" t="s">
        <v>2954</v>
      </c>
      <c r="AU977">
        <v>2021</v>
      </c>
      <c r="AV977">
        <v>2021</v>
      </c>
      <c r="AW977" t="s">
        <v>74</v>
      </c>
      <c r="AX977" t="s">
        <v>74</v>
      </c>
      <c r="AY977" t="s">
        <v>74</v>
      </c>
      <c r="AZ977" t="s">
        <v>74</v>
      </c>
      <c r="BA977" t="s">
        <v>74</v>
      </c>
      <c r="BB977" t="s">
        <v>74</v>
      </c>
      <c r="BC977" t="s">
        <v>74</v>
      </c>
      <c r="BD977">
        <v>9288895</v>
      </c>
      <c r="BE977" t="s">
        <v>18427</v>
      </c>
      <c r="BF977" t="str">
        <f>HYPERLINK("http://dx.doi.org/10.1155/2021/9288895","http://dx.doi.org/10.1155/2021/9288895")</f>
        <v>http://dx.doi.org/10.1155/2021/9288895</v>
      </c>
      <c r="BG977" t="s">
        <v>74</v>
      </c>
      <c r="BH977" t="s">
        <v>74</v>
      </c>
      <c r="BI977">
        <v>12</v>
      </c>
      <c r="BJ977" t="s">
        <v>733</v>
      </c>
      <c r="BK977" t="s">
        <v>186</v>
      </c>
      <c r="BL977" t="s">
        <v>734</v>
      </c>
      <c r="BM977" t="s">
        <v>18428</v>
      </c>
      <c r="BN977" t="s">
        <v>74</v>
      </c>
      <c r="BO977" t="s">
        <v>161</v>
      </c>
      <c r="BP977" t="s">
        <v>74</v>
      </c>
      <c r="BQ977" t="s">
        <v>74</v>
      </c>
      <c r="BR977" t="s">
        <v>106</v>
      </c>
      <c r="BS977" t="s">
        <v>18429</v>
      </c>
      <c r="BT977" t="str">
        <f>HYPERLINK("https%3A%2F%2Fwww.webofscience.com%2Fwos%2Fwoscc%2Ffull-record%2FWOS:000706226100001","View Full Record in Web of Science")</f>
        <v>View Full Record in Web of Science</v>
      </c>
    </row>
    <row r="978" spans="1:72" x14ac:dyDescent="0.2">
      <c r="A978" t="s">
        <v>72</v>
      </c>
      <c r="B978" t="s">
        <v>18430</v>
      </c>
      <c r="C978" t="s">
        <v>74</v>
      </c>
      <c r="D978" t="s">
        <v>74</v>
      </c>
      <c r="E978" t="s">
        <v>74</v>
      </c>
      <c r="F978" t="s">
        <v>18431</v>
      </c>
      <c r="G978" t="s">
        <v>74</v>
      </c>
      <c r="H978" t="s">
        <v>74</v>
      </c>
      <c r="I978" t="s">
        <v>18432</v>
      </c>
      <c r="J978" t="s">
        <v>446</v>
      </c>
      <c r="K978" t="s">
        <v>74</v>
      </c>
      <c r="L978" t="s">
        <v>74</v>
      </c>
      <c r="M978" t="s">
        <v>78</v>
      </c>
      <c r="N978" t="s">
        <v>79</v>
      </c>
      <c r="O978" t="s">
        <v>74</v>
      </c>
      <c r="P978" t="s">
        <v>74</v>
      </c>
      <c r="Q978" t="s">
        <v>74</v>
      </c>
      <c r="R978" t="s">
        <v>74</v>
      </c>
      <c r="S978" t="s">
        <v>74</v>
      </c>
      <c r="T978" t="s">
        <v>18433</v>
      </c>
      <c r="U978" t="s">
        <v>18434</v>
      </c>
      <c r="V978" t="s">
        <v>18435</v>
      </c>
      <c r="W978" t="s">
        <v>18436</v>
      </c>
      <c r="X978" t="s">
        <v>1880</v>
      </c>
      <c r="Y978" t="s">
        <v>18437</v>
      </c>
      <c r="Z978" t="s">
        <v>18438</v>
      </c>
      <c r="AA978" t="s">
        <v>18439</v>
      </c>
      <c r="AB978" t="s">
        <v>18440</v>
      </c>
      <c r="AC978" t="s">
        <v>18441</v>
      </c>
      <c r="AD978" t="s">
        <v>18441</v>
      </c>
      <c r="AE978" t="s">
        <v>456</v>
      </c>
      <c r="AF978" t="s">
        <v>74</v>
      </c>
      <c r="AG978">
        <v>72</v>
      </c>
      <c r="AH978">
        <v>2</v>
      </c>
      <c r="AI978">
        <v>2</v>
      </c>
      <c r="AJ978">
        <v>5</v>
      </c>
      <c r="AK978">
        <v>23</v>
      </c>
      <c r="AL978" t="s">
        <v>222</v>
      </c>
      <c r="AM978" t="s">
        <v>223</v>
      </c>
      <c r="AN978" t="s">
        <v>224</v>
      </c>
      <c r="AO978" t="s">
        <v>74</v>
      </c>
      <c r="AP978" t="s">
        <v>457</v>
      </c>
      <c r="AQ978" t="s">
        <v>74</v>
      </c>
      <c r="AR978" t="s">
        <v>446</v>
      </c>
      <c r="AS978" t="s">
        <v>458</v>
      </c>
      <c r="AT978" t="s">
        <v>805</v>
      </c>
      <c r="AU978">
        <v>2023</v>
      </c>
      <c r="AV978">
        <v>13</v>
      </c>
      <c r="AW978">
        <v>11</v>
      </c>
      <c r="AX978" t="s">
        <v>74</v>
      </c>
      <c r="AY978" t="s">
        <v>74</v>
      </c>
      <c r="AZ978" t="s">
        <v>74</v>
      </c>
      <c r="BA978" t="s">
        <v>74</v>
      </c>
      <c r="BB978" t="s">
        <v>74</v>
      </c>
      <c r="BC978" t="s">
        <v>74</v>
      </c>
      <c r="BD978">
        <v>2720</v>
      </c>
      <c r="BE978" t="s">
        <v>18442</v>
      </c>
      <c r="BF978" t="str">
        <f>HYPERLINK("http://dx.doi.org/10.3390/agronomy13112720","http://dx.doi.org/10.3390/agronomy13112720")</f>
        <v>http://dx.doi.org/10.3390/agronomy13112720</v>
      </c>
      <c r="BG978" t="s">
        <v>74</v>
      </c>
      <c r="BH978" t="s">
        <v>74</v>
      </c>
      <c r="BI978">
        <v>23</v>
      </c>
      <c r="BJ978" t="s">
        <v>461</v>
      </c>
      <c r="BK978" t="s">
        <v>102</v>
      </c>
      <c r="BL978" t="s">
        <v>462</v>
      </c>
      <c r="BM978" t="s">
        <v>18443</v>
      </c>
      <c r="BN978" t="s">
        <v>74</v>
      </c>
      <c r="BO978" t="s">
        <v>231</v>
      </c>
      <c r="BP978" t="s">
        <v>74</v>
      </c>
      <c r="BQ978" t="s">
        <v>74</v>
      </c>
      <c r="BR978" t="s">
        <v>106</v>
      </c>
      <c r="BS978" t="s">
        <v>18444</v>
      </c>
      <c r="BT978" t="str">
        <f>HYPERLINK("https%3A%2F%2Fwww.webofscience.com%2Fwos%2Fwoscc%2Ffull-record%2FWOS:001118300200001","View Full Record in Web of Science")</f>
        <v>View Full Record in Web of Science</v>
      </c>
    </row>
    <row r="979" spans="1:72" x14ac:dyDescent="0.2">
      <c r="A979" t="s">
        <v>72</v>
      </c>
      <c r="B979" t="s">
        <v>18445</v>
      </c>
      <c r="C979" t="s">
        <v>74</v>
      </c>
      <c r="D979" t="s">
        <v>74</v>
      </c>
      <c r="E979" t="s">
        <v>74</v>
      </c>
      <c r="F979" t="s">
        <v>18446</v>
      </c>
      <c r="G979" t="s">
        <v>74</v>
      </c>
      <c r="H979" t="s">
        <v>74</v>
      </c>
      <c r="I979" t="s">
        <v>18447</v>
      </c>
      <c r="J979" t="s">
        <v>18448</v>
      </c>
      <c r="K979" t="s">
        <v>74</v>
      </c>
      <c r="L979" t="s">
        <v>74</v>
      </c>
      <c r="M979" t="s">
        <v>78</v>
      </c>
      <c r="N979" t="s">
        <v>79</v>
      </c>
      <c r="O979" t="s">
        <v>74</v>
      </c>
      <c r="P979" t="s">
        <v>74</v>
      </c>
      <c r="Q979" t="s">
        <v>74</v>
      </c>
      <c r="R979" t="s">
        <v>74</v>
      </c>
      <c r="S979" t="s">
        <v>74</v>
      </c>
      <c r="T979" t="s">
        <v>18449</v>
      </c>
      <c r="U979" t="s">
        <v>18450</v>
      </c>
      <c r="V979" t="s">
        <v>18451</v>
      </c>
      <c r="W979" t="s">
        <v>18452</v>
      </c>
      <c r="X979" t="s">
        <v>18453</v>
      </c>
      <c r="Y979" t="s">
        <v>18454</v>
      </c>
      <c r="Z979" t="s">
        <v>18455</v>
      </c>
      <c r="AA979" t="s">
        <v>18456</v>
      </c>
      <c r="AB979" t="s">
        <v>74</v>
      </c>
      <c r="AC979" t="s">
        <v>74</v>
      </c>
      <c r="AD979" t="s">
        <v>74</v>
      </c>
      <c r="AE979" t="s">
        <v>74</v>
      </c>
      <c r="AF979" t="s">
        <v>74</v>
      </c>
      <c r="AG979">
        <v>37</v>
      </c>
      <c r="AH979">
        <v>1</v>
      </c>
      <c r="AI979">
        <v>2</v>
      </c>
      <c r="AJ979">
        <v>1</v>
      </c>
      <c r="AK979">
        <v>33</v>
      </c>
      <c r="AL979" t="s">
        <v>5565</v>
      </c>
      <c r="AM979" t="s">
        <v>275</v>
      </c>
      <c r="AN979" t="s">
        <v>5566</v>
      </c>
      <c r="AO979" t="s">
        <v>18457</v>
      </c>
      <c r="AP979" t="s">
        <v>18458</v>
      </c>
      <c r="AQ979" t="s">
        <v>74</v>
      </c>
      <c r="AR979" t="s">
        <v>18459</v>
      </c>
      <c r="AS979" t="s">
        <v>18460</v>
      </c>
      <c r="AT979" t="s">
        <v>805</v>
      </c>
      <c r="AU979">
        <v>2021</v>
      </c>
      <c r="AV979">
        <v>63</v>
      </c>
      <c r="AW979">
        <v>11</v>
      </c>
      <c r="AX979" t="s">
        <v>74</v>
      </c>
      <c r="AY979" t="s">
        <v>74</v>
      </c>
      <c r="AZ979" t="s">
        <v>74</v>
      </c>
      <c r="BA979" t="s">
        <v>74</v>
      </c>
      <c r="BB979">
        <v>999</v>
      </c>
      <c r="BC979">
        <v>1006</v>
      </c>
      <c r="BD979" t="s">
        <v>74</v>
      </c>
      <c r="BE979" t="s">
        <v>18461</v>
      </c>
      <c r="BF979" t="str">
        <f>HYPERLINK("http://dx.doi.org/10.1515/mt-2021-0033","http://dx.doi.org/10.1515/mt-2021-0033")</f>
        <v>http://dx.doi.org/10.1515/mt-2021-0033</v>
      </c>
      <c r="BG979" t="s">
        <v>74</v>
      </c>
      <c r="BH979" t="s">
        <v>74</v>
      </c>
      <c r="BI979">
        <v>8</v>
      </c>
      <c r="BJ979" t="s">
        <v>18462</v>
      </c>
      <c r="BK979" t="s">
        <v>102</v>
      </c>
      <c r="BL979" t="s">
        <v>2143</v>
      </c>
      <c r="BM979" t="s">
        <v>18463</v>
      </c>
      <c r="BN979" t="s">
        <v>74</v>
      </c>
      <c r="BO979" t="s">
        <v>541</v>
      </c>
      <c r="BP979" t="s">
        <v>74</v>
      </c>
      <c r="BQ979" t="s">
        <v>74</v>
      </c>
      <c r="BR979" t="s">
        <v>106</v>
      </c>
      <c r="BS979" t="s">
        <v>18464</v>
      </c>
      <c r="BT979" t="str">
        <f>HYPERLINK("https%3A%2F%2Fwww.webofscience.com%2Fwos%2Fwoscc%2Ffull-record%2FWOS:000720349900005","View Full Record in Web of Science")</f>
        <v>View Full Record in Web of Science</v>
      </c>
    </row>
    <row r="980" spans="1:72" x14ac:dyDescent="0.2">
      <c r="A980" t="s">
        <v>72</v>
      </c>
      <c r="B980" t="s">
        <v>18465</v>
      </c>
      <c r="C980" t="s">
        <v>74</v>
      </c>
      <c r="D980" t="s">
        <v>74</v>
      </c>
      <c r="E980" t="s">
        <v>74</v>
      </c>
      <c r="F980" t="s">
        <v>18466</v>
      </c>
      <c r="G980" t="s">
        <v>74</v>
      </c>
      <c r="H980" t="s">
        <v>74</v>
      </c>
      <c r="I980" t="s">
        <v>18467</v>
      </c>
      <c r="J980" t="s">
        <v>9491</v>
      </c>
      <c r="K980" t="s">
        <v>74</v>
      </c>
      <c r="L980" t="s">
        <v>74</v>
      </c>
      <c r="M980" t="s">
        <v>78</v>
      </c>
      <c r="N980" t="s">
        <v>79</v>
      </c>
      <c r="O980" t="s">
        <v>74</v>
      </c>
      <c r="P980" t="s">
        <v>74</v>
      </c>
      <c r="Q980" t="s">
        <v>74</v>
      </c>
      <c r="R980" t="s">
        <v>74</v>
      </c>
      <c r="S980" t="s">
        <v>74</v>
      </c>
      <c r="T980" t="s">
        <v>18468</v>
      </c>
      <c r="U980" t="s">
        <v>18469</v>
      </c>
      <c r="V980" t="s">
        <v>18470</v>
      </c>
      <c r="W980" t="s">
        <v>18471</v>
      </c>
      <c r="X980" t="s">
        <v>18472</v>
      </c>
      <c r="Y980" t="s">
        <v>18473</v>
      </c>
      <c r="Z980" t="s">
        <v>18474</v>
      </c>
      <c r="AA980" t="s">
        <v>18475</v>
      </c>
      <c r="AB980" t="s">
        <v>18476</v>
      </c>
      <c r="AC980" t="s">
        <v>18477</v>
      </c>
      <c r="AD980" t="s">
        <v>18478</v>
      </c>
      <c r="AE980" t="s">
        <v>18479</v>
      </c>
      <c r="AF980" t="s">
        <v>74</v>
      </c>
      <c r="AG980">
        <v>98</v>
      </c>
      <c r="AH980">
        <v>6</v>
      </c>
      <c r="AI980">
        <v>7</v>
      </c>
      <c r="AJ980">
        <v>3</v>
      </c>
      <c r="AK980">
        <v>38</v>
      </c>
      <c r="AL980" t="s">
        <v>3169</v>
      </c>
      <c r="AM980" t="s">
        <v>531</v>
      </c>
      <c r="AN980" t="s">
        <v>3170</v>
      </c>
      <c r="AO980" t="s">
        <v>9504</v>
      </c>
      <c r="AP980" t="s">
        <v>9505</v>
      </c>
      <c r="AQ980" t="s">
        <v>74</v>
      </c>
      <c r="AR980" t="s">
        <v>9506</v>
      </c>
      <c r="AS980" t="s">
        <v>9507</v>
      </c>
      <c r="AT980" t="s">
        <v>99</v>
      </c>
      <c r="AU980">
        <v>2023</v>
      </c>
      <c r="AV980">
        <v>128</v>
      </c>
      <c r="AW980">
        <v>3</v>
      </c>
      <c r="AX980" t="s">
        <v>74</v>
      </c>
      <c r="AY980" t="s">
        <v>74</v>
      </c>
      <c r="AZ980" t="s">
        <v>74</v>
      </c>
      <c r="BA980" t="s">
        <v>74</v>
      </c>
      <c r="BB980" t="s">
        <v>74</v>
      </c>
      <c r="BC980" t="s">
        <v>74</v>
      </c>
      <c r="BD980" t="s">
        <v>18480</v>
      </c>
      <c r="BE980" t="s">
        <v>18481</v>
      </c>
      <c r="BF980" t="str">
        <f>HYPERLINK("http://dx.doi.org/10.1029/2022JG007113","http://dx.doi.org/10.1029/2022JG007113")</f>
        <v>http://dx.doi.org/10.1029/2022JG007113</v>
      </c>
      <c r="BG980" t="s">
        <v>74</v>
      </c>
      <c r="BH980" t="s">
        <v>74</v>
      </c>
      <c r="BI980">
        <v>22</v>
      </c>
      <c r="BJ980" t="s">
        <v>1205</v>
      </c>
      <c r="BK980" t="s">
        <v>102</v>
      </c>
      <c r="BL980" t="s">
        <v>1206</v>
      </c>
      <c r="BM980" t="s">
        <v>18482</v>
      </c>
      <c r="BN980" t="s">
        <v>74</v>
      </c>
      <c r="BO980" t="s">
        <v>916</v>
      </c>
      <c r="BP980" t="s">
        <v>74</v>
      </c>
      <c r="BQ980" t="s">
        <v>74</v>
      </c>
      <c r="BR980" t="s">
        <v>106</v>
      </c>
      <c r="BS980" t="s">
        <v>18483</v>
      </c>
      <c r="BT980" t="str">
        <f>HYPERLINK("https%3A%2F%2Fwww.webofscience.com%2Fwos%2Fwoscc%2Ffull-record%2FWOS:000947334100001","View Full Record in Web of Science")</f>
        <v>View Full Record in Web of Science</v>
      </c>
    </row>
    <row r="981" spans="1:72" x14ac:dyDescent="0.2">
      <c r="A981" t="s">
        <v>72</v>
      </c>
      <c r="B981" t="s">
        <v>18484</v>
      </c>
      <c r="C981" t="s">
        <v>74</v>
      </c>
      <c r="D981" t="s">
        <v>74</v>
      </c>
      <c r="E981" t="s">
        <v>74</v>
      </c>
      <c r="F981" t="s">
        <v>18485</v>
      </c>
      <c r="G981" t="s">
        <v>74</v>
      </c>
      <c r="H981" t="s">
        <v>74</v>
      </c>
      <c r="I981" t="s">
        <v>18486</v>
      </c>
      <c r="J981" t="s">
        <v>3061</v>
      </c>
      <c r="K981" t="s">
        <v>74</v>
      </c>
      <c r="L981" t="s">
        <v>74</v>
      </c>
      <c r="M981" t="s">
        <v>78</v>
      </c>
      <c r="N981" t="s">
        <v>79</v>
      </c>
      <c r="O981" t="s">
        <v>74</v>
      </c>
      <c r="P981" t="s">
        <v>74</v>
      </c>
      <c r="Q981" t="s">
        <v>74</v>
      </c>
      <c r="R981" t="s">
        <v>74</v>
      </c>
      <c r="S981" t="s">
        <v>74</v>
      </c>
      <c r="T981" t="s">
        <v>18487</v>
      </c>
      <c r="U981" t="s">
        <v>18488</v>
      </c>
      <c r="V981" t="s">
        <v>18489</v>
      </c>
      <c r="W981" t="s">
        <v>18490</v>
      </c>
      <c r="X981" t="s">
        <v>18491</v>
      </c>
      <c r="Y981" t="s">
        <v>18492</v>
      </c>
      <c r="Z981" t="s">
        <v>18493</v>
      </c>
      <c r="AA981" t="s">
        <v>18494</v>
      </c>
      <c r="AB981" t="s">
        <v>18495</v>
      </c>
      <c r="AC981" t="s">
        <v>18496</v>
      </c>
      <c r="AD981" t="s">
        <v>18496</v>
      </c>
      <c r="AE981" t="s">
        <v>18497</v>
      </c>
      <c r="AF981" t="s">
        <v>74</v>
      </c>
      <c r="AG981">
        <v>56</v>
      </c>
      <c r="AH981">
        <v>9</v>
      </c>
      <c r="AI981">
        <v>9</v>
      </c>
      <c r="AJ981">
        <v>6</v>
      </c>
      <c r="AK981">
        <v>26</v>
      </c>
      <c r="AL981" t="s">
        <v>123</v>
      </c>
      <c r="AM981" t="s">
        <v>124</v>
      </c>
      <c r="AN981" t="s">
        <v>125</v>
      </c>
      <c r="AO981" t="s">
        <v>3074</v>
      </c>
      <c r="AP981" t="s">
        <v>3075</v>
      </c>
      <c r="AQ981" t="s">
        <v>74</v>
      </c>
      <c r="AR981" t="s">
        <v>3061</v>
      </c>
      <c r="AS981" t="s">
        <v>3076</v>
      </c>
      <c r="AT981" t="s">
        <v>459</v>
      </c>
      <c r="AU981">
        <v>2024</v>
      </c>
      <c r="AV981">
        <v>442</v>
      </c>
      <c r="AW981" t="s">
        <v>74</v>
      </c>
      <c r="AX981" t="s">
        <v>74</v>
      </c>
      <c r="AY981" t="s">
        <v>74</v>
      </c>
      <c r="AZ981" t="s">
        <v>74</v>
      </c>
      <c r="BA981" t="s">
        <v>74</v>
      </c>
      <c r="BB981" t="s">
        <v>74</v>
      </c>
      <c r="BC981" t="s">
        <v>74</v>
      </c>
      <c r="BD981">
        <v>116787</v>
      </c>
      <c r="BE981" t="s">
        <v>18498</v>
      </c>
      <c r="BF981" t="str">
        <f>HYPERLINK("http://dx.doi.org/10.1016/j.geoderma.2024.116787","http://dx.doi.org/10.1016/j.geoderma.2024.116787")</f>
        <v>http://dx.doi.org/10.1016/j.geoderma.2024.116787</v>
      </c>
      <c r="BG981" t="s">
        <v>74</v>
      </c>
      <c r="BH981" t="s">
        <v>1314</v>
      </c>
      <c r="BI981">
        <v>12</v>
      </c>
      <c r="BJ981" t="s">
        <v>256</v>
      </c>
      <c r="BK981" t="s">
        <v>102</v>
      </c>
      <c r="BL981" t="s">
        <v>103</v>
      </c>
      <c r="BM981" t="s">
        <v>18499</v>
      </c>
      <c r="BN981" t="s">
        <v>74</v>
      </c>
      <c r="BO981" t="s">
        <v>161</v>
      </c>
      <c r="BP981" t="s">
        <v>74</v>
      </c>
      <c r="BQ981" t="s">
        <v>74</v>
      </c>
      <c r="BR981" t="s">
        <v>106</v>
      </c>
      <c r="BS981" t="s">
        <v>18500</v>
      </c>
      <c r="BT981" t="str">
        <f>HYPERLINK("https%3A%2F%2Fwww.webofscience.com%2Fwos%2Fwoscc%2Ffull-record%2FWOS:001172924600001","View Full Record in Web of Science")</f>
        <v>View Full Record in Web of Science</v>
      </c>
    </row>
    <row r="982" spans="1:72" x14ac:dyDescent="0.2">
      <c r="A982" t="s">
        <v>72</v>
      </c>
      <c r="B982" t="s">
        <v>18501</v>
      </c>
      <c r="C982" t="s">
        <v>74</v>
      </c>
      <c r="D982" t="s">
        <v>74</v>
      </c>
      <c r="E982" t="s">
        <v>74</v>
      </c>
      <c r="F982" t="s">
        <v>18502</v>
      </c>
      <c r="G982" t="s">
        <v>74</v>
      </c>
      <c r="H982" t="s">
        <v>74</v>
      </c>
      <c r="I982" t="s">
        <v>18503</v>
      </c>
      <c r="J982" t="s">
        <v>9285</v>
      </c>
      <c r="K982" t="s">
        <v>74</v>
      </c>
      <c r="L982" t="s">
        <v>74</v>
      </c>
      <c r="M982" t="s">
        <v>78</v>
      </c>
      <c r="N982" t="s">
        <v>79</v>
      </c>
      <c r="O982" t="s">
        <v>74</v>
      </c>
      <c r="P982" t="s">
        <v>74</v>
      </c>
      <c r="Q982" t="s">
        <v>74</v>
      </c>
      <c r="R982" t="s">
        <v>74</v>
      </c>
      <c r="S982" t="s">
        <v>74</v>
      </c>
      <c r="T982" t="s">
        <v>18504</v>
      </c>
      <c r="U982" t="s">
        <v>18505</v>
      </c>
      <c r="V982" t="s">
        <v>18506</v>
      </c>
      <c r="W982" t="s">
        <v>18507</v>
      </c>
      <c r="X982" t="s">
        <v>18508</v>
      </c>
      <c r="Y982" t="s">
        <v>18509</v>
      </c>
      <c r="Z982" t="s">
        <v>18510</v>
      </c>
      <c r="AA982" t="s">
        <v>18511</v>
      </c>
      <c r="AB982" t="s">
        <v>18512</v>
      </c>
      <c r="AC982" t="s">
        <v>18513</v>
      </c>
      <c r="AD982" t="s">
        <v>18514</v>
      </c>
      <c r="AE982" t="s">
        <v>18515</v>
      </c>
      <c r="AF982" t="s">
        <v>74</v>
      </c>
      <c r="AG982">
        <v>32</v>
      </c>
      <c r="AH982">
        <v>0</v>
      </c>
      <c r="AI982">
        <v>0</v>
      </c>
      <c r="AJ982">
        <v>3</v>
      </c>
      <c r="AK982">
        <v>4</v>
      </c>
      <c r="AL982" t="s">
        <v>247</v>
      </c>
      <c r="AM982" t="s">
        <v>248</v>
      </c>
      <c r="AN982" t="s">
        <v>249</v>
      </c>
      <c r="AO982" t="s">
        <v>9297</v>
      </c>
      <c r="AP982" t="s">
        <v>9298</v>
      </c>
      <c r="AQ982" t="s">
        <v>74</v>
      </c>
      <c r="AR982" t="s">
        <v>9299</v>
      </c>
      <c r="AS982" t="s">
        <v>9300</v>
      </c>
      <c r="AT982" t="s">
        <v>1963</v>
      </c>
      <c r="AU982">
        <v>2025</v>
      </c>
      <c r="AV982">
        <v>105</v>
      </c>
      <c r="AW982">
        <v>12</v>
      </c>
      <c r="AX982" t="s">
        <v>74</v>
      </c>
      <c r="AY982" t="s">
        <v>74</v>
      </c>
      <c r="AZ982" t="s">
        <v>74</v>
      </c>
      <c r="BA982" t="s">
        <v>74</v>
      </c>
      <c r="BB982">
        <v>6528</v>
      </c>
      <c r="BC982">
        <v>6537</v>
      </c>
      <c r="BD982" t="s">
        <v>74</v>
      </c>
      <c r="BE982" t="s">
        <v>18516</v>
      </c>
      <c r="BF982" t="str">
        <f>HYPERLINK("http://dx.doi.org/10.1002/jsfa.14368","http://dx.doi.org/10.1002/jsfa.14368")</f>
        <v>http://dx.doi.org/10.1002/jsfa.14368</v>
      </c>
      <c r="BG982" t="s">
        <v>74</v>
      </c>
      <c r="BH982" t="s">
        <v>339</v>
      </c>
      <c r="BI982">
        <v>10</v>
      </c>
      <c r="BJ982" t="s">
        <v>5220</v>
      </c>
      <c r="BK982" t="s">
        <v>102</v>
      </c>
      <c r="BL982" t="s">
        <v>5221</v>
      </c>
      <c r="BM982" t="s">
        <v>18517</v>
      </c>
      <c r="BN982">
        <v>40351241</v>
      </c>
      <c r="BO982" t="s">
        <v>2296</v>
      </c>
      <c r="BP982" t="s">
        <v>74</v>
      </c>
      <c r="BQ982" t="s">
        <v>74</v>
      </c>
      <c r="BR982" t="s">
        <v>106</v>
      </c>
      <c r="BS982" t="s">
        <v>18518</v>
      </c>
      <c r="BT982" t="str">
        <f>HYPERLINK("https%3A%2F%2Fwww.webofscience.com%2Fwos%2Fwoscc%2Ffull-record%2FWOS:001485198200001","View Full Record in Web of Science")</f>
        <v>View Full Record in Web of Science</v>
      </c>
    </row>
    <row r="983" spans="1:72" x14ac:dyDescent="0.2">
      <c r="A983" t="s">
        <v>72</v>
      </c>
      <c r="B983" t="s">
        <v>18519</v>
      </c>
      <c r="C983" t="s">
        <v>74</v>
      </c>
      <c r="D983" t="s">
        <v>74</v>
      </c>
      <c r="E983" t="s">
        <v>74</v>
      </c>
      <c r="F983" t="s">
        <v>18520</v>
      </c>
      <c r="G983" t="s">
        <v>74</v>
      </c>
      <c r="H983" t="s">
        <v>74</v>
      </c>
      <c r="I983" t="s">
        <v>18521</v>
      </c>
      <c r="J983" t="s">
        <v>995</v>
      </c>
      <c r="K983" t="s">
        <v>74</v>
      </c>
      <c r="L983" t="s">
        <v>74</v>
      </c>
      <c r="M983" t="s">
        <v>78</v>
      </c>
      <c r="N983" t="s">
        <v>79</v>
      </c>
      <c r="O983" t="s">
        <v>74</v>
      </c>
      <c r="P983" t="s">
        <v>74</v>
      </c>
      <c r="Q983" t="s">
        <v>74</v>
      </c>
      <c r="R983" t="s">
        <v>74</v>
      </c>
      <c r="S983" t="s">
        <v>74</v>
      </c>
      <c r="T983" t="s">
        <v>18522</v>
      </c>
      <c r="U983" t="s">
        <v>18523</v>
      </c>
      <c r="V983" t="s">
        <v>18524</v>
      </c>
      <c r="W983" t="s">
        <v>18525</v>
      </c>
      <c r="X983" t="s">
        <v>18526</v>
      </c>
      <c r="Y983" t="s">
        <v>18527</v>
      </c>
      <c r="Z983" t="s">
        <v>18528</v>
      </c>
      <c r="AA983" t="s">
        <v>18529</v>
      </c>
      <c r="AB983" t="s">
        <v>18530</v>
      </c>
      <c r="AC983" t="s">
        <v>18531</v>
      </c>
      <c r="AD983" t="s">
        <v>18532</v>
      </c>
      <c r="AE983" t="s">
        <v>18533</v>
      </c>
      <c r="AF983" t="s">
        <v>74</v>
      </c>
      <c r="AG983">
        <v>65</v>
      </c>
      <c r="AH983">
        <v>46</v>
      </c>
      <c r="AI983">
        <v>50</v>
      </c>
      <c r="AJ983">
        <v>7</v>
      </c>
      <c r="AK983">
        <v>190</v>
      </c>
      <c r="AL983" t="s">
        <v>2162</v>
      </c>
      <c r="AM983" t="s">
        <v>124</v>
      </c>
      <c r="AN983" t="s">
        <v>2163</v>
      </c>
      <c r="AO983" t="s">
        <v>1008</v>
      </c>
      <c r="AP983" t="s">
        <v>1009</v>
      </c>
      <c r="AQ983" t="s">
        <v>74</v>
      </c>
      <c r="AR983" t="s">
        <v>1010</v>
      </c>
      <c r="AS983" t="s">
        <v>1011</v>
      </c>
      <c r="AT983" t="s">
        <v>3077</v>
      </c>
      <c r="AU983">
        <v>2018</v>
      </c>
      <c r="AV983">
        <v>627</v>
      </c>
      <c r="AW983" t="s">
        <v>74</v>
      </c>
      <c r="AX983" t="s">
        <v>74</v>
      </c>
      <c r="AY983" t="s">
        <v>74</v>
      </c>
      <c r="AZ983" t="s">
        <v>74</v>
      </c>
      <c r="BA983" t="s">
        <v>74</v>
      </c>
      <c r="BB983">
        <v>46</v>
      </c>
      <c r="BC983">
        <v>56</v>
      </c>
      <c r="BD983" t="s">
        <v>74</v>
      </c>
      <c r="BE983" t="s">
        <v>18534</v>
      </c>
      <c r="BF983" t="str">
        <f>HYPERLINK("http://dx.doi.org/10.1016/j.scitotenv.2018.01.207","http://dx.doi.org/10.1016/j.scitotenv.2018.01.207")</f>
        <v>http://dx.doi.org/10.1016/j.scitotenv.2018.01.207</v>
      </c>
      <c r="BG983" t="s">
        <v>74</v>
      </c>
      <c r="BH983" t="s">
        <v>74</v>
      </c>
      <c r="BI983">
        <v>11</v>
      </c>
      <c r="BJ983" t="s">
        <v>567</v>
      </c>
      <c r="BK983" t="s">
        <v>102</v>
      </c>
      <c r="BL983" t="s">
        <v>568</v>
      </c>
      <c r="BM983" t="s">
        <v>18535</v>
      </c>
      <c r="BN983">
        <v>29426168</v>
      </c>
      <c r="BO983" t="s">
        <v>231</v>
      </c>
      <c r="BP983" t="s">
        <v>74</v>
      </c>
      <c r="BQ983" t="s">
        <v>74</v>
      </c>
      <c r="BR983" t="s">
        <v>106</v>
      </c>
      <c r="BS983" t="s">
        <v>18536</v>
      </c>
      <c r="BT983" t="str">
        <f>HYPERLINK("https%3A%2F%2Fwww.webofscience.com%2Fwos%2Fwoscc%2Ffull-record%2FWOS:000431848500006","View Full Record in Web of Science")</f>
        <v>View Full Record in Web of Science</v>
      </c>
    </row>
    <row r="984" spans="1:72" x14ac:dyDescent="0.2">
      <c r="A984" t="s">
        <v>72</v>
      </c>
      <c r="B984" t="s">
        <v>18537</v>
      </c>
      <c r="C984" t="s">
        <v>74</v>
      </c>
      <c r="D984" t="s">
        <v>74</v>
      </c>
      <c r="E984" t="s">
        <v>74</v>
      </c>
      <c r="F984" t="s">
        <v>18538</v>
      </c>
      <c r="G984" t="s">
        <v>74</v>
      </c>
      <c r="H984" t="s">
        <v>74</v>
      </c>
      <c r="I984" t="s">
        <v>18539</v>
      </c>
      <c r="J984" t="s">
        <v>1320</v>
      </c>
      <c r="K984" t="s">
        <v>74</v>
      </c>
      <c r="L984" t="s">
        <v>74</v>
      </c>
      <c r="M984" t="s">
        <v>78</v>
      </c>
      <c r="N984" t="s">
        <v>79</v>
      </c>
      <c r="O984" t="s">
        <v>74</v>
      </c>
      <c r="P984" t="s">
        <v>74</v>
      </c>
      <c r="Q984" t="s">
        <v>74</v>
      </c>
      <c r="R984" t="s">
        <v>74</v>
      </c>
      <c r="S984" t="s">
        <v>74</v>
      </c>
      <c r="T984" t="s">
        <v>18540</v>
      </c>
      <c r="U984" t="s">
        <v>18541</v>
      </c>
      <c r="V984" t="s">
        <v>18542</v>
      </c>
      <c r="W984" t="s">
        <v>18543</v>
      </c>
      <c r="X984" t="s">
        <v>6820</v>
      </c>
      <c r="Y984" t="s">
        <v>18544</v>
      </c>
      <c r="Z984" t="s">
        <v>18545</v>
      </c>
      <c r="AA984" t="s">
        <v>16946</v>
      </c>
      <c r="AB984" t="s">
        <v>74</v>
      </c>
      <c r="AC984" t="s">
        <v>18546</v>
      </c>
      <c r="AD984" t="s">
        <v>18547</v>
      </c>
      <c r="AE984" t="s">
        <v>18548</v>
      </c>
      <c r="AF984" t="s">
        <v>74</v>
      </c>
      <c r="AG984">
        <v>56</v>
      </c>
      <c r="AH984">
        <v>9</v>
      </c>
      <c r="AI984">
        <v>10</v>
      </c>
      <c r="AJ984">
        <v>8</v>
      </c>
      <c r="AK984">
        <v>83</v>
      </c>
      <c r="AL984" t="s">
        <v>504</v>
      </c>
      <c r="AM984" t="s">
        <v>505</v>
      </c>
      <c r="AN984" t="s">
        <v>506</v>
      </c>
      <c r="AO984" t="s">
        <v>1332</v>
      </c>
      <c r="AP984" t="s">
        <v>1333</v>
      </c>
      <c r="AQ984" t="s">
        <v>74</v>
      </c>
      <c r="AR984" t="s">
        <v>1334</v>
      </c>
      <c r="AS984" t="s">
        <v>1335</v>
      </c>
      <c r="AT984" t="s">
        <v>912</v>
      </c>
      <c r="AU984">
        <v>2023</v>
      </c>
      <c r="AV984">
        <v>14</v>
      </c>
      <c r="AW984">
        <v>5</v>
      </c>
      <c r="AX984" t="s">
        <v>74</v>
      </c>
      <c r="AY984" t="s">
        <v>74</v>
      </c>
      <c r="AZ984" t="s">
        <v>74</v>
      </c>
      <c r="BA984" t="s">
        <v>74</v>
      </c>
      <c r="BB984">
        <v>1769</v>
      </c>
      <c r="BC984">
        <v>1785</v>
      </c>
      <c r="BD984" t="s">
        <v>74</v>
      </c>
      <c r="BE984" t="s">
        <v>18549</v>
      </c>
      <c r="BF984" t="str">
        <f>HYPERLINK("http://dx.doi.org/10.1007/s12649-022-01960-1","http://dx.doi.org/10.1007/s12649-022-01960-1")</f>
        <v>http://dx.doi.org/10.1007/s12649-022-01960-1</v>
      </c>
      <c r="BG984" t="s">
        <v>74</v>
      </c>
      <c r="BH984" t="s">
        <v>10385</v>
      </c>
      <c r="BI984">
        <v>17</v>
      </c>
      <c r="BJ984" t="s">
        <v>567</v>
      </c>
      <c r="BK984" t="s">
        <v>102</v>
      </c>
      <c r="BL984" t="s">
        <v>568</v>
      </c>
      <c r="BM984" t="s">
        <v>18550</v>
      </c>
      <c r="BN984" t="s">
        <v>74</v>
      </c>
      <c r="BO984" t="s">
        <v>74</v>
      </c>
      <c r="BP984" t="s">
        <v>74</v>
      </c>
      <c r="BQ984" t="s">
        <v>74</v>
      </c>
      <c r="BR984" t="s">
        <v>106</v>
      </c>
      <c r="BS984" t="s">
        <v>18551</v>
      </c>
      <c r="BT984" t="str">
        <f>HYPERLINK("https%3A%2F%2Fwww.webofscience.com%2Fwos%2Fwoscc%2Ffull-record%2FWOS:000878448400001","View Full Record in Web of Science")</f>
        <v>View Full Record in Web of Science</v>
      </c>
    </row>
    <row r="985" spans="1:72" x14ac:dyDescent="0.2">
      <c r="A985" t="s">
        <v>72</v>
      </c>
      <c r="B985" t="s">
        <v>18552</v>
      </c>
      <c r="C985" t="s">
        <v>74</v>
      </c>
      <c r="D985" t="s">
        <v>74</v>
      </c>
      <c r="E985" t="s">
        <v>74</v>
      </c>
      <c r="F985" t="s">
        <v>18553</v>
      </c>
      <c r="G985" t="s">
        <v>74</v>
      </c>
      <c r="H985" t="s">
        <v>74</v>
      </c>
      <c r="I985" t="s">
        <v>18554</v>
      </c>
      <c r="J985" t="s">
        <v>1891</v>
      </c>
      <c r="K985" t="s">
        <v>74</v>
      </c>
      <c r="L985" t="s">
        <v>74</v>
      </c>
      <c r="M985" t="s">
        <v>78</v>
      </c>
      <c r="N985" t="s">
        <v>79</v>
      </c>
      <c r="O985" t="s">
        <v>74</v>
      </c>
      <c r="P985" t="s">
        <v>74</v>
      </c>
      <c r="Q985" t="s">
        <v>74</v>
      </c>
      <c r="R985" t="s">
        <v>74</v>
      </c>
      <c r="S985" t="s">
        <v>74</v>
      </c>
      <c r="T985" t="s">
        <v>18555</v>
      </c>
      <c r="U985" t="s">
        <v>18556</v>
      </c>
      <c r="V985" t="s">
        <v>18557</v>
      </c>
      <c r="W985" t="s">
        <v>18558</v>
      </c>
      <c r="X985" t="s">
        <v>14731</v>
      </c>
      <c r="Y985" t="s">
        <v>18559</v>
      </c>
      <c r="Z985" t="s">
        <v>18560</v>
      </c>
      <c r="AA985" t="s">
        <v>18561</v>
      </c>
      <c r="AB985" t="s">
        <v>18562</v>
      </c>
      <c r="AC985" t="s">
        <v>74</v>
      </c>
      <c r="AD985" t="s">
        <v>74</v>
      </c>
      <c r="AE985" t="s">
        <v>74</v>
      </c>
      <c r="AF985" t="s">
        <v>74</v>
      </c>
      <c r="AG985">
        <v>73</v>
      </c>
      <c r="AH985">
        <v>6</v>
      </c>
      <c r="AI985">
        <v>9</v>
      </c>
      <c r="AJ985">
        <v>3</v>
      </c>
      <c r="AK985">
        <v>14</v>
      </c>
      <c r="AL985" t="s">
        <v>222</v>
      </c>
      <c r="AM985" t="s">
        <v>223</v>
      </c>
      <c r="AN985" t="s">
        <v>224</v>
      </c>
      <c r="AO985" t="s">
        <v>74</v>
      </c>
      <c r="AP985" t="s">
        <v>1904</v>
      </c>
      <c r="AQ985" t="s">
        <v>74</v>
      </c>
      <c r="AR985" t="s">
        <v>1891</v>
      </c>
      <c r="AS985" t="s">
        <v>1905</v>
      </c>
      <c r="AT985" t="s">
        <v>459</v>
      </c>
      <c r="AU985">
        <v>2022</v>
      </c>
      <c r="AV985">
        <v>13</v>
      </c>
      <c r="AW985">
        <v>2</v>
      </c>
      <c r="AX985" t="s">
        <v>74</v>
      </c>
      <c r="AY985" t="s">
        <v>74</v>
      </c>
      <c r="AZ985" t="s">
        <v>74</v>
      </c>
      <c r="BA985" t="s">
        <v>74</v>
      </c>
      <c r="BB985" t="s">
        <v>74</v>
      </c>
      <c r="BC985" t="s">
        <v>74</v>
      </c>
      <c r="BD985">
        <v>303</v>
      </c>
      <c r="BE985" t="s">
        <v>18563</v>
      </c>
      <c r="BF985" t="str">
        <f>HYPERLINK("http://dx.doi.org/10.3390/f13020303","http://dx.doi.org/10.3390/f13020303")</f>
        <v>http://dx.doi.org/10.3390/f13020303</v>
      </c>
      <c r="BG985" t="s">
        <v>74</v>
      </c>
      <c r="BH985" t="s">
        <v>74</v>
      </c>
      <c r="BI985">
        <v>15</v>
      </c>
      <c r="BJ985" t="s">
        <v>132</v>
      </c>
      <c r="BK985" t="s">
        <v>102</v>
      </c>
      <c r="BL985" t="s">
        <v>132</v>
      </c>
      <c r="BM985" t="s">
        <v>18564</v>
      </c>
      <c r="BN985" t="s">
        <v>74</v>
      </c>
      <c r="BO985" t="s">
        <v>161</v>
      </c>
      <c r="BP985" t="s">
        <v>74</v>
      </c>
      <c r="BQ985" t="s">
        <v>74</v>
      </c>
      <c r="BR985" t="s">
        <v>106</v>
      </c>
      <c r="BS985" t="s">
        <v>18565</v>
      </c>
      <c r="BT985" t="str">
        <f>HYPERLINK("https%3A%2F%2Fwww.webofscience.com%2Fwos%2Fwoscc%2Ffull-record%2FWOS:000761159300001","View Full Record in Web of Science")</f>
        <v>View Full Record in Web of Science</v>
      </c>
    </row>
    <row r="986" spans="1:72" x14ac:dyDescent="0.2">
      <c r="A986" t="s">
        <v>72</v>
      </c>
      <c r="B986" t="s">
        <v>18566</v>
      </c>
      <c r="C986" t="s">
        <v>74</v>
      </c>
      <c r="D986" t="s">
        <v>74</v>
      </c>
      <c r="E986" t="s">
        <v>74</v>
      </c>
      <c r="F986" t="s">
        <v>18567</v>
      </c>
      <c r="G986" t="s">
        <v>74</v>
      </c>
      <c r="H986" t="s">
        <v>74</v>
      </c>
      <c r="I986" t="s">
        <v>18568</v>
      </c>
      <c r="J986" t="s">
        <v>828</v>
      </c>
      <c r="K986" t="s">
        <v>74</v>
      </c>
      <c r="L986" t="s">
        <v>74</v>
      </c>
      <c r="M986" t="s">
        <v>78</v>
      </c>
      <c r="N986" t="s">
        <v>79</v>
      </c>
      <c r="O986" t="s">
        <v>74</v>
      </c>
      <c r="P986" t="s">
        <v>74</v>
      </c>
      <c r="Q986" t="s">
        <v>74</v>
      </c>
      <c r="R986" t="s">
        <v>74</v>
      </c>
      <c r="S986" t="s">
        <v>74</v>
      </c>
      <c r="T986" t="s">
        <v>18569</v>
      </c>
      <c r="U986" t="s">
        <v>18570</v>
      </c>
      <c r="V986" t="s">
        <v>18571</v>
      </c>
      <c r="W986" t="s">
        <v>18572</v>
      </c>
      <c r="X986" t="s">
        <v>18573</v>
      </c>
      <c r="Y986" t="s">
        <v>18574</v>
      </c>
      <c r="Z986" t="s">
        <v>18575</v>
      </c>
      <c r="AA986" t="s">
        <v>18576</v>
      </c>
      <c r="AB986" t="s">
        <v>74</v>
      </c>
      <c r="AC986" t="s">
        <v>74</v>
      </c>
      <c r="AD986" t="s">
        <v>74</v>
      </c>
      <c r="AE986" t="s">
        <v>74</v>
      </c>
      <c r="AF986" t="s">
        <v>74</v>
      </c>
      <c r="AG986">
        <v>18</v>
      </c>
      <c r="AH986">
        <v>3</v>
      </c>
      <c r="AI986">
        <v>3</v>
      </c>
      <c r="AJ986">
        <v>1</v>
      </c>
      <c r="AK986">
        <v>7</v>
      </c>
      <c r="AL986" t="s">
        <v>835</v>
      </c>
      <c r="AM986" t="s">
        <v>836</v>
      </c>
      <c r="AN986" t="s">
        <v>837</v>
      </c>
      <c r="AO986" t="s">
        <v>838</v>
      </c>
      <c r="AP986" t="s">
        <v>74</v>
      </c>
      <c r="AQ986" t="s">
        <v>74</v>
      </c>
      <c r="AR986" t="s">
        <v>839</v>
      </c>
      <c r="AS986" t="s">
        <v>840</v>
      </c>
      <c r="AT986" t="s">
        <v>7787</v>
      </c>
      <c r="AU986">
        <v>2022</v>
      </c>
      <c r="AV986">
        <v>53</v>
      </c>
      <c r="AW986">
        <v>3</v>
      </c>
      <c r="AX986" t="s">
        <v>74</v>
      </c>
      <c r="AY986" t="s">
        <v>74</v>
      </c>
      <c r="AZ986" t="s">
        <v>74</v>
      </c>
      <c r="BA986" t="s">
        <v>74</v>
      </c>
      <c r="BB986">
        <v>24</v>
      </c>
      <c r="BC986">
        <v>30</v>
      </c>
      <c r="BD986" t="s">
        <v>74</v>
      </c>
      <c r="BE986" t="s">
        <v>74</v>
      </c>
      <c r="BF986" t="s">
        <v>74</v>
      </c>
      <c r="BG986" t="s">
        <v>74</v>
      </c>
      <c r="BH986" t="s">
        <v>74</v>
      </c>
      <c r="BI986">
        <v>7</v>
      </c>
      <c r="BJ986" t="s">
        <v>842</v>
      </c>
      <c r="BK986" t="s">
        <v>102</v>
      </c>
      <c r="BL986" t="s">
        <v>103</v>
      </c>
      <c r="BM986" t="s">
        <v>18577</v>
      </c>
      <c r="BN986" t="s">
        <v>74</v>
      </c>
      <c r="BO986" t="s">
        <v>74</v>
      </c>
      <c r="BP986" t="s">
        <v>74</v>
      </c>
      <c r="BQ986" t="s">
        <v>74</v>
      </c>
      <c r="BR986" t="s">
        <v>106</v>
      </c>
      <c r="BS986" t="s">
        <v>18578</v>
      </c>
      <c r="BT986" t="str">
        <f>HYPERLINK("https%3A%2F%2Fwww.webofscience.com%2Fwos%2Fwoscc%2Ffull-record%2FWOS:000922190900004","View Full Record in Web of Science")</f>
        <v>View Full Record in Web of Science</v>
      </c>
    </row>
    <row r="987" spans="1:72" x14ac:dyDescent="0.2">
      <c r="A987" t="s">
        <v>72</v>
      </c>
      <c r="B987" t="s">
        <v>18579</v>
      </c>
      <c r="C987" t="s">
        <v>74</v>
      </c>
      <c r="D987" t="s">
        <v>74</v>
      </c>
      <c r="E987" t="s">
        <v>74</v>
      </c>
      <c r="F987" t="s">
        <v>18580</v>
      </c>
      <c r="G987" t="s">
        <v>74</v>
      </c>
      <c r="H987" t="s">
        <v>74</v>
      </c>
      <c r="I987" t="s">
        <v>18581</v>
      </c>
      <c r="J987" t="s">
        <v>828</v>
      </c>
      <c r="K987" t="s">
        <v>74</v>
      </c>
      <c r="L987" t="s">
        <v>74</v>
      </c>
      <c r="M987" t="s">
        <v>78</v>
      </c>
      <c r="N987" t="s">
        <v>79</v>
      </c>
      <c r="O987" t="s">
        <v>74</v>
      </c>
      <c r="P987" t="s">
        <v>74</v>
      </c>
      <c r="Q987" t="s">
        <v>74</v>
      </c>
      <c r="R987" t="s">
        <v>74</v>
      </c>
      <c r="S987" t="s">
        <v>74</v>
      </c>
      <c r="T987" t="s">
        <v>74</v>
      </c>
      <c r="U987" t="s">
        <v>74</v>
      </c>
      <c r="V987" t="s">
        <v>18582</v>
      </c>
      <c r="W987" t="s">
        <v>18583</v>
      </c>
      <c r="X987" t="s">
        <v>18584</v>
      </c>
      <c r="Y987" t="s">
        <v>18585</v>
      </c>
      <c r="Z987" t="s">
        <v>18586</v>
      </c>
      <c r="AA987" t="s">
        <v>74</v>
      </c>
      <c r="AB987" t="s">
        <v>74</v>
      </c>
      <c r="AC987" t="s">
        <v>74</v>
      </c>
      <c r="AD987" t="s">
        <v>74</v>
      </c>
      <c r="AE987" t="s">
        <v>74</v>
      </c>
      <c r="AF987" t="s">
        <v>74</v>
      </c>
      <c r="AG987">
        <v>14</v>
      </c>
      <c r="AH987">
        <v>0</v>
      </c>
      <c r="AI987">
        <v>0</v>
      </c>
      <c r="AJ987">
        <v>1</v>
      </c>
      <c r="AK987">
        <v>2</v>
      </c>
      <c r="AL987" t="s">
        <v>835</v>
      </c>
      <c r="AM987" t="s">
        <v>836</v>
      </c>
      <c r="AN987" t="s">
        <v>3254</v>
      </c>
      <c r="AO987" t="s">
        <v>838</v>
      </c>
      <c r="AP987" t="s">
        <v>74</v>
      </c>
      <c r="AQ987" t="s">
        <v>74</v>
      </c>
      <c r="AR987" t="s">
        <v>839</v>
      </c>
      <c r="AS987" t="s">
        <v>840</v>
      </c>
      <c r="AT987" t="s">
        <v>3255</v>
      </c>
      <c r="AU987">
        <v>2019</v>
      </c>
      <c r="AV987">
        <v>50</v>
      </c>
      <c r="AW987">
        <v>2</v>
      </c>
      <c r="AX987" t="s">
        <v>74</v>
      </c>
      <c r="AY987" t="s">
        <v>74</v>
      </c>
      <c r="AZ987" t="s">
        <v>74</v>
      </c>
      <c r="BA987" t="s">
        <v>74</v>
      </c>
      <c r="BB987">
        <v>94</v>
      </c>
      <c r="BC987">
        <v>98</v>
      </c>
      <c r="BD987" t="s">
        <v>74</v>
      </c>
      <c r="BE987" t="s">
        <v>74</v>
      </c>
      <c r="BF987" t="s">
        <v>74</v>
      </c>
      <c r="BG987" t="s">
        <v>74</v>
      </c>
      <c r="BH987" t="s">
        <v>74</v>
      </c>
      <c r="BI987">
        <v>5</v>
      </c>
      <c r="BJ987" t="s">
        <v>842</v>
      </c>
      <c r="BK987" t="s">
        <v>102</v>
      </c>
      <c r="BL987" t="s">
        <v>103</v>
      </c>
      <c r="BM987" t="s">
        <v>6519</v>
      </c>
      <c r="BN987" t="s">
        <v>74</v>
      </c>
      <c r="BO987" t="s">
        <v>74</v>
      </c>
      <c r="BP987" t="s">
        <v>74</v>
      </c>
      <c r="BQ987" t="s">
        <v>74</v>
      </c>
      <c r="BR987" t="s">
        <v>106</v>
      </c>
      <c r="BS987" t="s">
        <v>18587</v>
      </c>
      <c r="BT987" t="str">
        <f>HYPERLINK("https%3A%2F%2Fwww.webofscience.com%2Fwos%2Fwoscc%2Ffull-record%2FWOS:000481561000014","View Full Record in Web of Science")</f>
        <v>View Full Record in Web of Science</v>
      </c>
    </row>
    <row r="988" spans="1:72" x14ac:dyDescent="0.2">
      <c r="A988" t="s">
        <v>72</v>
      </c>
      <c r="B988" t="s">
        <v>18588</v>
      </c>
      <c r="C988" t="s">
        <v>74</v>
      </c>
      <c r="D988" t="s">
        <v>74</v>
      </c>
      <c r="E988" t="s">
        <v>74</v>
      </c>
      <c r="F988" t="s">
        <v>18589</v>
      </c>
      <c r="G988" t="s">
        <v>74</v>
      </c>
      <c r="H988" t="s">
        <v>74</v>
      </c>
      <c r="I988" t="s">
        <v>18590</v>
      </c>
      <c r="J988" t="s">
        <v>1451</v>
      </c>
      <c r="K988" t="s">
        <v>74</v>
      </c>
      <c r="L988" t="s">
        <v>74</v>
      </c>
      <c r="M988" t="s">
        <v>78</v>
      </c>
      <c r="N988" t="s">
        <v>79</v>
      </c>
      <c r="O988" t="s">
        <v>74</v>
      </c>
      <c r="P988" t="s">
        <v>74</v>
      </c>
      <c r="Q988" t="s">
        <v>74</v>
      </c>
      <c r="R988" t="s">
        <v>74</v>
      </c>
      <c r="S988" t="s">
        <v>74</v>
      </c>
      <c r="T988" t="s">
        <v>18591</v>
      </c>
      <c r="U988" t="s">
        <v>18592</v>
      </c>
      <c r="V988" t="s">
        <v>18593</v>
      </c>
      <c r="W988" t="s">
        <v>18594</v>
      </c>
      <c r="X988" t="s">
        <v>18595</v>
      </c>
      <c r="Y988" t="s">
        <v>18596</v>
      </c>
      <c r="Z988" t="s">
        <v>18597</v>
      </c>
      <c r="AA988" t="s">
        <v>18598</v>
      </c>
      <c r="AB988" t="s">
        <v>18599</v>
      </c>
      <c r="AC988" t="s">
        <v>18600</v>
      </c>
      <c r="AD988" t="s">
        <v>18601</v>
      </c>
      <c r="AE988" t="s">
        <v>18602</v>
      </c>
      <c r="AF988" t="s">
        <v>74</v>
      </c>
      <c r="AG988">
        <v>39</v>
      </c>
      <c r="AH988">
        <v>0</v>
      </c>
      <c r="AI988">
        <v>0</v>
      </c>
      <c r="AJ988">
        <v>8</v>
      </c>
      <c r="AK988">
        <v>16</v>
      </c>
      <c r="AL988" t="s">
        <v>123</v>
      </c>
      <c r="AM988" t="s">
        <v>124</v>
      </c>
      <c r="AN988" t="s">
        <v>125</v>
      </c>
      <c r="AO988" t="s">
        <v>1464</v>
      </c>
      <c r="AP988" t="s">
        <v>1465</v>
      </c>
      <c r="AQ988" t="s">
        <v>74</v>
      </c>
      <c r="AR988" t="s">
        <v>1466</v>
      </c>
      <c r="AS988" t="s">
        <v>1467</v>
      </c>
      <c r="AT988" t="s">
        <v>3270</v>
      </c>
      <c r="AU988">
        <v>2025</v>
      </c>
      <c r="AV988">
        <v>387</v>
      </c>
      <c r="AW988" t="s">
        <v>74</v>
      </c>
      <c r="AX988" t="s">
        <v>74</v>
      </c>
      <c r="AY988" t="s">
        <v>74</v>
      </c>
      <c r="AZ988" t="s">
        <v>74</v>
      </c>
      <c r="BA988" t="s">
        <v>74</v>
      </c>
      <c r="BB988" t="s">
        <v>74</v>
      </c>
      <c r="BC988" t="s">
        <v>74</v>
      </c>
      <c r="BD988">
        <v>109636</v>
      </c>
      <c r="BE988" t="s">
        <v>18603</v>
      </c>
      <c r="BF988" t="str">
        <f>HYPERLINK("http://dx.doi.org/10.1016/j.agee.2025.109636","http://dx.doi.org/10.1016/j.agee.2025.109636")</f>
        <v>http://dx.doi.org/10.1016/j.agee.2025.109636</v>
      </c>
      <c r="BG988" t="s">
        <v>74</v>
      </c>
      <c r="BH988" t="s">
        <v>7812</v>
      </c>
      <c r="BI988">
        <v>9</v>
      </c>
      <c r="BJ988" t="s">
        <v>1470</v>
      </c>
      <c r="BK988" t="s">
        <v>102</v>
      </c>
      <c r="BL988" t="s">
        <v>1471</v>
      </c>
      <c r="BM988" t="s">
        <v>18604</v>
      </c>
      <c r="BN988" t="s">
        <v>74</v>
      </c>
      <c r="BO988" t="s">
        <v>74</v>
      </c>
      <c r="BP988" t="s">
        <v>74</v>
      </c>
      <c r="BQ988" t="s">
        <v>74</v>
      </c>
      <c r="BR988" t="s">
        <v>106</v>
      </c>
      <c r="BS988" t="s">
        <v>18605</v>
      </c>
      <c r="BT988" t="str">
        <f>HYPERLINK("https%3A%2F%2Fwww.webofscience.com%2Fwos%2Fwoscc%2Ffull-record%2FWOS:001457533900001","View Full Record in Web of Science")</f>
        <v>View Full Record in Web of Science</v>
      </c>
    </row>
    <row r="989" spans="1:72" x14ac:dyDescent="0.2">
      <c r="A989" t="s">
        <v>72</v>
      </c>
      <c r="B989" t="s">
        <v>18606</v>
      </c>
      <c r="C989" t="s">
        <v>74</v>
      </c>
      <c r="D989" t="s">
        <v>74</v>
      </c>
      <c r="E989" t="s">
        <v>74</v>
      </c>
      <c r="F989" t="s">
        <v>18607</v>
      </c>
      <c r="G989" t="s">
        <v>74</v>
      </c>
      <c r="H989" t="s">
        <v>74</v>
      </c>
      <c r="I989" t="s">
        <v>18608</v>
      </c>
      <c r="J989" t="s">
        <v>1231</v>
      </c>
      <c r="K989" t="s">
        <v>74</v>
      </c>
      <c r="L989" t="s">
        <v>74</v>
      </c>
      <c r="M989" t="s">
        <v>78</v>
      </c>
      <c r="N989" t="s">
        <v>79</v>
      </c>
      <c r="O989" t="s">
        <v>74</v>
      </c>
      <c r="P989" t="s">
        <v>74</v>
      </c>
      <c r="Q989" t="s">
        <v>74</v>
      </c>
      <c r="R989" t="s">
        <v>74</v>
      </c>
      <c r="S989" t="s">
        <v>74</v>
      </c>
      <c r="T989" t="s">
        <v>18609</v>
      </c>
      <c r="U989" t="s">
        <v>18610</v>
      </c>
      <c r="V989" t="s">
        <v>18611</v>
      </c>
      <c r="W989" t="s">
        <v>18612</v>
      </c>
      <c r="X989" t="s">
        <v>18613</v>
      </c>
      <c r="Y989" t="s">
        <v>18614</v>
      </c>
      <c r="Z989" t="s">
        <v>18615</v>
      </c>
      <c r="AA989" t="s">
        <v>18616</v>
      </c>
      <c r="AB989" t="s">
        <v>18617</v>
      </c>
      <c r="AC989" t="s">
        <v>18618</v>
      </c>
      <c r="AD989" t="s">
        <v>18619</v>
      </c>
      <c r="AE989" t="s">
        <v>18620</v>
      </c>
      <c r="AF989" t="s">
        <v>74</v>
      </c>
      <c r="AG989">
        <v>50</v>
      </c>
      <c r="AH989">
        <v>11</v>
      </c>
      <c r="AI989">
        <v>12</v>
      </c>
      <c r="AJ989">
        <v>1</v>
      </c>
      <c r="AK989">
        <v>8</v>
      </c>
      <c r="AL989" t="s">
        <v>1242</v>
      </c>
      <c r="AM989" t="s">
        <v>1243</v>
      </c>
      <c r="AN989" t="s">
        <v>1244</v>
      </c>
      <c r="AO989" t="s">
        <v>1245</v>
      </c>
      <c r="AP989" t="s">
        <v>1246</v>
      </c>
      <c r="AQ989" t="s">
        <v>74</v>
      </c>
      <c r="AR989" t="s">
        <v>1247</v>
      </c>
      <c r="AS989" t="s">
        <v>1248</v>
      </c>
      <c r="AT989" t="s">
        <v>99</v>
      </c>
      <c r="AU989">
        <v>2023</v>
      </c>
      <c r="AV989">
        <v>30</v>
      </c>
      <c r="AW989">
        <v>13</v>
      </c>
      <c r="AX989" t="s">
        <v>74</v>
      </c>
      <c r="AY989" t="s">
        <v>74</v>
      </c>
      <c r="AZ989" t="s">
        <v>74</v>
      </c>
      <c r="BA989" t="s">
        <v>74</v>
      </c>
      <c r="BB989">
        <v>38425</v>
      </c>
      <c r="BC989">
        <v>38442</v>
      </c>
      <c r="BD989" t="s">
        <v>74</v>
      </c>
      <c r="BE989" t="s">
        <v>18621</v>
      </c>
      <c r="BF989" t="str">
        <f>HYPERLINK("http://dx.doi.org/10.1007/s11356-022-24847-z","http://dx.doi.org/10.1007/s11356-022-24847-z")</f>
        <v>http://dx.doi.org/10.1007/s11356-022-24847-z</v>
      </c>
      <c r="BG989" t="s">
        <v>74</v>
      </c>
      <c r="BH989" t="s">
        <v>9389</v>
      </c>
      <c r="BI989">
        <v>18</v>
      </c>
      <c r="BJ989" t="s">
        <v>567</v>
      </c>
      <c r="BK989" t="s">
        <v>102</v>
      </c>
      <c r="BL989" t="s">
        <v>568</v>
      </c>
      <c r="BM989" t="s">
        <v>18622</v>
      </c>
      <c r="BN989">
        <v>36580255</v>
      </c>
      <c r="BO989" t="s">
        <v>916</v>
      </c>
      <c r="BP989" t="s">
        <v>74</v>
      </c>
      <c r="BQ989" t="s">
        <v>74</v>
      </c>
      <c r="BR989" t="s">
        <v>106</v>
      </c>
      <c r="BS989" t="s">
        <v>18623</v>
      </c>
      <c r="BT989" t="str">
        <f>HYPERLINK("https%3A%2F%2Fwww.webofscience.com%2Fwos%2Fwoscc%2Ffull-record%2FWOS:000905909000003","View Full Record in Web of Science")</f>
        <v>View Full Record in Web of Science</v>
      </c>
    </row>
    <row r="990" spans="1:72" x14ac:dyDescent="0.2">
      <c r="A990" t="s">
        <v>72</v>
      </c>
      <c r="B990" t="s">
        <v>18624</v>
      </c>
      <c r="C990" t="s">
        <v>74</v>
      </c>
      <c r="D990" t="s">
        <v>74</v>
      </c>
      <c r="E990" t="s">
        <v>74</v>
      </c>
      <c r="F990" t="s">
        <v>18625</v>
      </c>
      <c r="G990" t="s">
        <v>74</v>
      </c>
      <c r="H990" t="s">
        <v>74</v>
      </c>
      <c r="I990" t="s">
        <v>18626</v>
      </c>
      <c r="J990" t="s">
        <v>5081</v>
      </c>
      <c r="K990" t="s">
        <v>74</v>
      </c>
      <c r="L990" t="s">
        <v>74</v>
      </c>
      <c r="M990" t="s">
        <v>78</v>
      </c>
      <c r="N990" t="s">
        <v>79</v>
      </c>
      <c r="O990" t="s">
        <v>74</v>
      </c>
      <c r="P990" t="s">
        <v>74</v>
      </c>
      <c r="Q990" t="s">
        <v>74</v>
      </c>
      <c r="R990" t="s">
        <v>74</v>
      </c>
      <c r="S990" t="s">
        <v>74</v>
      </c>
      <c r="T990" t="s">
        <v>18627</v>
      </c>
      <c r="U990" t="s">
        <v>18628</v>
      </c>
      <c r="V990" t="s">
        <v>18629</v>
      </c>
      <c r="W990" t="s">
        <v>18630</v>
      </c>
      <c r="X990" t="s">
        <v>18631</v>
      </c>
      <c r="Y990" t="s">
        <v>18632</v>
      </c>
      <c r="Z990" t="s">
        <v>18633</v>
      </c>
      <c r="AA990" t="s">
        <v>18634</v>
      </c>
      <c r="AB990" t="s">
        <v>18635</v>
      </c>
      <c r="AC990" t="s">
        <v>18636</v>
      </c>
      <c r="AD990" t="s">
        <v>18637</v>
      </c>
      <c r="AE990" t="s">
        <v>18638</v>
      </c>
      <c r="AF990" t="s">
        <v>74</v>
      </c>
      <c r="AG990">
        <v>103</v>
      </c>
      <c r="AH990">
        <v>70</v>
      </c>
      <c r="AI990">
        <v>77</v>
      </c>
      <c r="AJ990">
        <v>17</v>
      </c>
      <c r="AK990">
        <v>208</v>
      </c>
      <c r="AL990" t="s">
        <v>5093</v>
      </c>
      <c r="AM990" t="s">
        <v>676</v>
      </c>
      <c r="AN990" t="s">
        <v>5094</v>
      </c>
      <c r="AO990" t="s">
        <v>5095</v>
      </c>
      <c r="AP990" t="s">
        <v>5096</v>
      </c>
      <c r="AQ990" t="s">
        <v>74</v>
      </c>
      <c r="AR990" t="s">
        <v>5097</v>
      </c>
      <c r="AS990" t="s">
        <v>5098</v>
      </c>
      <c r="AT990" t="s">
        <v>805</v>
      </c>
      <c r="AU990">
        <v>2022</v>
      </c>
      <c r="AV990">
        <v>281</v>
      </c>
      <c r="AW990" t="s">
        <v>74</v>
      </c>
      <c r="AX990" t="s">
        <v>74</v>
      </c>
      <c r="AY990" t="s">
        <v>74</v>
      </c>
      <c r="AZ990" t="s">
        <v>74</v>
      </c>
      <c r="BA990" t="s">
        <v>74</v>
      </c>
      <c r="BB990" t="s">
        <v>74</v>
      </c>
      <c r="BC990" t="s">
        <v>74</v>
      </c>
      <c r="BD990">
        <v>113260</v>
      </c>
      <c r="BE990" t="s">
        <v>18639</v>
      </c>
      <c r="BF990" t="str">
        <f>HYPERLINK("http://dx.doi.org/10.1016/j.rse.2022.113260","http://dx.doi.org/10.1016/j.rse.2022.113260")</f>
        <v>http://dx.doi.org/10.1016/j.rse.2022.113260</v>
      </c>
      <c r="BG990" t="s">
        <v>74</v>
      </c>
      <c r="BH990" t="s">
        <v>14700</v>
      </c>
      <c r="BI990">
        <v>11</v>
      </c>
      <c r="BJ990" t="s">
        <v>5100</v>
      </c>
      <c r="BK990" t="s">
        <v>102</v>
      </c>
      <c r="BL990" t="s">
        <v>5101</v>
      </c>
      <c r="BM990" t="s">
        <v>18640</v>
      </c>
      <c r="BN990" t="s">
        <v>74</v>
      </c>
      <c r="BO990" t="s">
        <v>74</v>
      </c>
      <c r="BP990" t="s">
        <v>74</v>
      </c>
      <c r="BQ990" t="s">
        <v>74</v>
      </c>
      <c r="BR990" t="s">
        <v>106</v>
      </c>
      <c r="BS990" t="s">
        <v>18641</v>
      </c>
      <c r="BT990" t="str">
        <f>HYPERLINK("https%3A%2F%2Fwww.webofscience.com%2Fwos%2Fwoscc%2Ffull-record%2FWOS:000862470800002","View Full Record in Web of Science")</f>
        <v>View Full Record in Web of Science</v>
      </c>
    </row>
    <row r="991" spans="1:72" x14ac:dyDescent="0.2">
      <c r="A991" t="s">
        <v>72</v>
      </c>
      <c r="B991" t="s">
        <v>18642</v>
      </c>
      <c r="C991" t="s">
        <v>74</v>
      </c>
      <c r="D991" t="s">
        <v>74</v>
      </c>
      <c r="E991" t="s">
        <v>74</v>
      </c>
      <c r="F991" t="s">
        <v>18643</v>
      </c>
      <c r="G991" t="s">
        <v>74</v>
      </c>
      <c r="H991" t="s">
        <v>74</v>
      </c>
      <c r="I991" t="s">
        <v>18644</v>
      </c>
      <c r="J991" t="s">
        <v>16111</v>
      </c>
      <c r="K991" t="s">
        <v>74</v>
      </c>
      <c r="L991" t="s">
        <v>74</v>
      </c>
      <c r="M991" t="s">
        <v>78</v>
      </c>
      <c r="N991" t="s">
        <v>79</v>
      </c>
      <c r="O991" t="s">
        <v>74</v>
      </c>
      <c r="P991" t="s">
        <v>74</v>
      </c>
      <c r="Q991" t="s">
        <v>74</v>
      </c>
      <c r="R991" t="s">
        <v>74</v>
      </c>
      <c r="S991" t="s">
        <v>74</v>
      </c>
      <c r="T991" t="s">
        <v>18645</v>
      </c>
      <c r="U991" t="s">
        <v>18646</v>
      </c>
      <c r="V991" t="s">
        <v>18647</v>
      </c>
      <c r="W991" t="s">
        <v>18648</v>
      </c>
      <c r="X991" t="s">
        <v>794</v>
      </c>
      <c r="Y991" t="s">
        <v>18649</v>
      </c>
      <c r="Z991" t="s">
        <v>18650</v>
      </c>
      <c r="AA991" t="s">
        <v>18651</v>
      </c>
      <c r="AB991" t="s">
        <v>18652</v>
      </c>
      <c r="AC991" t="s">
        <v>18653</v>
      </c>
      <c r="AD991" t="s">
        <v>18654</v>
      </c>
      <c r="AE991" t="s">
        <v>18655</v>
      </c>
      <c r="AF991" t="s">
        <v>74</v>
      </c>
      <c r="AG991">
        <v>95</v>
      </c>
      <c r="AH991">
        <v>78</v>
      </c>
      <c r="AI991">
        <v>89</v>
      </c>
      <c r="AJ991">
        <v>24</v>
      </c>
      <c r="AK991">
        <v>308</v>
      </c>
      <c r="AL991" t="s">
        <v>934</v>
      </c>
      <c r="AM991" t="s">
        <v>177</v>
      </c>
      <c r="AN991" t="s">
        <v>935</v>
      </c>
      <c r="AO991" t="s">
        <v>16124</v>
      </c>
      <c r="AP991" t="s">
        <v>16125</v>
      </c>
      <c r="AQ991" t="s">
        <v>74</v>
      </c>
      <c r="AR991" t="s">
        <v>16126</v>
      </c>
      <c r="AS991" t="s">
        <v>16127</v>
      </c>
      <c r="AT991" t="s">
        <v>1109</v>
      </c>
      <c r="AU991">
        <v>2019</v>
      </c>
      <c r="AV991">
        <v>133</v>
      </c>
      <c r="AW991" t="s">
        <v>74</v>
      </c>
      <c r="AX991" t="s">
        <v>4712</v>
      </c>
      <c r="AY991" t="s">
        <v>74</v>
      </c>
      <c r="AZ991" t="s">
        <v>74</v>
      </c>
      <c r="BA991" t="s">
        <v>74</v>
      </c>
      <c r="BB991" t="s">
        <v>74</v>
      </c>
      <c r="BC991" t="s">
        <v>74</v>
      </c>
      <c r="BD991">
        <v>105211</v>
      </c>
      <c r="BE991" t="s">
        <v>18656</v>
      </c>
      <c r="BF991" t="str">
        <f>HYPERLINK("http://dx.doi.org/10.1016/j.envint.2019.105211","http://dx.doi.org/10.1016/j.envint.2019.105211")</f>
        <v>http://dx.doi.org/10.1016/j.envint.2019.105211</v>
      </c>
      <c r="BG991" t="s">
        <v>74</v>
      </c>
      <c r="BH991" t="s">
        <v>74</v>
      </c>
      <c r="BI991">
        <v>11</v>
      </c>
      <c r="BJ991" t="s">
        <v>567</v>
      </c>
      <c r="BK991" t="s">
        <v>102</v>
      </c>
      <c r="BL991" t="s">
        <v>568</v>
      </c>
      <c r="BM991" t="s">
        <v>18657</v>
      </c>
      <c r="BN991">
        <v>31675569</v>
      </c>
      <c r="BO991" t="s">
        <v>161</v>
      </c>
      <c r="BP991" t="s">
        <v>74</v>
      </c>
      <c r="BQ991" t="s">
        <v>74</v>
      </c>
      <c r="BR991" t="s">
        <v>106</v>
      </c>
      <c r="BS991" t="s">
        <v>18658</v>
      </c>
      <c r="BT991" t="str">
        <f>HYPERLINK("https%3A%2F%2Fwww.webofscience.com%2Fwos%2Fwoscc%2Ffull-record%2FWOS:000498906200020","View Full Record in Web of Science")</f>
        <v>View Full Record in Web of Science</v>
      </c>
    </row>
    <row r="992" spans="1:72" x14ac:dyDescent="0.2">
      <c r="A992" t="s">
        <v>72</v>
      </c>
      <c r="B992" t="s">
        <v>18659</v>
      </c>
      <c r="C992" t="s">
        <v>74</v>
      </c>
      <c r="D992" t="s">
        <v>74</v>
      </c>
      <c r="E992" t="s">
        <v>74</v>
      </c>
      <c r="F992" t="s">
        <v>18660</v>
      </c>
      <c r="G992" t="s">
        <v>74</v>
      </c>
      <c r="H992" t="s">
        <v>74</v>
      </c>
      <c r="I992" t="s">
        <v>18661</v>
      </c>
      <c r="J992" t="s">
        <v>4261</v>
      </c>
      <c r="K992" t="s">
        <v>74</v>
      </c>
      <c r="L992" t="s">
        <v>74</v>
      </c>
      <c r="M992" t="s">
        <v>78</v>
      </c>
      <c r="N992" t="s">
        <v>79</v>
      </c>
      <c r="O992" t="s">
        <v>74</v>
      </c>
      <c r="P992" t="s">
        <v>74</v>
      </c>
      <c r="Q992" t="s">
        <v>74</v>
      </c>
      <c r="R992" t="s">
        <v>74</v>
      </c>
      <c r="S992" t="s">
        <v>74</v>
      </c>
      <c r="T992" t="s">
        <v>18662</v>
      </c>
      <c r="U992" t="s">
        <v>18663</v>
      </c>
      <c r="V992" t="s">
        <v>18664</v>
      </c>
      <c r="W992" t="s">
        <v>18665</v>
      </c>
      <c r="X992" t="s">
        <v>74</v>
      </c>
      <c r="Y992" t="s">
        <v>18666</v>
      </c>
      <c r="Z992" t="s">
        <v>18667</v>
      </c>
      <c r="AA992" t="s">
        <v>18668</v>
      </c>
      <c r="AB992" t="s">
        <v>18669</v>
      </c>
      <c r="AC992" t="s">
        <v>18670</v>
      </c>
      <c r="AD992" t="s">
        <v>18671</v>
      </c>
      <c r="AE992" t="s">
        <v>18672</v>
      </c>
      <c r="AF992" t="s">
        <v>74</v>
      </c>
      <c r="AG992">
        <v>90</v>
      </c>
      <c r="AH992">
        <v>14</v>
      </c>
      <c r="AI992">
        <v>14</v>
      </c>
      <c r="AJ992">
        <v>1</v>
      </c>
      <c r="AK992">
        <v>26</v>
      </c>
      <c r="AL992" t="s">
        <v>1242</v>
      </c>
      <c r="AM992" t="s">
        <v>1243</v>
      </c>
      <c r="AN992" t="s">
        <v>1244</v>
      </c>
      <c r="AO992" t="s">
        <v>4271</v>
      </c>
      <c r="AP992" t="s">
        <v>4272</v>
      </c>
      <c r="AQ992" t="s">
        <v>74</v>
      </c>
      <c r="AR992" t="s">
        <v>4273</v>
      </c>
      <c r="AS992" t="s">
        <v>4274</v>
      </c>
      <c r="AT992" t="s">
        <v>281</v>
      </c>
      <c r="AU992">
        <v>2022</v>
      </c>
      <c r="AV992">
        <v>22</v>
      </c>
      <c r="AW992">
        <v>2</v>
      </c>
      <c r="AX992" t="s">
        <v>74</v>
      </c>
      <c r="AY992" t="s">
        <v>74</v>
      </c>
      <c r="AZ992" t="s">
        <v>74</v>
      </c>
      <c r="BA992" t="s">
        <v>74</v>
      </c>
      <c r="BB992" t="s">
        <v>74</v>
      </c>
      <c r="BC992" t="s">
        <v>74</v>
      </c>
      <c r="BD992">
        <v>49</v>
      </c>
      <c r="BE992" t="s">
        <v>18673</v>
      </c>
      <c r="BF992" t="str">
        <f>HYPERLINK("http://dx.doi.org/10.1007/s10113-022-01907-1","http://dx.doi.org/10.1007/s10113-022-01907-1")</f>
        <v>http://dx.doi.org/10.1007/s10113-022-01907-1</v>
      </c>
      <c r="BG992" t="s">
        <v>74</v>
      </c>
      <c r="BH992" t="s">
        <v>74</v>
      </c>
      <c r="BI992">
        <v>15</v>
      </c>
      <c r="BJ992" t="s">
        <v>593</v>
      </c>
      <c r="BK992" t="s">
        <v>186</v>
      </c>
      <c r="BL992" t="s">
        <v>568</v>
      </c>
      <c r="BM992" t="s">
        <v>18674</v>
      </c>
      <c r="BN992" t="s">
        <v>74</v>
      </c>
      <c r="BO992" t="s">
        <v>74</v>
      </c>
      <c r="BP992" t="s">
        <v>74</v>
      </c>
      <c r="BQ992" t="s">
        <v>74</v>
      </c>
      <c r="BR992" t="s">
        <v>106</v>
      </c>
      <c r="BS992" t="s">
        <v>18675</v>
      </c>
      <c r="BT992" t="str">
        <f>HYPERLINK("https%3A%2F%2Fwww.webofscience.com%2Fwos%2Fwoscc%2Ffull-record%2FWOS:000772809700001","View Full Record in Web of Science")</f>
        <v>View Full Record in Web of Science</v>
      </c>
    </row>
    <row r="993" spans="1:72" x14ac:dyDescent="0.2">
      <c r="A993" t="s">
        <v>72</v>
      </c>
      <c r="B993" t="s">
        <v>18676</v>
      </c>
      <c r="C993" t="s">
        <v>74</v>
      </c>
      <c r="D993" t="s">
        <v>74</v>
      </c>
      <c r="E993" t="s">
        <v>74</v>
      </c>
      <c r="F993" t="s">
        <v>18677</v>
      </c>
      <c r="G993" t="s">
        <v>74</v>
      </c>
      <c r="H993" t="s">
        <v>74</v>
      </c>
      <c r="I993" t="s">
        <v>18678</v>
      </c>
      <c r="J993" t="s">
        <v>995</v>
      </c>
      <c r="K993" t="s">
        <v>74</v>
      </c>
      <c r="L993" t="s">
        <v>74</v>
      </c>
      <c r="M993" t="s">
        <v>78</v>
      </c>
      <c r="N993" t="s">
        <v>79</v>
      </c>
      <c r="O993" t="s">
        <v>74</v>
      </c>
      <c r="P993" t="s">
        <v>74</v>
      </c>
      <c r="Q993" t="s">
        <v>74</v>
      </c>
      <c r="R993" t="s">
        <v>74</v>
      </c>
      <c r="S993" t="s">
        <v>74</v>
      </c>
      <c r="T993" t="s">
        <v>18679</v>
      </c>
      <c r="U993" t="s">
        <v>18680</v>
      </c>
      <c r="V993" t="s">
        <v>18681</v>
      </c>
      <c r="W993" t="s">
        <v>18682</v>
      </c>
      <c r="X993" t="s">
        <v>8412</v>
      </c>
      <c r="Y993" t="s">
        <v>18683</v>
      </c>
      <c r="Z993" t="s">
        <v>18684</v>
      </c>
      <c r="AA993" t="s">
        <v>18685</v>
      </c>
      <c r="AB993" t="s">
        <v>18686</v>
      </c>
      <c r="AC993" t="s">
        <v>18687</v>
      </c>
      <c r="AD993" t="s">
        <v>18688</v>
      </c>
      <c r="AE993" t="s">
        <v>18689</v>
      </c>
      <c r="AF993" t="s">
        <v>74</v>
      </c>
      <c r="AG993">
        <v>108</v>
      </c>
      <c r="AH993">
        <v>18</v>
      </c>
      <c r="AI993">
        <v>22</v>
      </c>
      <c r="AJ993">
        <v>14</v>
      </c>
      <c r="AK993">
        <v>113</v>
      </c>
      <c r="AL993" t="s">
        <v>123</v>
      </c>
      <c r="AM993" t="s">
        <v>124</v>
      </c>
      <c r="AN993" t="s">
        <v>125</v>
      </c>
      <c r="AO993" t="s">
        <v>1008</v>
      </c>
      <c r="AP993" t="s">
        <v>1009</v>
      </c>
      <c r="AQ993" t="s">
        <v>74</v>
      </c>
      <c r="AR993" t="s">
        <v>1010</v>
      </c>
      <c r="AS993" t="s">
        <v>1011</v>
      </c>
      <c r="AT993" t="s">
        <v>9883</v>
      </c>
      <c r="AU993">
        <v>2022</v>
      </c>
      <c r="AV993">
        <v>833</v>
      </c>
      <c r="AW993" t="s">
        <v>74</v>
      </c>
      <c r="AX993" t="s">
        <v>74</v>
      </c>
      <c r="AY993" t="s">
        <v>74</v>
      </c>
      <c r="AZ993" t="s">
        <v>74</v>
      </c>
      <c r="BA993" t="s">
        <v>74</v>
      </c>
      <c r="BB993" t="s">
        <v>74</v>
      </c>
      <c r="BC993" t="s">
        <v>74</v>
      </c>
      <c r="BD993">
        <v>155186</v>
      </c>
      <c r="BE993" t="s">
        <v>18690</v>
      </c>
      <c r="BF993" t="str">
        <f>HYPERLINK("http://dx.doi.org/10.1016/j.scitotenv.2022.155186","http://dx.doi.org/10.1016/j.scitotenv.2022.155186")</f>
        <v>http://dx.doi.org/10.1016/j.scitotenv.2022.155186</v>
      </c>
      <c r="BG993" t="s">
        <v>74</v>
      </c>
      <c r="BH993" t="s">
        <v>2293</v>
      </c>
      <c r="BI993">
        <v>13</v>
      </c>
      <c r="BJ993" t="s">
        <v>567</v>
      </c>
      <c r="BK993" t="s">
        <v>102</v>
      </c>
      <c r="BL993" t="s">
        <v>568</v>
      </c>
      <c r="BM993" t="s">
        <v>18691</v>
      </c>
      <c r="BN993">
        <v>35421483</v>
      </c>
      <c r="BO993" t="s">
        <v>74</v>
      </c>
      <c r="BP993" t="s">
        <v>74</v>
      </c>
      <c r="BQ993" t="s">
        <v>74</v>
      </c>
      <c r="BR993" t="s">
        <v>106</v>
      </c>
      <c r="BS993" t="s">
        <v>18692</v>
      </c>
      <c r="BT993" t="str">
        <f>HYPERLINK("https%3A%2F%2Fwww.webofscience.com%2Fwos%2Fwoscc%2Ffull-record%2FWOS:000808120000002","View Full Record in Web of Science")</f>
        <v>View Full Record in Web of Science</v>
      </c>
    </row>
    <row r="994" spans="1:72" x14ac:dyDescent="0.2">
      <c r="A994" t="s">
        <v>72</v>
      </c>
      <c r="B994" t="s">
        <v>18693</v>
      </c>
      <c r="C994" t="s">
        <v>74</v>
      </c>
      <c r="D994" t="s">
        <v>74</v>
      </c>
      <c r="E994" t="s">
        <v>74</v>
      </c>
      <c r="F994" t="s">
        <v>18694</v>
      </c>
      <c r="G994" t="s">
        <v>74</v>
      </c>
      <c r="H994" t="s">
        <v>74</v>
      </c>
      <c r="I994" t="s">
        <v>18695</v>
      </c>
      <c r="J994" t="s">
        <v>468</v>
      </c>
      <c r="K994" t="s">
        <v>74</v>
      </c>
      <c r="L994" t="s">
        <v>74</v>
      </c>
      <c r="M994" t="s">
        <v>78</v>
      </c>
      <c r="N994" t="s">
        <v>79</v>
      </c>
      <c r="O994" t="s">
        <v>74</v>
      </c>
      <c r="P994" t="s">
        <v>74</v>
      </c>
      <c r="Q994" t="s">
        <v>74</v>
      </c>
      <c r="R994" t="s">
        <v>74</v>
      </c>
      <c r="S994" t="s">
        <v>74</v>
      </c>
      <c r="T994" t="s">
        <v>18696</v>
      </c>
      <c r="U994" t="s">
        <v>18697</v>
      </c>
      <c r="V994" t="s">
        <v>18698</v>
      </c>
      <c r="W994" t="s">
        <v>18699</v>
      </c>
      <c r="X994" t="s">
        <v>18700</v>
      </c>
      <c r="Y994" t="s">
        <v>18701</v>
      </c>
      <c r="Z994" t="s">
        <v>18702</v>
      </c>
      <c r="AA994" t="s">
        <v>18703</v>
      </c>
      <c r="AB994" t="s">
        <v>18704</v>
      </c>
      <c r="AC994" t="s">
        <v>18705</v>
      </c>
      <c r="AD994" t="s">
        <v>18706</v>
      </c>
      <c r="AE994" t="s">
        <v>18707</v>
      </c>
      <c r="AF994" t="s">
        <v>74</v>
      </c>
      <c r="AG994">
        <v>51</v>
      </c>
      <c r="AH994">
        <v>9</v>
      </c>
      <c r="AI994">
        <v>11</v>
      </c>
      <c r="AJ994">
        <v>8</v>
      </c>
      <c r="AK994">
        <v>71</v>
      </c>
      <c r="AL994" t="s">
        <v>222</v>
      </c>
      <c r="AM994" t="s">
        <v>223</v>
      </c>
      <c r="AN994" t="s">
        <v>224</v>
      </c>
      <c r="AO994" t="s">
        <v>74</v>
      </c>
      <c r="AP994" t="s">
        <v>479</v>
      </c>
      <c r="AQ994" t="s">
        <v>74</v>
      </c>
      <c r="AR994" t="s">
        <v>480</v>
      </c>
      <c r="AS994" t="s">
        <v>481</v>
      </c>
      <c r="AT994" t="s">
        <v>99</v>
      </c>
      <c r="AU994">
        <v>2023</v>
      </c>
      <c r="AV994">
        <v>15</v>
      </c>
      <c r="AW994">
        <v>6</v>
      </c>
      <c r="AX994" t="s">
        <v>74</v>
      </c>
      <c r="AY994" t="s">
        <v>74</v>
      </c>
      <c r="AZ994" t="s">
        <v>74</v>
      </c>
      <c r="BA994" t="s">
        <v>74</v>
      </c>
      <c r="BB994" t="s">
        <v>74</v>
      </c>
      <c r="BC994" t="s">
        <v>74</v>
      </c>
      <c r="BD994">
        <v>5100</v>
      </c>
      <c r="BE994" t="s">
        <v>18708</v>
      </c>
      <c r="BF994" t="str">
        <f>HYPERLINK("http://dx.doi.org/10.3390/su15065100","http://dx.doi.org/10.3390/su15065100")</f>
        <v>http://dx.doi.org/10.3390/su15065100</v>
      </c>
      <c r="BG994" t="s">
        <v>74</v>
      </c>
      <c r="BH994" t="s">
        <v>74</v>
      </c>
      <c r="BI994">
        <v>16</v>
      </c>
      <c r="BJ994" t="s">
        <v>484</v>
      </c>
      <c r="BK994" t="s">
        <v>186</v>
      </c>
      <c r="BL994" t="s">
        <v>485</v>
      </c>
      <c r="BM994" t="s">
        <v>18709</v>
      </c>
      <c r="BN994" t="s">
        <v>74</v>
      </c>
      <c r="BO994" t="s">
        <v>161</v>
      </c>
      <c r="BP994" t="s">
        <v>74</v>
      </c>
      <c r="BQ994" t="s">
        <v>74</v>
      </c>
      <c r="BR994" t="s">
        <v>106</v>
      </c>
      <c r="BS994" t="s">
        <v>18710</v>
      </c>
      <c r="BT994" t="str">
        <f>HYPERLINK("https%3A%2F%2Fwww.webofscience.com%2Fwos%2Fwoscc%2Ffull-record%2FWOS:000959715700001","View Full Record in Web of Science")</f>
        <v>View Full Record in Web of Science</v>
      </c>
    </row>
    <row r="995" spans="1:72" x14ac:dyDescent="0.2">
      <c r="A995" t="s">
        <v>72</v>
      </c>
      <c r="B995" t="s">
        <v>18711</v>
      </c>
      <c r="C995" t="s">
        <v>74</v>
      </c>
      <c r="D995" t="s">
        <v>74</v>
      </c>
      <c r="E995" t="s">
        <v>74</v>
      </c>
      <c r="F995" t="s">
        <v>18712</v>
      </c>
      <c r="G995" t="s">
        <v>74</v>
      </c>
      <c r="H995" t="s">
        <v>74</v>
      </c>
      <c r="I995" t="s">
        <v>18713</v>
      </c>
      <c r="J995" t="s">
        <v>546</v>
      </c>
      <c r="K995" t="s">
        <v>74</v>
      </c>
      <c r="L995" t="s">
        <v>74</v>
      </c>
      <c r="M995" t="s">
        <v>78</v>
      </c>
      <c r="N995" t="s">
        <v>79</v>
      </c>
      <c r="O995" t="s">
        <v>74</v>
      </c>
      <c r="P995" t="s">
        <v>74</v>
      </c>
      <c r="Q995" t="s">
        <v>74</v>
      </c>
      <c r="R995" t="s">
        <v>74</v>
      </c>
      <c r="S995" t="s">
        <v>74</v>
      </c>
      <c r="T995" t="s">
        <v>18714</v>
      </c>
      <c r="U995" t="s">
        <v>18715</v>
      </c>
      <c r="V995" t="s">
        <v>18716</v>
      </c>
      <c r="W995" t="s">
        <v>18717</v>
      </c>
      <c r="X995" t="s">
        <v>18718</v>
      </c>
      <c r="Y995" t="s">
        <v>18719</v>
      </c>
      <c r="Z995" t="s">
        <v>18720</v>
      </c>
      <c r="AA995" t="s">
        <v>18721</v>
      </c>
      <c r="AB995" t="s">
        <v>18722</v>
      </c>
      <c r="AC995" t="s">
        <v>74</v>
      </c>
      <c r="AD995" t="s">
        <v>74</v>
      </c>
      <c r="AE995" t="s">
        <v>74</v>
      </c>
      <c r="AF995" t="s">
        <v>74</v>
      </c>
      <c r="AG995">
        <v>70</v>
      </c>
      <c r="AH995">
        <v>4</v>
      </c>
      <c r="AI995">
        <v>4</v>
      </c>
      <c r="AJ995">
        <v>34</v>
      </c>
      <c r="AK995">
        <v>34</v>
      </c>
      <c r="AL995" t="s">
        <v>559</v>
      </c>
      <c r="AM995" t="s">
        <v>93</v>
      </c>
      <c r="AN995" t="s">
        <v>560</v>
      </c>
      <c r="AO995" t="s">
        <v>561</v>
      </c>
      <c r="AP995" t="s">
        <v>562</v>
      </c>
      <c r="AQ995" t="s">
        <v>74</v>
      </c>
      <c r="AR995" t="s">
        <v>563</v>
      </c>
      <c r="AS995" t="s">
        <v>564</v>
      </c>
      <c r="AT995" t="s">
        <v>1963</v>
      </c>
      <c r="AU995">
        <v>2025</v>
      </c>
      <c r="AV995">
        <v>392</v>
      </c>
      <c r="AW995" t="s">
        <v>74</v>
      </c>
      <c r="AX995" t="s">
        <v>74</v>
      </c>
      <c r="AY995" t="s">
        <v>74</v>
      </c>
      <c r="AZ995" t="s">
        <v>74</v>
      </c>
      <c r="BA995" t="s">
        <v>74</v>
      </c>
      <c r="BB995" t="s">
        <v>74</v>
      </c>
      <c r="BC995" t="s">
        <v>74</v>
      </c>
      <c r="BD995">
        <v>126700</v>
      </c>
      <c r="BE995" t="s">
        <v>18723</v>
      </c>
      <c r="BF995" t="str">
        <f>HYPERLINK("http://dx.doi.org/10.1016/j.jenvman.2025.126700","http://dx.doi.org/10.1016/j.jenvman.2025.126700")</f>
        <v>http://dx.doi.org/10.1016/j.jenvman.2025.126700</v>
      </c>
      <c r="BG995" t="s">
        <v>74</v>
      </c>
      <c r="BH995" t="s">
        <v>1338</v>
      </c>
      <c r="BI995">
        <v>16</v>
      </c>
      <c r="BJ995" t="s">
        <v>567</v>
      </c>
      <c r="BK995" t="s">
        <v>102</v>
      </c>
      <c r="BL995" t="s">
        <v>568</v>
      </c>
      <c r="BM995" t="s">
        <v>18724</v>
      </c>
      <c r="BN995">
        <v>40714453</v>
      </c>
      <c r="BO995" t="s">
        <v>74</v>
      </c>
      <c r="BP995" t="s">
        <v>74</v>
      </c>
      <c r="BQ995" t="s">
        <v>74</v>
      </c>
      <c r="BR995" t="s">
        <v>106</v>
      </c>
      <c r="BS995" t="s">
        <v>18725</v>
      </c>
      <c r="BT995" t="str">
        <f>HYPERLINK("https%3A%2F%2Fwww.webofscience.com%2Fwos%2Fwoscc%2Ffull-record%2FWOS:001552250400001","View Full Record in Web of Science")</f>
        <v>View Full Record in Web of Science</v>
      </c>
    </row>
    <row r="996" spans="1:72" x14ac:dyDescent="0.2">
      <c r="A996" t="s">
        <v>72</v>
      </c>
      <c r="B996" t="s">
        <v>18726</v>
      </c>
      <c r="C996" t="s">
        <v>74</v>
      </c>
      <c r="D996" t="s">
        <v>74</v>
      </c>
      <c r="E996" t="s">
        <v>74</v>
      </c>
      <c r="F996" t="s">
        <v>18727</v>
      </c>
      <c r="G996" t="s">
        <v>74</v>
      </c>
      <c r="H996" t="s">
        <v>74</v>
      </c>
      <c r="I996" t="s">
        <v>18728</v>
      </c>
      <c r="J996" t="s">
        <v>18729</v>
      </c>
      <c r="K996" t="s">
        <v>74</v>
      </c>
      <c r="L996" t="s">
        <v>74</v>
      </c>
      <c r="M996" t="s">
        <v>78</v>
      </c>
      <c r="N996" t="s">
        <v>79</v>
      </c>
      <c r="O996" t="s">
        <v>74</v>
      </c>
      <c r="P996" t="s">
        <v>74</v>
      </c>
      <c r="Q996" t="s">
        <v>74</v>
      </c>
      <c r="R996" t="s">
        <v>74</v>
      </c>
      <c r="S996" t="s">
        <v>74</v>
      </c>
      <c r="T996" t="s">
        <v>18730</v>
      </c>
      <c r="U996" t="s">
        <v>18731</v>
      </c>
      <c r="V996" t="s">
        <v>18732</v>
      </c>
      <c r="W996" t="s">
        <v>18733</v>
      </c>
      <c r="X996" t="s">
        <v>18734</v>
      </c>
      <c r="Y996" t="s">
        <v>18735</v>
      </c>
      <c r="Z996" t="s">
        <v>18736</v>
      </c>
      <c r="AA996" t="s">
        <v>74</v>
      </c>
      <c r="AB996" t="s">
        <v>74</v>
      </c>
      <c r="AC996" t="s">
        <v>18737</v>
      </c>
      <c r="AD996" t="s">
        <v>18738</v>
      </c>
      <c r="AE996" t="s">
        <v>18739</v>
      </c>
      <c r="AF996" t="s">
        <v>74</v>
      </c>
      <c r="AG996">
        <v>67</v>
      </c>
      <c r="AH996">
        <v>12</v>
      </c>
      <c r="AI996">
        <v>14</v>
      </c>
      <c r="AJ996">
        <v>16</v>
      </c>
      <c r="AK996">
        <v>57</v>
      </c>
      <c r="AL996" t="s">
        <v>247</v>
      </c>
      <c r="AM996" t="s">
        <v>248</v>
      </c>
      <c r="AN996" t="s">
        <v>249</v>
      </c>
      <c r="AO996" t="s">
        <v>18740</v>
      </c>
      <c r="AP996" t="s">
        <v>18741</v>
      </c>
      <c r="AQ996" t="s">
        <v>74</v>
      </c>
      <c r="AR996" t="s">
        <v>18742</v>
      </c>
      <c r="AS996" t="s">
        <v>18743</v>
      </c>
      <c r="AT996" t="s">
        <v>2017</v>
      </c>
      <c r="AU996">
        <v>2023</v>
      </c>
      <c r="AV996">
        <v>54</v>
      </c>
      <c r="AW996">
        <v>5</v>
      </c>
      <c r="AX996" t="s">
        <v>74</v>
      </c>
      <c r="AY996" t="s">
        <v>74</v>
      </c>
      <c r="AZ996" t="s">
        <v>74</v>
      </c>
      <c r="BA996" t="s">
        <v>74</v>
      </c>
      <c r="BB996">
        <v>1354</v>
      </c>
      <c r="BC996">
        <v>1366</v>
      </c>
      <c r="BD996" t="s">
        <v>74</v>
      </c>
      <c r="BE996" t="s">
        <v>18744</v>
      </c>
      <c r="BF996" t="str">
        <f>HYPERLINK("http://dx.doi.org/10.1111/jwas.12990","http://dx.doi.org/10.1111/jwas.12990")</f>
        <v>http://dx.doi.org/10.1111/jwas.12990</v>
      </c>
      <c r="BG996" t="s">
        <v>74</v>
      </c>
      <c r="BH996" t="s">
        <v>5971</v>
      </c>
      <c r="BI996">
        <v>13</v>
      </c>
      <c r="BJ996" t="s">
        <v>12647</v>
      </c>
      <c r="BK996" t="s">
        <v>102</v>
      </c>
      <c r="BL996" t="s">
        <v>12647</v>
      </c>
      <c r="BM996" t="s">
        <v>18745</v>
      </c>
      <c r="BN996" t="s">
        <v>74</v>
      </c>
      <c r="BO996" t="s">
        <v>231</v>
      </c>
      <c r="BP996" t="s">
        <v>74</v>
      </c>
      <c r="BQ996" t="s">
        <v>74</v>
      </c>
      <c r="BR996" t="s">
        <v>106</v>
      </c>
      <c r="BS996" t="s">
        <v>18746</v>
      </c>
      <c r="BT996" t="str">
        <f>HYPERLINK("https%3A%2F%2Fwww.webofscience.com%2Fwos%2Fwoscc%2Ffull-record%2FWOS:001000162500001","View Full Record in Web of Science")</f>
        <v>View Full Record in Web of Science</v>
      </c>
    </row>
    <row r="997" spans="1:72" x14ac:dyDescent="0.2">
      <c r="A997" t="s">
        <v>72</v>
      </c>
      <c r="B997" t="s">
        <v>18747</v>
      </c>
      <c r="C997" t="s">
        <v>74</v>
      </c>
      <c r="D997" t="s">
        <v>74</v>
      </c>
      <c r="E997" t="s">
        <v>74</v>
      </c>
      <c r="F997" t="s">
        <v>18748</v>
      </c>
      <c r="G997" t="s">
        <v>74</v>
      </c>
      <c r="H997" t="s">
        <v>74</v>
      </c>
      <c r="I997" t="s">
        <v>18749</v>
      </c>
      <c r="J997" t="s">
        <v>18750</v>
      </c>
      <c r="K997" t="s">
        <v>74</v>
      </c>
      <c r="L997" t="s">
        <v>74</v>
      </c>
      <c r="M997" t="s">
        <v>78</v>
      </c>
      <c r="N997" t="s">
        <v>79</v>
      </c>
      <c r="O997" t="s">
        <v>74</v>
      </c>
      <c r="P997" t="s">
        <v>74</v>
      </c>
      <c r="Q997" t="s">
        <v>74</v>
      </c>
      <c r="R997" t="s">
        <v>74</v>
      </c>
      <c r="S997" t="s">
        <v>74</v>
      </c>
      <c r="T997" t="s">
        <v>18751</v>
      </c>
      <c r="U997" t="s">
        <v>18752</v>
      </c>
      <c r="V997" t="s">
        <v>18753</v>
      </c>
      <c r="W997" t="s">
        <v>18754</v>
      </c>
      <c r="X997" t="s">
        <v>9876</v>
      </c>
      <c r="Y997" t="s">
        <v>18755</v>
      </c>
      <c r="Z997" t="s">
        <v>18756</v>
      </c>
      <c r="AA997" t="s">
        <v>18757</v>
      </c>
      <c r="AB997" t="s">
        <v>18758</v>
      </c>
      <c r="AC997" t="s">
        <v>18759</v>
      </c>
      <c r="AD997" t="s">
        <v>1591</v>
      </c>
      <c r="AE997" t="s">
        <v>18760</v>
      </c>
      <c r="AF997" t="s">
        <v>74</v>
      </c>
      <c r="AG997">
        <v>47</v>
      </c>
      <c r="AH997">
        <v>1</v>
      </c>
      <c r="AI997">
        <v>2</v>
      </c>
      <c r="AJ997">
        <v>26</v>
      </c>
      <c r="AK997">
        <v>35</v>
      </c>
      <c r="AL997" t="s">
        <v>176</v>
      </c>
      <c r="AM997" t="s">
        <v>1610</v>
      </c>
      <c r="AN997" t="s">
        <v>1611</v>
      </c>
      <c r="AO997" t="s">
        <v>18761</v>
      </c>
      <c r="AP997" t="s">
        <v>18762</v>
      </c>
      <c r="AQ997" t="s">
        <v>74</v>
      </c>
      <c r="AR997" t="s">
        <v>18763</v>
      </c>
      <c r="AS997" t="s">
        <v>18764</v>
      </c>
      <c r="AT997" t="s">
        <v>18765</v>
      </c>
      <c r="AU997">
        <v>2025</v>
      </c>
      <c r="AV997">
        <v>263</v>
      </c>
      <c r="AW997" t="s">
        <v>74</v>
      </c>
      <c r="AX997" t="s">
        <v>74</v>
      </c>
      <c r="AY997" t="s">
        <v>74</v>
      </c>
      <c r="AZ997" t="s">
        <v>74</v>
      </c>
      <c r="BA997" t="s">
        <v>74</v>
      </c>
      <c r="BB997" t="s">
        <v>74</v>
      </c>
      <c r="BC997" t="s">
        <v>74</v>
      </c>
      <c r="BD997">
        <v>111097</v>
      </c>
      <c r="BE997" t="s">
        <v>18766</v>
      </c>
      <c r="BF997" t="str">
        <f>HYPERLINK("http://dx.doi.org/10.1016/j.compscitech.2025.111097","http://dx.doi.org/10.1016/j.compscitech.2025.111097")</f>
        <v>http://dx.doi.org/10.1016/j.compscitech.2025.111097</v>
      </c>
      <c r="BG997" t="s">
        <v>74</v>
      </c>
      <c r="BH997" t="s">
        <v>1495</v>
      </c>
      <c r="BI997">
        <v>10</v>
      </c>
      <c r="BJ997" t="s">
        <v>18767</v>
      </c>
      <c r="BK997" t="s">
        <v>102</v>
      </c>
      <c r="BL997" t="s">
        <v>2143</v>
      </c>
      <c r="BM997" t="s">
        <v>18768</v>
      </c>
      <c r="BN997" t="s">
        <v>74</v>
      </c>
      <c r="BO997" t="s">
        <v>74</v>
      </c>
      <c r="BP997" t="s">
        <v>74</v>
      </c>
      <c r="BQ997" t="s">
        <v>74</v>
      </c>
      <c r="BR997" t="s">
        <v>106</v>
      </c>
      <c r="BS997" t="s">
        <v>18769</v>
      </c>
      <c r="BT997" t="str">
        <f>HYPERLINK("https%3A%2F%2Fwww.webofscience.com%2Fwos%2Fwoscc%2Ffull-record%2FWOS:001425551900001","View Full Record in Web of Science")</f>
        <v>View Full Record in Web of Science</v>
      </c>
    </row>
    <row r="998" spans="1:72" x14ac:dyDescent="0.2">
      <c r="A998" t="s">
        <v>72</v>
      </c>
      <c r="B998" t="s">
        <v>18770</v>
      </c>
      <c r="C998" t="s">
        <v>74</v>
      </c>
      <c r="D998" t="s">
        <v>74</v>
      </c>
      <c r="E998" t="s">
        <v>74</v>
      </c>
      <c r="F998" t="s">
        <v>18771</v>
      </c>
      <c r="G998" t="s">
        <v>74</v>
      </c>
      <c r="H998" t="s">
        <v>74</v>
      </c>
      <c r="I998" t="s">
        <v>18772</v>
      </c>
      <c r="J998" t="s">
        <v>2236</v>
      </c>
      <c r="K998" t="s">
        <v>74</v>
      </c>
      <c r="L998" t="s">
        <v>74</v>
      </c>
      <c r="M998" t="s">
        <v>78</v>
      </c>
      <c r="N998" t="s">
        <v>79</v>
      </c>
      <c r="O998" t="s">
        <v>74</v>
      </c>
      <c r="P998" t="s">
        <v>74</v>
      </c>
      <c r="Q998" t="s">
        <v>74</v>
      </c>
      <c r="R998" t="s">
        <v>74</v>
      </c>
      <c r="S998" t="s">
        <v>74</v>
      </c>
      <c r="T998" t="s">
        <v>18773</v>
      </c>
      <c r="U998" t="s">
        <v>18774</v>
      </c>
      <c r="V998" t="s">
        <v>18775</v>
      </c>
      <c r="W998" t="s">
        <v>18776</v>
      </c>
      <c r="X998" t="s">
        <v>18777</v>
      </c>
      <c r="Y998" t="s">
        <v>18778</v>
      </c>
      <c r="Z998" t="s">
        <v>18779</v>
      </c>
      <c r="AA998" t="s">
        <v>74</v>
      </c>
      <c r="AB998" t="s">
        <v>74</v>
      </c>
      <c r="AC998" t="s">
        <v>18780</v>
      </c>
      <c r="AD998" t="s">
        <v>10529</v>
      </c>
      <c r="AE998" t="s">
        <v>18781</v>
      </c>
      <c r="AF998" t="s">
        <v>74</v>
      </c>
      <c r="AG998">
        <v>94</v>
      </c>
      <c r="AH998">
        <v>2</v>
      </c>
      <c r="AI998">
        <v>2</v>
      </c>
      <c r="AJ998">
        <v>13</v>
      </c>
      <c r="AK998">
        <v>21</v>
      </c>
      <c r="AL998" t="s">
        <v>176</v>
      </c>
      <c r="AM998" t="s">
        <v>1610</v>
      </c>
      <c r="AN998" t="s">
        <v>1611</v>
      </c>
      <c r="AO998" t="s">
        <v>2248</v>
      </c>
      <c r="AP998" t="s">
        <v>2249</v>
      </c>
      <c r="AQ998" t="s">
        <v>74</v>
      </c>
      <c r="AR998" t="s">
        <v>2250</v>
      </c>
      <c r="AS998" t="s">
        <v>2251</v>
      </c>
      <c r="AT998" t="s">
        <v>912</v>
      </c>
      <c r="AU998">
        <v>2025</v>
      </c>
      <c r="AV998">
        <v>226</v>
      </c>
      <c r="AW998" t="s">
        <v>74</v>
      </c>
      <c r="AX998" t="s">
        <v>74</v>
      </c>
      <c r="AY998" t="s">
        <v>74</v>
      </c>
      <c r="AZ998" t="s">
        <v>74</v>
      </c>
      <c r="BA998" t="s">
        <v>74</v>
      </c>
      <c r="BB998" t="s">
        <v>74</v>
      </c>
      <c r="BC998" t="s">
        <v>74</v>
      </c>
      <c r="BD998">
        <v>104296</v>
      </c>
      <c r="BE998" t="s">
        <v>18782</v>
      </c>
      <c r="BF998" t="str">
        <f>HYPERLINK("http://dx.doi.org/10.1016/j.agsy.2025.104296","http://dx.doi.org/10.1016/j.agsy.2025.104296")</f>
        <v>http://dx.doi.org/10.1016/j.agsy.2025.104296</v>
      </c>
      <c r="BG998" t="s">
        <v>74</v>
      </c>
      <c r="BH998" t="s">
        <v>7812</v>
      </c>
      <c r="BI998">
        <v>16</v>
      </c>
      <c r="BJ998" t="s">
        <v>101</v>
      </c>
      <c r="BK998" t="s">
        <v>102</v>
      </c>
      <c r="BL998" t="s">
        <v>103</v>
      </c>
      <c r="BM998" t="s">
        <v>18783</v>
      </c>
      <c r="BN998" t="s">
        <v>74</v>
      </c>
      <c r="BO998" t="s">
        <v>74</v>
      </c>
      <c r="BP998" t="s">
        <v>74</v>
      </c>
      <c r="BQ998" t="s">
        <v>74</v>
      </c>
      <c r="BR998" t="s">
        <v>106</v>
      </c>
      <c r="BS998" t="s">
        <v>18784</v>
      </c>
      <c r="BT998" t="str">
        <f>HYPERLINK("https%3A%2F%2Fwww.webofscience.com%2Fwos%2Fwoscc%2Ffull-record%2FWOS:001442789400001","View Full Record in Web of Science")</f>
        <v>View Full Record in Web of Science</v>
      </c>
    </row>
    <row r="999" spans="1:72" x14ac:dyDescent="0.2">
      <c r="A999" t="s">
        <v>72</v>
      </c>
      <c r="B999" t="s">
        <v>18785</v>
      </c>
      <c r="C999" t="s">
        <v>74</v>
      </c>
      <c r="D999" t="s">
        <v>74</v>
      </c>
      <c r="E999" t="s">
        <v>74</v>
      </c>
      <c r="F999" t="s">
        <v>18786</v>
      </c>
      <c r="G999" t="s">
        <v>74</v>
      </c>
      <c r="H999" t="s">
        <v>74</v>
      </c>
      <c r="I999" t="s">
        <v>18787</v>
      </c>
      <c r="J999" t="s">
        <v>921</v>
      </c>
      <c r="K999" t="s">
        <v>74</v>
      </c>
      <c r="L999" t="s">
        <v>74</v>
      </c>
      <c r="M999" t="s">
        <v>78</v>
      </c>
      <c r="N999" t="s">
        <v>79</v>
      </c>
      <c r="O999" t="s">
        <v>74</v>
      </c>
      <c r="P999" t="s">
        <v>74</v>
      </c>
      <c r="Q999" t="s">
        <v>74</v>
      </c>
      <c r="R999" t="s">
        <v>74</v>
      </c>
      <c r="S999" t="s">
        <v>74</v>
      </c>
      <c r="T999" t="s">
        <v>18788</v>
      </c>
      <c r="U999" t="s">
        <v>18789</v>
      </c>
      <c r="V999" t="s">
        <v>18790</v>
      </c>
      <c r="W999" t="s">
        <v>18791</v>
      </c>
      <c r="X999" t="s">
        <v>18792</v>
      </c>
      <c r="Y999" t="s">
        <v>18793</v>
      </c>
      <c r="Z999" t="s">
        <v>18794</v>
      </c>
      <c r="AA999" t="s">
        <v>18795</v>
      </c>
      <c r="AB999" t="s">
        <v>18796</v>
      </c>
      <c r="AC999" t="s">
        <v>18797</v>
      </c>
      <c r="AD999" t="s">
        <v>18798</v>
      </c>
      <c r="AE999" t="s">
        <v>18799</v>
      </c>
      <c r="AF999" t="s">
        <v>74</v>
      </c>
      <c r="AG999">
        <v>67</v>
      </c>
      <c r="AH999">
        <v>110</v>
      </c>
      <c r="AI999">
        <v>139</v>
      </c>
      <c r="AJ999">
        <v>6</v>
      </c>
      <c r="AK999">
        <v>245</v>
      </c>
      <c r="AL999" t="s">
        <v>934</v>
      </c>
      <c r="AM999" t="s">
        <v>177</v>
      </c>
      <c r="AN999" t="s">
        <v>935</v>
      </c>
      <c r="AO999" t="s">
        <v>936</v>
      </c>
      <c r="AP999" t="s">
        <v>937</v>
      </c>
      <c r="AQ999" t="s">
        <v>74</v>
      </c>
      <c r="AR999" t="s">
        <v>938</v>
      </c>
      <c r="AS999" t="s">
        <v>939</v>
      </c>
      <c r="AT999" t="s">
        <v>459</v>
      </c>
      <c r="AU999">
        <v>2017</v>
      </c>
      <c r="AV999">
        <v>105</v>
      </c>
      <c r="AW999" t="s">
        <v>74</v>
      </c>
      <c r="AX999" t="s">
        <v>74</v>
      </c>
      <c r="AY999" t="s">
        <v>74</v>
      </c>
      <c r="AZ999" t="s">
        <v>74</v>
      </c>
      <c r="BA999" t="s">
        <v>74</v>
      </c>
      <c r="BB999">
        <v>12</v>
      </c>
      <c r="BC999">
        <v>24</v>
      </c>
      <c r="BD999" t="s">
        <v>74</v>
      </c>
      <c r="BE999" t="s">
        <v>18800</v>
      </c>
      <c r="BF999" t="str">
        <f>HYPERLINK("http://dx.doi.org/10.1016/j.soilbio.2016.11.008","http://dx.doi.org/10.1016/j.soilbio.2016.11.008")</f>
        <v>http://dx.doi.org/10.1016/j.soilbio.2016.11.008</v>
      </c>
      <c r="BG999" t="s">
        <v>74</v>
      </c>
      <c r="BH999" t="s">
        <v>74</v>
      </c>
      <c r="BI999">
        <v>13</v>
      </c>
      <c r="BJ999" t="s">
        <v>256</v>
      </c>
      <c r="BK999" t="s">
        <v>102</v>
      </c>
      <c r="BL999" t="s">
        <v>103</v>
      </c>
      <c r="BM999" t="s">
        <v>18801</v>
      </c>
      <c r="BN999" t="s">
        <v>74</v>
      </c>
      <c r="BO999" t="s">
        <v>74</v>
      </c>
      <c r="BP999" t="s">
        <v>74</v>
      </c>
      <c r="BQ999" t="s">
        <v>74</v>
      </c>
      <c r="BR999" t="s">
        <v>106</v>
      </c>
      <c r="BS999" t="s">
        <v>18802</v>
      </c>
      <c r="BT999" t="str">
        <f>HYPERLINK("https%3A%2F%2Fwww.webofscience.com%2Fwos%2Fwoscc%2Ffull-record%2FWOS:000392788600004","View Full Record in Web of Science")</f>
        <v>View Full Record in Web of Science</v>
      </c>
    </row>
    <row r="1000" spans="1:72" x14ac:dyDescent="0.2">
      <c r="A1000" t="s">
        <v>72</v>
      </c>
      <c r="B1000" t="s">
        <v>18803</v>
      </c>
      <c r="C1000" t="s">
        <v>74</v>
      </c>
      <c r="D1000" t="s">
        <v>74</v>
      </c>
      <c r="E1000" t="s">
        <v>74</v>
      </c>
      <c r="F1000" t="s">
        <v>18804</v>
      </c>
      <c r="G1000" t="s">
        <v>74</v>
      </c>
      <c r="H1000" t="s">
        <v>74</v>
      </c>
      <c r="I1000" t="s">
        <v>18805</v>
      </c>
      <c r="J1000" t="s">
        <v>347</v>
      </c>
      <c r="K1000" t="s">
        <v>74</v>
      </c>
      <c r="L1000" t="s">
        <v>74</v>
      </c>
      <c r="M1000" t="s">
        <v>78</v>
      </c>
      <c r="N1000" t="s">
        <v>79</v>
      </c>
      <c r="O1000" t="s">
        <v>74</v>
      </c>
      <c r="P1000" t="s">
        <v>74</v>
      </c>
      <c r="Q1000" t="s">
        <v>74</v>
      </c>
      <c r="R1000" t="s">
        <v>74</v>
      </c>
      <c r="S1000" t="s">
        <v>74</v>
      </c>
      <c r="T1000" t="s">
        <v>18806</v>
      </c>
      <c r="U1000" t="s">
        <v>1877</v>
      </c>
      <c r="V1000" t="s">
        <v>18807</v>
      </c>
      <c r="W1000" t="s">
        <v>18808</v>
      </c>
      <c r="X1000" t="s">
        <v>18809</v>
      </c>
      <c r="Y1000" t="s">
        <v>18810</v>
      </c>
      <c r="Z1000" t="s">
        <v>18811</v>
      </c>
      <c r="AA1000" t="s">
        <v>74</v>
      </c>
      <c r="AB1000" t="s">
        <v>74</v>
      </c>
      <c r="AC1000" t="s">
        <v>18812</v>
      </c>
      <c r="AD1000" t="s">
        <v>18813</v>
      </c>
      <c r="AE1000" t="s">
        <v>18814</v>
      </c>
      <c r="AF1000" t="s">
        <v>74</v>
      </c>
      <c r="AG1000">
        <v>43</v>
      </c>
      <c r="AH1000">
        <v>4</v>
      </c>
      <c r="AI1000">
        <v>4</v>
      </c>
      <c r="AJ1000">
        <v>15</v>
      </c>
      <c r="AK1000">
        <v>22</v>
      </c>
      <c r="AL1000" t="s">
        <v>274</v>
      </c>
      <c r="AM1000" t="s">
        <v>275</v>
      </c>
      <c r="AN1000" t="s">
        <v>276</v>
      </c>
      <c r="AO1000" t="s">
        <v>357</v>
      </c>
      <c r="AP1000" t="s">
        <v>74</v>
      </c>
      <c r="AQ1000" t="s">
        <v>74</v>
      </c>
      <c r="AR1000" t="s">
        <v>358</v>
      </c>
      <c r="AS1000" t="s">
        <v>359</v>
      </c>
      <c r="AT1000" t="s">
        <v>7501</v>
      </c>
      <c r="AU1000">
        <v>2025</v>
      </c>
      <c r="AV1000">
        <v>15</v>
      </c>
      <c r="AW1000">
        <v>1</v>
      </c>
      <c r="AX1000" t="s">
        <v>74</v>
      </c>
      <c r="AY1000" t="s">
        <v>74</v>
      </c>
      <c r="AZ1000" t="s">
        <v>74</v>
      </c>
      <c r="BA1000" t="s">
        <v>74</v>
      </c>
      <c r="BB1000" t="s">
        <v>74</v>
      </c>
      <c r="BC1000" t="s">
        <v>74</v>
      </c>
      <c r="BD1000">
        <v>10756</v>
      </c>
      <c r="BE1000" t="s">
        <v>18815</v>
      </c>
      <c r="BF1000" t="str">
        <f>HYPERLINK("http://dx.doi.org/10.1038/s41598-025-95209-1","http://dx.doi.org/10.1038/s41598-025-95209-1")</f>
        <v>http://dx.doi.org/10.1038/s41598-025-95209-1</v>
      </c>
      <c r="BG1000" t="s">
        <v>74</v>
      </c>
      <c r="BH1000" t="s">
        <v>74</v>
      </c>
      <c r="BI1000">
        <v>18</v>
      </c>
      <c r="BJ1000" t="s">
        <v>158</v>
      </c>
      <c r="BK1000" t="s">
        <v>102</v>
      </c>
      <c r="BL1000" t="s">
        <v>159</v>
      </c>
      <c r="BM1000" t="s">
        <v>18816</v>
      </c>
      <c r="BN1000">
        <v>40155510</v>
      </c>
      <c r="BO1000" t="s">
        <v>161</v>
      </c>
      <c r="BP1000" t="s">
        <v>74</v>
      </c>
      <c r="BQ1000" t="s">
        <v>74</v>
      </c>
      <c r="BR1000" t="s">
        <v>106</v>
      </c>
      <c r="BS1000" t="s">
        <v>18817</v>
      </c>
      <c r="BT1000" t="str">
        <f>HYPERLINK("https%3A%2F%2Fwww.webofscience.com%2Fwos%2Fwoscc%2Ffull-record%2FWOS:001456032600027","View Full Record in Web of Science")</f>
        <v>View Full Record in Web of Science</v>
      </c>
    </row>
    <row r="1001" spans="1:72" x14ac:dyDescent="0.2">
      <c r="A1001" t="s">
        <v>72</v>
      </c>
      <c r="B1001" t="s">
        <v>18818</v>
      </c>
      <c r="C1001" t="s">
        <v>74</v>
      </c>
      <c r="D1001" t="s">
        <v>74</v>
      </c>
      <c r="E1001" t="s">
        <v>74</v>
      </c>
      <c r="F1001" t="s">
        <v>18819</v>
      </c>
      <c r="G1001" t="s">
        <v>74</v>
      </c>
      <c r="H1001" t="s">
        <v>74</v>
      </c>
      <c r="I1001" t="s">
        <v>18820</v>
      </c>
      <c r="J1001" t="s">
        <v>3277</v>
      </c>
      <c r="K1001" t="s">
        <v>74</v>
      </c>
      <c r="L1001" t="s">
        <v>74</v>
      </c>
      <c r="M1001" t="s">
        <v>78</v>
      </c>
      <c r="N1001" t="s">
        <v>79</v>
      </c>
      <c r="O1001" t="s">
        <v>74</v>
      </c>
      <c r="P1001" t="s">
        <v>74</v>
      </c>
      <c r="Q1001" t="s">
        <v>74</v>
      </c>
      <c r="R1001" t="s">
        <v>74</v>
      </c>
      <c r="S1001" t="s">
        <v>74</v>
      </c>
      <c r="T1001" t="s">
        <v>74</v>
      </c>
      <c r="U1001" t="s">
        <v>18821</v>
      </c>
      <c r="V1001" t="s">
        <v>18822</v>
      </c>
      <c r="W1001" t="s">
        <v>18823</v>
      </c>
      <c r="X1001" t="s">
        <v>18824</v>
      </c>
      <c r="Y1001" t="s">
        <v>18825</v>
      </c>
      <c r="Z1001" t="s">
        <v>18826</v>
      </c>
      <c r="AA1001" t="s">
        <v>18827</v>
      </c>
      <c r="AB1001" t="s">
        <v>18828</v>
      </c>
      <c r="AC1001" t="s">
        <v>18829</v>
      </c>
      <c r="AD1001" t="s">
        <v>18830</v>
      </c>
      <c r="AE1001" t="s">
        <v>18831</v>
      </c>
      <c r="AF1001" t="s">
        <v>74</v>
      </c>
      <c r="AG1001">
        <v>50</v>
      </c>
      <c r="AH1001">
        <v>29</v>
      </c>
      <c r="AI1001">
        <v>31</v>
      </c>
      <c r="AJ1001">
        <v>0</v>
      </c>
      <c r="AK1001">
        <v>54</v>
      </c>
      <c r="AL1001" t="s">
        <v>3289</v>
      </c>
      <c r="AM1001" t="s">
        <v>3290</v>
      </c>
      <c r="AN1001" t="s">
        <v>3291</v>
      </c>
      <c r="AO1001" t="s">
        <v>3292</v>
      </c>
      <c r="AP1001" t="s">
        <v>3293</v>
      </c>
      <c r="AQ1001" t="s">
        <v>74</v>
      </c>
      <c r="AR1001" t="s">
        <v>3277</v>
      </c>
      <c r="AS1001" t="s">
        <v>3294</v>
      </c>
      <c r="AT1001" t="s">
        <v>74</v>
      </c>
      <c r="AU1001">
        <v>2014</v>
      </c>
      <c r="AV1001">
        <v>11</v>
      </c>
      <c r="AW1001">
        <v>18</v>
      </c>
      <c r="AX1001" t="s">
        <v>74</v>
      </c>
      <c r="AY1001" t="s">
        <v>74</v>
      </c>
      <c r="AZ1001" t="s">
        <v>74</v>
      </c>
      <c r="BA1001" t="s">
        <v>74</v>
      </c>
      <c r="BB1001">
        <v>5235</v>
      </c>
      <c r="BC1001">
        <v>5244</v>
      </c>
      <c r="BD1001" t="s">
        <v>74</v>
      </c>
      <c r="BE1001" t="s">
        <v>18832</v>
      </c>
      <c r="BF1001" t="str">
        <f>HYPERLINK("http://dx.doi.org/10.5194/bg-11-5235-2014","http://dx.doi.org/10.5194/bg-11-5235-2014")</f>
        <v>http://dx.doi.org/10.5194/bg-11-5235-2014</v>
      </c>
      <c r="BG1001" t="s">
        <v>74</v>
      </c>
      <c r="BH1001" t="s">
        <v>74</v>
      </c>
      <c r="BI1001">
        <v>10</v>
      </c>
      <c r="BJ1001" t="s">
        <v>3296</v>
      </c>
      <c r="BK1001" t="s">
        <v>102</v>
      </c>
      <c r="BL1001" t="s">
        <v>1206</v>
      </c>
      <c r="BM1001" t="s">
        <v>18833</v>
      </c>
      <c r="BN1001" t="s">
        <v>74</v>
      </c>
      <c r="BO1001" t="s">
        <v>161</v>
      </c>
      <c r="BP1001" t="s">
        <v>74</v>
      </c>
      <c r="BQ1001" t="s">
        <v>74</v>
      </c>
      <c r="BR1001" t="s">
        <v>106</v>
      </c>
      <c r="BS1001" t="s">
        <v>18834</v>
      </c>
      <c r="BT1001" t="str">
        <f>HYPERLINK("https%3A%2F%2Fwww.webofscience.com%2Fwos%2Fwoscc%2Ffull-record%2FWOS:000343120900022","View Full Record in Web of Science")</f>
        <v>View Full Record in Web of Science</v>
      </c>
    </row>
  </sheetData>
  <phoneticPr fontId="1" type="noConversion"/>
  <pageMargins left="0.75" right="0.75" top="1" bottom="1" header="0.5" footer="0.5"/>
  <pageSetup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savedrecs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视窗-Linux</dc:creator>
  <cp:lastModifiedBy>-Linux 视窗</cp:lastModifiedBy>
  <dcterms:created xsi:type="dcterms:W3CDTF">2025-12-15T03:46:04Z</dcterms:created>
  <dcterms:modified xsi:type="dcterms:W3CDTF">2025-12-15T03:46:05Z</dcterms:modified>
</cp:coreProperties>
</file>