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TL\CMMI\2017_2\mayo 3\Aseguradador de Calidad\09. CalidadProyecto_plantillas\"/>
    </mc:Choice>
  </mc:AlternateContent>
  <bookViews>
    <workbookView xWindow="0" yWindow="0" windowWidth="20490" windowHeight="7755" tabRatio="658"/>
  </bookViews>
  <sheets>
    <sheet name="Hallazgos y AccionesCorrectivas" sheetId="2" r:id="rId1"/>
    <sheet name="Indicadores de Métricas Calidad" sheetId="3" r:id="rId2"/>
    <sheet name="Indicadores Métricas Proyecto" sheetId="4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3" l="1"/>
  <c r="F28" i="3"/>
  <c r="G28" i="3"/>
  <c r="H28" i="3"/>
  <c r="H29" i="3"/>
  <c r="H30" i="3"/>
  <c r="G30" i="3"/>
  <c r="G29" i="3"/>
  <c r="F29" i="3"/>
  <c r="F30" i="3"/>
  <c r="E30" i="3"/>
  <c r="E29" i="3"/>
  <c r="D13" i="4"/>
  <c r="D6" i="4"/>
  <c r="J23" i="3"/>
  <c r="J22" i="3"/>
  <c r="J21" i="3"/>
  <c r="K23" i="3"/>
  <c r="K22" i="3"/>
  <c r="K21" i="3"/>
  <c r="L23" i="3"/>
  <c r="L22" i="3"/>
  <c r="L21" i="3"/>
  <c r="E23" i="3"/>
  <c r="E22" i="3"/>
  <c r="E21" i="3"/>
  <c r="F23" i="3"/>
  <c r="F22" i="3"/>
  <c r="F21" i="3"/>
  <c r="G23" i="3"/>
  <c r="G22" i="3"/>
  <c r="G21" i="3"/>
  <c r="H23" i="3"/>
  <c r="H22" i="3"/>
  <c r="H21" i="3"/>
  <c r="I23" i="3"/>
  <c r="I22" i="3"/>
  <c r="I21" i="3"/>
  <c r="M23" i="3"/>
  <c r="M22" i="3"/>
  <c r="M21" i="3"/>
  <c r="N21" i="3"/>
  <c r="N23" i="3"/>
  <c r="N22" i="3"/>
  <c r="H16" i="3"/>
  <c r="H15" i="3"/>
  <c r="H14" i="3"/>
  <c r="G14" i="3"/>
  <c r="G16" i="3"/>
  <c r="G15" i="3"/>
  <c r="F16" i="3"/>
  <c r="E16" i="3"/>
  <c r="E14" i="3"/>
  <c r="E15" i="3"/>
  <c r="F15" i="3"/>
  <c r="F14" i="3"/>
  <c r="M9" i="3"/>
  <c r="L9" i="3"/>
  <c r="K9" i="3"/>
  <c r="J9" i="3"/>
  <c r="I9" i="3"/>
  <c r="H9" i="3"/>
  <c r="G9" i="3"/>
  <c r="F9" i="3"/>
  <c r="E9" i="3"/>
  <c r="M8" i="3"/>
  <c r="L8" i="3"/>
  <c r="K8" i="3"/>
  <c r="J8" i="3"/>
  <c r="I8" i="3"/>
  <c r="H8" i="3"/>
  <c r="G8" i="3"/>
  <c r="F8" i="3"/>
  <c r="E8" i="3"/>
  <c r="M7" i="3"/>
  <c r="L7" i="3"/>
  <c r="K7" i="3"/>
  <c r="J7" i="3"/>
  <c r="I7" i="3"/>
  <c r="H7" i="3"/>
  <c r="G7" i="3"/>
  <c r="F7" i="3"/>
  <c r="E7" i="3"/>
</calcChain>
</file>

<file path=xl/comments1.xml><?xml version="1.0" encoding="utf-8"?>
<comments xmlns="http://schemas.openxmlformats.org/spreadsheetml/2006/main">
  <authors>
    <author>Norma</author>
    <author>Norma Griselda Reyes Avila</author>
    <author>CMA</author>
    <author>Columba Martinez</author>
    <author>TOSHIBA</author>
  </authors>
  <commentList>
    <comment ref="G8" authorId="0" shapeId="0">
      <text>
        <r>
          <rPr>
            <sz val="9"/>
            <color indexed="81"/>
            <rFont val="Tahoma"/>
            <family val="2"/>
          </rPr>
          <t>Se reinicio revisione en subversión.</t>
        </r>
      </text>
    </comment>
    <comment ref="B13" authorId="1" shapeId="0">
      <text>
        <r>
          <rPr>
            <sz val="9"/>
            <color indexed="81"/>
            <rFont val="Calibri"/>
            <family val="2"/>
          </rPr>
          <t xml:space="preserve">Ingresar la clave del hallazgo </t>
        </r>
        <r>
          <rPr>
            <b/>
            <sz val="9"/>
            <color indexed="81"/>
            <rFont val="Calibri"/>
            <family val="2"/>
          </rPr>
          <t>H000</t>
        </r>
      </text>
    </comment>
    <comment ref="C13" authorId="1" shapeId="0">
      <text>
        <r>
          <rPr>
            <sz val="9"/>
            <color indexed="81"/>
            <rFont val="Calibri"/>
            <family val="2"/>
          </rPr>
          <t>Asegurador de calidad registra:
NC (No Conformidad)
El Auditor de configuración regustra:
IN (Inconsistencia)</t>
        </r>
      </text>
    </comment>
    <comment ref="D13" authorId="1" shapeId="0">
      <text>
        <r>
          <rPr>
            <sz val="9"/>
            <color indexed="81"/>
            <rFont val="Calibri"/>
            <family val="2"/>
          </rPr>
          <t>Ingresar la referencia de la no conformidad, misma del documento de revisión donde se encontró.
No conformidad: NCXX
Inconsistencia: INXX</t>
        </r>
      </text>
    </comment>
    <comment ref="E13" authorId="1" shapeId="0">
      <text>
        <r>
          <rPr>
            <sz val="9"/>
            <color indexed="81"/>
            <rFont val="Calibri"/>
            <family val="2"/>
          </rPr>
          <t xml:space="preserve">Se refiere a la fase del ciclo de vida a la que pertenece el hallazgo (Producto de trabajo o proceso)
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No aplica en caso de ser una inconsistenacia o un error de aseguramiento de calidad.</t>
        </r>
      </text>
    </comment>
    <comment ref="G13" authorId="2" shapeId="0">
      <text>
        <r>
          <rPr>
            <sz val="8"/>
            <color indexed="81"/>
            <rFont val="Tahoma"/>
            <family val="2"/>
          </rPr>
          <t xml:space="preserve">
Fecha en que se realizó el registro del hallazgo</t>
        </r>
      </text>
    </comment>
    <comment ref="H13" authorId="2" shapeId="0">
      <text>
        <r>
          <rPr>
            <sz val="8"/>
            <color indexed="81"/>
            <rFont val="Tahoma"/>
            <family val="2"/>
          </rPr>
          <t xml:space="preserve">
Detallar a qué se debe el hallazgo </t>
        </r>
      </text>
    </comment>
    <comment ref="I13" authorId="2" shapeId="0">
      <text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Crítica Baja(CB): </t>
        </r>
        <r>
          <rPr>
            <sz val="8"/>
            <color indexed="81"/>
            <rFont val="Tahoma"/>
            <family val="2"/>
          </rPr>
          <t xml:space="preserve">No afecta a calendario. 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Crítica Media(CM): </t>
        </r>
        <r>
          <rPr>
            <sz val="8"/>
            <color indexed="81"/>
            <rFont val="Tahoma"/>
            <family val="2"/>
          </rPr>
          <t xml:space="preserve">Afecta desfase en calendario (Esfuerzo).
</t>
        </r>
        <r>
          <rPr>
            <b/>
            <sz val="8"/>
            <color indexed="81"/>
            <rFont val="Tahoma"/>
            <family val="2"/>
          </rPr>
          <t xml:space="preserve">
Crítica Alta(CA): </t>
        </r>
        <r>
          <rPr>
            <sz val="8"/>
            <color indexed="81"/>
            <rFont val="Tahoma"/>
            <family val="2"/>
          </rPr>
          <t>Afecta desfase en calendario y tiempos de liberación de entragables.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J13" authorId="1" shapeId="0">
      <text>
        <r>
          <rPr>
            <sz val="9"/>
            <color indexed="81"/>
            <rFont val="Calibri"/>
            <family val="2"/>
          </rPr>
          <t>Describir la acción que debe de seguir para corregir el hallazgo</t>
        </r>
      </text>
    </comment>
    <comment ref="K13" authorId="2" shapeId="0">
      <text>
        <r>
          <rPr>
            <sz val="8"/>
            <color indexed="81"/>
            <rFont val="Tahoma"/>
            <family val="2"/>
          </rPr>
          <t xml:space="preserve">Rol del responsable a quien se le marca el hallazgo y quien tiene que ejecutar la acción correctiva marcada.
</t>
        </r>
        <r>
          <rPr>
            <b/>
            <sz val="8"/>
            <color indexed="81"/>
            <rFont val="Tahoma"/>
            <family val="2"/>
          </rPr>
          <t>Líder de Producción
Líder de Proyecto
Analista
Diseñador
Codificador
Tester
Administrador de la Configuración
Auditor de la Configuración</t>
        </r>
      </text>
    </comment>
    <comment ref="L13" authorId="1" shapeId="0">
      <text>
        <r>
          <rPr>
            <sz val="9"/>
            <color indexed="81"/>
            <rFont val="Calibri"/>
            <family val="2"/>
          </rPr>
          <t xml:space="preserve">
Rol del responsable de registra la No Conformidad y Acción Correctiva</t>
        </r>
      </text>
    </comment>
    <comment ref="M13" authorId="2" shapeId="0">
      <text>
        <r>
          <rPr>
            <sz val="8"/>
            <color indexed="81"/>
            <rFont val="Tahoma"/>
            <family val="2"/>
          </rPr>
          <t xml:space="preserve">
Fecha en que se deberá corregir el hallazgo</t>
        </r>
      </text>
    </comment>
    <comment ref="N13" authorId="2" shapeId="0">
      <text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Abierta. </t>
        </r>
        <r>
          <rPr>
            <sz val="8"/>
            <color indexed="81"/>
            <rFont val="Tahoma"/>
            <family val="2"/>
          </rPr>
          <t xml:space="preserve">No ha sido corregida la no conformidad
</t>
        </r>
        <r>
          <rPr>
            <b/>
            <sz val="8"/>
            <color indexed="81"/>
            <rFont val="Tahoma"/>
            <family val="2"/>
          </rPr>
          <t xml:space="preserve">Cerrada. </t>
        </r>
        <r>
          <rPr>
            <sz val="8"/>
            <color indexed="81"/>
            <rFont val="Tahoma"/>
            <family val="2"/>
          </rPr>
          <t xml:space="preserve">Ya se corrigió la no conformidad
</t>
        </r>
        <r>
          <rPr>
            <b/>
            <sz val="8"/>
            <color indexed="81"/>
            <rFont val="Tahoma"/>
            <family val="2"/>
          </rPr>
          <t>Error.</t>
        </r>
        <r>
          <rPr>
            <sz val="8"/>
            <color indexed="81"/>
            <rFont val="Tahoma"/>
            <family val="2"/>
          </rPr>
          <t xml:space="preserve"> No era no-conformidad, error por parte de Asegurador de Calidad
</t>
        </r>
        <r>
          <rPr>
            <b/>
            <sz val="8"/>
            <color indexed="81"/>
            <rFont val="Tahoma"/>
            <family val="2"/>
          </rPr>
          <t xml:space="preserve">Weaver. </t>
        </r>
        <r>
          <rPr>
            <sz val="8"/>
            <color indexed="81"/>
            <rFont val="Tahoma"/>
            <family val="2"/>
          </rPr>
          <t>Cuando se tiene permiso de dirección o weaver.</t>
        </r>
      </text>
    </comment>
    <comment ref="O13" authorId="1" shapeId="0">
      <text>
        <r>
          <rPr>
            <sz val="9"/>
            <color indexed="81"/>
            <rFont val="Calibri"/>
            <family val="2"/>
          </rPr>
          <t xml:space="preserve">Indicar la causa detectada, debido a la cual se generó la No Conformidad.
</t>
        </r>
        <r>
          <rPr>
            <b/>
            <sz val="9"/>
            <color indexed="81"/>
            <rFont val="Calibri"/>
            <family val="2"/>
          </rPr>
          <t>No aplica para Inconsistencias.</t>
        </r>
      </text>
    </comment>
    <comment ref="P13" authorId="2" shapeId="0">
      <text>
        <r>
          <rPr>
            <sz val="8"/>
            <color indexed="81"/>
            <rFont val="Tahoma"/>
            <family val="2"/>
          </rPr>
          <t xml:space="preserve">
Fecha de la ultima revisión para corregir el hallazgo</t>
        </r>
      </text>
    </comment>
    <comment ref="Q13" authorId="1" shapeId="0">
      <text>
        <r>
          <rPr>
            <b/>
            <sz val="9"/>
            <color indexed="81"/>
            <rFont val="Calibri"/>
            <family val="2"/>
          </rPr>
          <t xml:space="preserve">Por default el valor es uno, al ser la primer reprogramación.
</t>
        </r>
        <r>
          <rPr>
            <sz val="9"/>
            <color indexed="81"/>
            <rFont val="Calibri"/>
            <family val="2"/>
          </rPr>
          <t xml:space="preserve">
Si no realiza la acción correctiva en la fecha acordada, aumentar el valor de reprogramación.
</t>
        </r>
        <r>
          <rPr>
            <b/>
            <sz val="9"/>
            <color indexed="81"/>
            <rFont val="Calibri"/>
            <family val="2"/>
          </rPr>
          <t xml:space="preserve">
No aplica para inconsistencias, en éste caso indicar un NA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R13" authorId="1" shapeId="0">
      <text>
        <r>
          <rPr>
            <sz val="9"/>
            <color indexed="81"/>
            <rFont val="Calibri"/>
            <family val="2"/>
          </rPr>
          <t xml:space="preserve">
1- Efectiva
0-No efectiva</t>
        </r>
      </text>
    </comment>
    <comment ref="S13" authorId="3" shapeId="0">
      <text>
        <r>
          <rPr>
            <sz val="8"/>
            <color indexed="81"/>
            <rFont val="Tahoma"/>
            <family val="2"/>
          </rPr>
          <t>Explicar porque la Acción Correctiva fue efectiva o no.</t>
        </r>
      </text>
    </comment>
    <comment ref="T13" authorId="4" shapeId="0">
      <text>
        <r>
          <rPr>
            <sz val="8"/>
            <color indexed="81"/>
            <rFont val="Tahoma"/>
            <family val="2"/>
          </rPr>
          <t xml:space="preserve">
Versión del proyecto donde se programaron las actividades 
</t>
        </r>
      </text>
    </comment>
    <comment ref="U13" authorId="1" shapeId="0">
      <text>
        <r>
          <rPr>
            <sz val="9"/>
            <color indexed="81"/>
            <rFont val="Calibri"/>
            <family val="2"/>
          </rPr>
          <t>Indicar nombre y rol de quien autoriza el weaver</t>
        </r>
      </text>
    </comment>
    <comment ref="V13" authorId="1" shapeId="0">
      <text>
        <r>
          <rPr>
            <sz val="9"/>
            <color indexed="81"/>
            <rFont val="Calibri"/>
            <family val="2"/>
          </rPr>
          <t>Indicar el tipo de evidencia de autorización.
Minuta, Correo, etc.</t>
        </r>
      </text>
    </comment>
    <comment ref="W13" authorId="2" shapeId="0">
      <text>
        <r>
          <rPr>
            <sz val="8"/>
            <color indexed="81"/>
            <rFont val="Tahoma"/>
            <family val="2"/>
          </rPr>
          <t xml:space="preserve">
Observaciones extras del hallazgo</t>
        </r>
      </text>
    </comment>
  </commentList>
</comments>
</file>

<file path=xl/sharedStrings.xml><?xml version="1.0" encoding="utf-8"?>
<sst xmlns="http://schemas.openxmlformats.org/spreadsheetml/2006/main" count="99" uniqueCount="72">
  <si>
    <t>Nombre de proyecto:</t>
  </si>
  <si>
    <t>Cliente:</t>
  </si>
  <si>
    <t>Fecha:</t>
  </si>
  <si>
    <t>Versión:</t>
  </si>
  <si>
    <t>Clave de tipo de hallazgo</t>
  </si>
  <si>
    <t>Nivel de criticidad</t>
  </si>
  <si>
    <t>Efectividad de la acción correctiva</t>
  </si>
  <si>
    <t>Observaciones</t>
  </si>
  <si>
    <t>Análisis</t>
  </si>
  <si>
    <t>Descripción de la acción correctiva</t>
  </si>
  <si>
    <t>Descripción del problema</t>
  </si>
  <si>
    <t>Tipo de hallazgo</t>
  </si>
  <si>
    <t>Clave del hallazgo</t>
  </si>
  <si>
    <t>SUBOBJETIVO</t>
  </si>
  <si>
    <t>Evaluar el nível de apego a los procesos</t>
  </si>
  <si>
    <t>Inicio</t>
  </si>
  <si>
    <t>Definición Global</t>
  </si>
  <si>
    <t>Planeación Global</t>
  </si>
  <si>
    <t>Análsis y Diseño por Iteración</t>
  </si>
  <si>
    <t>Construcción por Iteración</t>
  </si>
  <si>
    <t>Pruebas por Iteración</t>
  </si>
  <si>
    <t>Implementación por iteración</t>
  </si>
  <si>
    <t>Cierre por Iteración</t>
  </si>
  <si>
    <t>Cierre Global</t>
  </si>
  <si>
    <t>Criticas Baja</t>
  </si>
  <si>
    <t>Críticas Media</t>
  </si>
  <si>
    <t>Críticas Alta</t>
  </si>
  <si>
    <t>Mejorar el nível de apego al proceso</t>
  </si>
  <si>
    <t>Líder de Producción</t>
  </si>
  <si>
    <t>Líder de Proyecto</t>
  </si>
  <si>
    <t>Tester</t>
  </si>
  <si>
    <t>Administrador de la Configuración</t>
  </si>
  <si>
    <t>No Conformidades</t>
  </si>
  <si>
    <r>
      <rPr>
        <b/>
        <sz val="12"/>
        <color indexed="56"/>
        <rFont val="Arial"/>
        <family val="2"/>
      </rPr>
      <t>Universidad Tecnológica de León</t>
    </r>
    <r>
      <rPr>
        <sz val="14"/>
        <color indexed="56"/>
        <rFont val="Arial"/>
        <family val="2"/>
      </rPr>
      <t xml:space="preserve">
</t>
    </r>
    <r>
      <rPr>
        <sz val="10"/>
        <color indexed="56"/>
        <rFont val="Arial"/>
        <family val="2"/>
      </rPr>
      <t>Modelo de Madurez de la Capacidad Integrado - CMMI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0"/>
        <color indexed="18"/>
        <rFont val="Arial"/>
        <family val="2"/>
      </rPr>
      <t>INDICADORES MÉTRICAS CALIDAD</t>
    </r>
    <r>
      <rPr>
        <sz val="12"/>
        <color theme="1"/>
        <rFont val="Calibri"/>
        <family val="2"/>
        <scheme val="minor"/>
      </rPr>
      <t xml:space="preserve">
</t>
    </r>
  </si>
  <si>
    <t>Fecha de Registro</t>
  </si>
  <si>
    <t>En caso de Weaver, indicar nombre de responsable de autorización</t>
  </si>
  <si>
    <t>Evidencia de autorización de weaver</t>
  </si>
  <si>
    <t>Revisión del proyecto en SubVersión</t>
  </si>
  <si>
    <t>Responsable de registro de la acción correctiva</t>
  </si>
  <si>
    <t>Responsable de ejecutar la acción correctiva</t>
  </si>
  <si>
    <t>Estatus</t>
  </si>
  <si>
    <t>Causa de la No Conformidad</t>
  </si>
  <si>
    <t>Número de reprogramación de la No Conformidad</t>
  </si>
  <si>
    <t>GENERAR INDICADOR DE NO CONFORMIDADES Y CRITICIDAD POR FASE</t>
  </si>
  <si>
    <t>GENERAR INDICADOR DE NO CONFORMIDADES Y CRITICIDAD POR CAUSA</t>
  </si>
  <si>
    <t>GENERAR INDICADOR DE NO CONFORMIDADES Y CRITICIDAD POR ROL</t>
  </si>
  <si>
    <t>Tiempo</t>
  </si>
  <si>
    <t>Apatía</t>
  </si>
  <si>
    <t>Error en PT</t>
  </si>
  <si>
    <t>Capacitación</t>
  </si>
  <si>
    <t>Nombre del autor del cambio a documento:</t>
  </si>
  <si>
    <t>Motivo de cambio:</t>
  </si>
  <si>
    <r>
      <rPr>
        <b/>
        <sz val="14"/>
        <color rgb="FF003366"/>
        <rFont val="Arial"/>
        <family val="2"/>
      </rPr>
      <t>Universidad Tecnológica de León</t>
    </r>
    <r>
      <rPr>
        <sz val="14"/>
        <color rgb="FF003366"/>
        <rFont val="Arial"/>
        <family val="2"/>
      </rPr>
      <t xml:space="preserve">
Modelo de Madurez de la Capacidad Integrado - CMMI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000090"/>
        <rFont val="Arial"/>
        <family val="2"/>
      </rPr>
      <t>HALLAZGOS Y  ACCIONES  CORRECTIVAS</t>
    </r>
    <r>
      <rPr>
        <sz val="14"/>
        <color theme="1"/>
        <rFont val="Calibri"/>
        <family val="2"/>
        <scheme val="minor"/>
      </rPr>
      <t xml:space="preserve">
</t>
    </r>
  </si>
  <si>
    <t>Analista</t>
  </si>
  <si>
    <t>Arquitecto</t>
  </si>
  <si>
    <t>Diseñador</t>
  </si>
  <si>
    <t>Desarrollador</t>
  </si>
  <si>
    <t>Verificador</t>
  </si>
  <si>
    <t>Fecha para corrección</t>
  </si>
  <si>
    <t xml:space="preserve">Analista </t>
  </si>
  <si>
    <t>Ingeniero de Pruebas</t>
  </si>
  <si>
    <t>Lider de Proyecto</t>
  </si>
  <si>
    <t>No. Total de No Conformidades</t>
  </si>
  <si>
    <t>Inconsistencias</t>
  </si>
  <si>
    <t>Fecha de última revisión del Hallazgo</t>
  </si>
  <si>
    <t>Fase del ciclo de vida en la que se presenta el hallazgo</t>
  </si>
  <si>
    <t>Grupo de proceso al que pertenece el hallazgo</t>
  </si>
  <si>
    <t>Administración de proyectos</t>
  </si>
  <si>
    <t>Soporte</t>
  </si>
  <si>
    <t>Ingeniería</t>
  </si>
  <si>
    <t>Error en Producto de Trabajo</t>
  </si>
  <si>
    <t>INDOCADORES DE NO CONFORMIDADES Y CRITICIDAD POR GRUPO DE ÁREA DE PROCESOS (LÍDER DE CALIDAD)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</si>
</sst>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rgb="FF003366"/>
      <name val="Arial"/>
      <family val="2"/>
    </font>
    <font>
      <b/>
      <sz val="10"/>
      <color rgb="FF000090"/>
      <name val="Arial"/>
      <family val="2"/>
    </font>
    <font>
      <sz val="10"/>
      <color rgb="FF0000FF"/>
      <name val="Arial"/>
      <family val="2"/>
    </font>
    <font>
      <b/>
      <sz val="12"/>
      <color indexed="56"/>
      <name val="Arial"/>
      <family val="2"/>
    </font>
    <font>
      <sz val="14"/>
      <color indexed="56"/>
      <name val="Arial"/>
      <family val="2"/>
    </font>
    <font>
      <sz val="10"/>
      <color indexed="56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color rgb="FF003366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90"/>
      <name val="Arial"/>
      <family val="2"/>
    </font>
    <font>
      <u/>
      <sz val="10"/>
      <color theme="1"/>
      <name val="Arial"/>
      <family val="2"/>
    </font>
    <font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b/>
      <sz val="9"/>
      <name val="Arial"/>
      <family val="2"/>
    </font>
    <font>
      <b/>
      <sz val="9"/>
      <color indexed="9"/>
      <name val="Arial"/>
      <family val="2"/>
    </font>
    <font>
      <sz val="9"/>
      <color indexed="81"/>
      <name val="Tahoma"/>
      <charset val="1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72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19" fillId="5" borderId="8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vertical="center" wrapText="1"/>
    </xf>
    <xf numFmtId="0" fontId="20" fillId="3" borderId="11" xfId="0" applyFont="1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 textRotation="90" wrapText="1"/>
    </xf>
    <xf numFmtId="0" fontId="19" fillId="5" borderId="9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14" fontId="10" fillId="0" borderId="8" xfId="0" applyNumberFormat="1" applyFont="1" applyBorder="1" applyAlignment="1">
      <alignment horizontal="center" vertical="center" wrapText="1"/>
    </xf>
    <xf numFmtId="14" fontId="10" fillId="0" borderId="11" xfId="0" applyNumberFormat="1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27" fillId="0" borderId="0" xfId="0" applyFont="1"/>
    <xf numFmtId="0" fontId="27" fillId="0" borderId="0" xfId="0" applyFont="1" applyAlignment="1">
      <alignment horizontal="left" vertical="center"/>
    </xf>
    <xf numFmtId="0" fontId="19" fillId="5" borderId="19" xfId="0" applyFont="1" applyFill="1" applyBorder="1" applyAlignment="1">
      <alignment horizontal="center" vertical="center" wrapText="1"/>
    </xf>
    <xf numFmtId="0" fontId="19" fillId="5" borderId="20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19" fillId="7" borderId="27" xfId="0" applyFont="1" applyFill="1" applyBorder="1" applyAlignment="1">
      <alignment horizontal="center" vertical="center" wrapText="1"/>
    </xf>
    <xf numFmtId="0" fontId="28" fillId="7" borderId="27" xfId="0" applyFont="1" applyFill="1" applyBorder="1" applyAlignment="1">
      <alignment horizontal="center" vertical="center" wrapText="1"/>
    </xf>
    <xf numFmtId="0" fontId="28" fillId="7" borderId="28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left" vertical="center" wrapText="1"/>
    </xf>
    <xf numFmtId="0" fontId="28" fillId="7" borderId="8" xfId="0" applyFont="1" applyFill="1" applyBorder="1" applyAlignment="1">
      <alignment horizontal="left" vertical="center" wrapText="1"/>
    </xf>
    <xf numFmtId="0" fontId="28" fillId="7" borderId="11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wrapText="1" shrinkToFit="1"/>
    </xf>
    <xf numFmtId="0" fontId="7" fillId="5" borderId="11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left" wrapText="1" shrinkToFit="1"/>
    </xf>
    <xf numFmtId="0" fontId="7" fillId="5" borderId="8" xfId="0" applyFont="1" applyFill="1" applyBorder="1" applyAlignment="1">
      <alignment horizontal="left" wrapText="1" shrinkToFit="1"/>
    </xf>
    <xf numFmtId="0" fontId="31" fillId="0" borderId="8" xfId="0" applyFont="1" applyFill="1" applyBorder="1" applyAlignment="1">
      <alignment horizontal="center" wrapText="1" shrinkToFit="1"/>
    </xf>
    <xf numFmtId="0" fontId="31" fillId="0" borderId="9" xfId="0" applyFont="1" applyFill="1" applyBorder="1" applyAlignment="1">
      <alignment horizontal="center" wrapText="1" shrinkToFit="1"/>
    </xf>
    <xf numFmtId="0" fontId="31" fillId="0" borderId="11" xfId="0" applyFont="1" applyFill="1" applyBorder="1" applyAlignment="1">
      <alignment horizontal="center" wrapText="1" shrinkToFit="1"/>
    </xf>
    <xf numFmtId="0" fontId="31" fillId="0" borderId="12" xfId="0" applyFont="1" applyFill="1" applyBorder="1" applyAlignment="1">
      <alignment horizontal="center" wrapText="1" shrinkToFit="1"/>
    </xf>
    <xf numFmtId="0" fontId="1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7" fillId="5" borderId="4" xfId="0" applyFont="1" applyFill="1" applyBorder="1" applyAlignment="1">
      <alignment horizontal="left" wrapText="1" shrinkToFit="1"/>
    </xf>
    <xf numFmtId="0" fontId="7" fillId="5" borderId="5" xfId="0" applyFont="1" applyFill="1" applyBorder="1" applyAlignment="1">
      <alignment horizontal="left" wrapText="1" shrinkToFit="1"/>
    </xf>
    <xf numFmtId="0" fontId="31" fillId="0" borderId="5" xfId="0" applyFont="1" applyFill="1" applyBorder="1" applyAlignment="1">
      <alignment horizontal="center" wrapText="1" shrinkToFit="1"/>
    </xf>
    <xf numFmtId="0" fontId="31" fillId="0" borderId="6" xfId="0" applyFont="1" applyFill="1" applyBorder="1" applyAlignment="1">
      <alignment horizontal="center" wrapText="1" shrinkToFit="1"/>
    </xf>
    <xf numFmtId="0" fontId="20" fillId="3" borderId="22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9" fillId="6" borderId="23" xfId="0" applyFont="1" applyFill="1" applyBorder="1" applyAlignment="1">
      <alignment horizontal="center"/>
    </xf>
    <xf numFmtId="0" fontId="29" fillId="6" borderId="24" xfId="0" applyFont="1" applyFill="1" applyBorder="1" applyAlignment="1">
      <alignment horizontal="center"/>
    </xf>
    <xf numFmtId="0" fontId="29" fillId="6" borderId="25" xfId="0" applyFont="1" applyFill="1" applyBorder="1" applyAlignment="1">
      <alignment horizontal="center"/>
    </xf>
    <xf numFmtId="0" fontId="19" fillId="7" borderId="26" xfId="0" applyFont="1" applyFill="1" applyBorder="1" applyAlignment="1">
      <alignment horizontal="center" vertical="center"/>
    </xf>
    <xf numFmtId="0" fontId="19" fillId="7" borderId="27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19" fillId="5" borderId="16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7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FFE3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57150</xdr:rowOff>
    </xdr:from>
    <xdr:to>
      <xdr:col>2</xdr:col>
      <xdr:colOff>122974</xdr:colOff>
      <xdr:row>2</xdr:row>
      <xdr:rowOff>228600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25" y="57150"/>
          <a:ext cx="748449" cy="806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63500</xdr:rowOff>
    </xdr:from>
    <xdr:to>
      <xdr:col>2</xdr:col>
      <xdr:colOff>0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63500"/>
          <a:ext cx="6223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63500</xdr:rowOff>
    </xdr:from>
    <xdr:to>
      <xdr:col>2</xdr:col>
      <xdr:colOff>0</xdr:colOff>
      <xdr:row>3</xdr:row>
      <xdr:rowOff>28575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63500"/>
          <a:ext cx="635000" cy="56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41"/>
  <sheetViews>
    <sheetView tabSelected="1" topLeftCell="M4" zoomScaleNormal="100" workbookViewId="0">
      <selection activeCell="N15" sqref="N15"/>
    </sheetView>
  </sheetViews>
  <sheetFormatPr baseColWidth="10" defaultRowHeight="15.75" x14ac:dyDescent="0.25"/>
  <cols>
    <col min="3" max="3" width="11.875" customWidth="1"/>
    <col min="4" max="4" width="13.125" customWidth="1"/>
    <col min="5" max="6" width="23" customWidth="1"/>
    <col min="7" max="7" width="17.5" customWidth="1"/>
    <col min="8" max="8" width="20.5" customWidth="1"/>
    <col min="9" max="9" width="11.875" customWidth="1"/>
    <col min="10" max="10" width="21.5" customWidth="1"/>
    <col min="11" max="11" width="23.5" customWidth="1"/>
    <col min="12" max="12" width="21.125" customWidth="1"/>
    <col min="13" max="13" width="12.125" customWidth="1"/>
    <col min="14" max="14" width="13.625" customWidth="1"/>
    <col min="15" max="15" width="14.875" customWidth="1"/>
    <col min="16" max="16" width="14.5" customWidth="1"/>
    <col min="17" max="17" width="21.5" customWidth="1"/>
    <col min="18" max="18" width="19.875" customWidth="1"/>
    <col min="19" max="19" width="18.5" style="1" customWidth="1"/>
    <col min="20" max="20" width="18.625" style="1" customWidth="1"/>
    <col min="21" max="21" width="28.125" customWidth="1"/>
    <col min="22" max="22" width="14.375" customWidth="1"/>
    <col min="23" max="23" width="21.625" customWidth="1"/>
    <col min="25" max="25" width="4.625" hidden="1" customWidth="1"/>
  </cols>
  <sheetData>
    <row r="1" spans="2:25" ht="24.95" customHeight="1" x14ac:dyDescent="0.25">
      <c r="B1" s="75" t="s">
        <v>52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2:25" ht="24.95" customHeigh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2:25" ht="24.95" customHeight="1" x14ac:dyDescent="0.25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2:25" ht="16.5" thickBot="1" x14ac:dyDescent="0.3">
      <c r="B4" s="74"/>
      <c r="C4" s="74"/>
      <c r="D4" s="74"/>
      <c r="E4" s="74"/>
      <c r="F4" s="74"/>
      <c r="G4" s="74"/>
    </row>
    <row r="5" spans="2:25" ht="15.75" customHeight="1" x14ac:dyDescent="0.25">
      <c r="C5" s="76" t="s">
        <v>0</v>
      </c>
      <c r="D5" s="77"/>
      <c r="E5" s="77"/>
      <c r="F5" s="78"/>
      <c r="G5" s="79"/>
    </row>
    <row r="6" spans="2:25" ht="15" customHeight="1" x14ac:dyDescent="0.25">
      <c r="C6" s="68" t="s">
        <v>1</v>
      </c>
      <c r="D6" s="69"/>
      <c r="E6" s="69"/>
      <c r="F6" s="70"/>
      <c r="G6" s="71"/>
    </row>
    <row r="7" spans="2:25" x14ac:dyDescent="0.25">
      <c r="C7" s="68" t="s">
        <v>2</v>
      </c>
      <c r="D7" s="69"/>
      <c r="E7" s="69"/>
      <c r="F7" s="70"/>
      <c r="G7" s="71"/>
    </row>
    <row r="8" spans="2:25" x14ac:dyDescent="0.25">
      <c r="C8" s="68" t="s">
        <v>3</v>
      </c>
      <c r="D8" s="69"/>
      <c r="E8" s="69"/>
      <c r="F8" s="70"/>
      <c r="G8" s="71"/>
    </row>
    <row r="9" spans="2:25" ht="16.5" customHeight="1" x14ac:dyDescent="0.25">
      <c r="C9" s="68" t="s">
        <v>50</v>
      </c>
      <c r="D9" s="69"/>
      <c r="E9" s="69"/>
      <c r="F9" s="70"/>
      <c r="G9" s="71"/>
    </row>
    <row r="10" spans="2:25" ht="14.25" customHeight="1" thickBot="1" x14ac:dyDescent="0.3">
      <c r="C10" s="66" t="s">
        <v>51</v>
      </c>
      <c r="D10" s="67"/>
      <c r="E10" s="67"/>
      <c r="F10" s="72"/>
      <c r="G10" s="73"/>
    </row>
    <row r="11" spans="2:25" ht="27.95" customHeight="1" x14ac:dyDescent="0.25">
      <c r="C11" s="29"/>
      <c r="D11" s="29"/>
      <c r="E11" s="29"/>
      <c r="F11" s="29"/>
      <c r="G11" s="29"/>
    </row>
    <row r="12" spans="2:25" ht="16.5" thickBot="1" x14ac:dyDescent="0.3">
      <c r="S12"/>
      <c r="T12"/>
    </row>
    <row r="13" spans="2:25" s="2" customFormat="1" ht="45" customHeight="1" thickBot="1" x14ac:dyDescent="0.3">
      <c r="B13" s="48" t="s">
        <v>12</v>
      </c>
      <c r="C13" s="49" t="s">
        <v>11</v>
      </c>
      <c r="D13" s="49" t="s">
        <v>4</v>
      </c>
      <c r="E13" s="49" t="s">
        <v>65</v>
      </c>
      <c r="F13" s="49" t="s">
        <v>66</v>
      </c>
      <c r="G13" s="49" t="s">
        <v>34</v>
      </c>
      <c r="H13" s="49" t="s">
        <v>10</v>
      </c>
      <c r="I13" s="49" t="s">
        <v>5</v>
      </c>
      <c r="J13" s="49" t="s">
        <v>9</v>
      </c>
      <c r="K13" s="49" t="s">
        <v>39</v>
      </c>
      <c r="L13" s="49" t="s">
        <v>38</v>
      </c>
      <c r="M13" s="49" t="s">
        <v>58</v>
      </c>
      <c r="N13" s="49" t="s">
        <v>40</v>
      </c>
      <c r="O13" s="49" t="s">
        <v>41</v>
      </c>
      <c r="P13" s="50" t="s">
        <v>64</v>
      </c>
      <c r="Q13" s="50" t="s">
        <v>42</v>
      </c>
      <c r="R13" s="50" t="s">
        <v>6</v>
      </c>
      <c r="S13" s="50" t="s">
        <v>8</v>
      </c>
      <c r="T13" s="50" t="s">
        <v>37</v>
      </c>
      <c r="U13" s="50" t="s">
        <v>35</v>
      </c>
      <c r="V13" s="50" t="s">
        <v>36</v>
      </c>
      <c r="W13" s="51" t="s">
        <v>7</v>
      </c>
      <c r="Y13" s="46" t="s">
        <v>53</v>
      </c>
    </row>
    <row r="14" spans="2:25" s="17" customFormat="1" x14ac:dyDescent="0.25">
      <c r="B14" s="40"/>
      <c r="C14" s="41"/>
      <c r="D14" s="42"/>
      <c r="E14" s="41"/>
      <c r="F14" s="41"/>
      <c r="G14" s="42"/>
      <c r="H14" s="42"/>
      <c r="I14" s="41"/>
      <c r="J14" s="42"/>
      <c r="K14" s="42"/>
      <c r="L14" s="42"/>
      <c r="M14" s="43"/>
      <c r="N14" s="42"/>
      <c r="O14" s="42"/>
      <c r="P14" s="43"/>
      <c r="Q14" s="42"/>
      <c r="R14" s="42"/>
      <c r="S14" s="44"/>
      <c r="T14" s="44"/>
      <c r="U14" s="42"/>
      <c r="V14" s="42"/>
      <c r="W14" s="45"/>
      <c r="Y14" s="46" t="s">
        <v>54</v>
      </c>
    </row>
    <row r="15" spans="2:25" s="17" customFormat="1" x14ac:dyDescent="0.25">
      <c r="B15" s="14"/>
      <c r="C15" s="12"/>
      <c r="D15" s="13"/>
      <c r="E15" s="12"/>
      <c r="F15" s="12"/>
      <c r="G15" s="13"/>
      <c r="H15" s="13"/>
      <c r="I15" s="12"/>
      <c r="J15" s="13"/>
      <c r="K15" s="13"/>
      <c r="L15" s="13"/>
      <c r="M15" s="30"/>
      <c r="N15" s="13"/>
      <c r="O15" s="13"/>
      <c r="P15" s="30"/>
      <c r="Q15" s="13"/>
      <c r="R15" s="13"/>
      <c r="S15" s="15"/>
      <c r="T15" s="15"/>
      <c r="U15" s="13"/>
      <c r="V15" s="13"/>
      <c r="W15" s="16"/>
      <c r="Y15" s="47" t="s">
        <v>31</v>
      </c>
    </row>
    <row r="16" spans="2:25" s="17" customFormat="1" x14ac:dyDescent="0.25">
      <c r="B16" s="14"/>
      <c r="C16" s="12"/>
      <c r="D16" s="13"/>
      <c r="E16" s="12"/>
      <c r="F16" s="12"/>
      <c r="G16" s="13"/>
      <c r="H16" s="13"/>
      <c r="I16" s="12"/>
      <c r="J16" s="13"/>
      <c r="K16" s="13"/>
      <c r="L16" s="13"/>
      <c r="M16" s="30"/>
      <c r="N16" s="13"/>
      <c r="O16" s="13"/>
      <c r="P16" s="30"/>
      <c r="Q16" s="13"/>
      <c r="R16" s="13"/>
      <c r="S16" s="15"/>
      <c r="T16" s="15"/>
      <c r="U16" s="13"/>
      <c r="V16" s="13"/>
      <c r="W16" s="16"/>
      <c r="Y16" s="46" t="s">
        <v>56</v>
      </c>
    </row>
    <row r="17" spans="2:25" s="17" customFormat="1" x14ac:dyDescent="0.25">
      <c r="B17" s="14"/>
      <c r="C17" s="12"/>
      <c r="D17" s="13"/>
      <c r="E17" s="12"/>
      <c r="F17" s="12"/>
      <c r="G17" s="13"/>
      <c r="H17" s="13"/>
      <c r="I17" s="12"/>
      <c r="J17" s="13"/>
      <c r="K17" s="13"/>
      <c r="L17" s="13"/>
      <c r="M17" s="30"/>
      <c r="N17" s="13"/>
      <c r="O17" s="13"/>
      <c r="P17" s="30"/>
      <c r="Q17" s="13"/>
      <c r="R17" s="13"/>
      <c r="S17" s="15"/>
      <c r="T17" s="15"/>
      <c r="U17" s="13"/>
      <c r="V17" s="13"/>
      <c r="W17" s="16"/>
      <c r="Y17" s="47" t="s">
        <v>60</v>
      </c>
    </row>
    <row r="18" spans="2:25" s="17" customFormat="1" x14ac:dyDescent="0.25">
      <c r="B18" s="14"/>
      <c r="C18" s="12"/>
      <c r="D18" s="13"/>
      <c r="E18" s="12"/>
      <c r="F18" s="12"/>
      <c r="G18" s="13"/>
      <c r="H18" s="13"/>
      <c r="I18" s="12"/>
      <c r="J18" s="13"/>
      <c r="K18" s="13"/>
      <c r="L18" s="13"/>
      <c r="M18" s="30"/>
      <c r="N18" s="13"/>
      <c r="O18" s="13"/>
      <c r="P18" s="30"/>
      <c r="Q18" s="13"/>
      <c r="R18" s="13"/>
      <c r="S18" s="15"/>
      <c r="T18" s="15"/>
      <c r="U18" s="13"/>
      <c r="V18" s="13"/>
      <c r="W18" s="16"/>
      <c r="Y18" s="46" t="s">
        <v>28</v>
      </c>
    </row>
    <row r="19" spans="2:25" s="17" customFormat="1" x14ac:dyDescent="0.25">
      <c r="B19" s="14"/>
      <c r="C19" s="12"/>
      <c r="D19" s="13"/>
      <c r="E19" s="12"/>
      <c r="F19" s="12"/>
      <c r="G19" s="13"/>
      <c r="H19" s="13"/>
      <c r="I19" s="12"/>
      <c r="J19" s="13"/>
      <c r="K19" s="13"/>
      <c r="L19" s="13"/>
      <c r="M19" s="30"/>
      <c r="N19" s="13"/>
      <c r="O19" s="13"/>
      <c r="P19" s="30"/>
      <c r="Q19" s="13"/>
      <c r="R19" s="13"/>
      <c r="S19" s="15"/>
      <c r="T19" s="15"/>
      <c r="U19" s="13"/>
      <c r="V19" s="13"/>
      <c r="W19" s="16"/>
      <c r="Y19" s="46" t="s">
        <v>29</v>
      </c>
    </row>
    <row r="20" spans="2:25" s="17" customFormat="1" x14ac:dyDescent="0.25">
      <c r="B20" s="14"/>
      <c r="C20" s="12"/>
      <c r="D20" s="13"/>
      <c r="E20" s="12"/>
      <c r="F20" s="12"/>
      <c r="G20" s="13"/>
      <c r="H20" s="13"/>
      <c r="I20" s="12"/>
      <c r="J20" s="13"/>
      <c r="K20" s="13"/>
      <c r="L20" s="13"/>
      <c r="M20" s="30"/>
      <c r="N20" s="13"/>
      <c r="O20" s="13"/>
      <c r="P20" s="30"/>
      <c r="Q20" s="13"/>
      <c r="R20" s="13"/>
      <c r="S20" s="15"/>
      <c r="T20" s="15"/>
      <c r="U20" s="13"/>
      <c r="V20" s="13"/>
      <c r="W20" s="16"/>
      <c r="Y20" s="46" t="s">
        <v>30</v>
      </c>
    </row>
    <row r="21" spans="2:25" s="17" customFormat="1" ht="15" customHeight="1" x14ac:dyDescent="0.25">
      <c r="B21" s="14"/>
      <c r="C21" s="12"/>
      <c r="D21" s="13"/>
      <c r="E21" s="12"/>
      <c r="F21" s="12"/>
      <c r="G21" s="13"/>
      <c r="H21" s="13"/>
      <c r="I21" s="12"/>
      <c r="J21" s="13"/>
      <c r="K21" s="13"/>
      <c r="L21" s="13"/>
      <c r="M21" s="30"/>
      <c r="N21" s="13"/>
      <c r="O21" s="13"/>
      <c r="P21" s="30"/>
      <c r="Q21" s="13"/>
      <c r="R21" s="13"/>
      <c r="S21" s="15"/>
      <c r="T21" s="15"/>
      <c r="U21" s="13"/>
      <c r="V21" s="13"/>
      <c r="W21" s="16"/>
      <c r="Y21" s="47" t="s">
        <v>57</v>
      </c>
    </row>
    <row r="22" spans="2:25" s="17" customFormat="1" x14ac:dyDescent="0.25">
      <c r="B22" s="14"/>
      <c r="C22" s="12"/>
      <c r="D22" s="13"/>
      <c r="E22" s="12"/>
      <c r="F22" s="12"/>
      <c r="G22" s="13"/>
      <c r="H22" s="13"/>
      <c r="I22" s="12"/>
      <c r="J22" s="13"/>
      <c r="K22" s="13"/>
      <c r="L22" s="13"/>
      <c r="M22" s="30"/>
      <c r="N22" s="13"/>
      <c r="O22" s="13"/>
      <c r="P22" s="30"/>
      <c r="Q22" s="13"/>
      <c r="R22" s="13"/>
      <c r="S22" s="15"/>
      <c r="T22" s="15"/>
      <c r="U22" s="13"/>
      <c r="V22" s="13"/>
      <c r="W22" s="16"/>
    </row>
    <row r="23" spans="2:25" s="17" customFormat="1" x14ac:dyDescent="0.25">
      <c r="B23" s="14"/>
      <c r="C23" s="12"/>
      <c r="D23" s="13"/>
      <c r="E23" s="12"/>
      <c r="F23" s="12"/>
      <c r="G23" s="13"/>
      <c r="H23" s="13"/>
      <c r="I23" s="12"/>
      <c r="J23" s="13"/>
      <c r="K23" s="13"/>
      <c r="L23" s="13"/>
      <c r="M23" s="30"/>
      <c r="N23" s="13"/>
      <c r="O23" s="13"/>
      <c r="P23" s="30"/>
      <c r="Q23" s="13"/>
      <c r="R23" s="13"/>
      <c r="S23" s="15"/>
      <c r="T23" s="15"/>
      <c r="U23" s="13"/>
      <c r="V23" s="13"/>
      <c r="W23" s="16"/>
    </row>
    <row r="24" spans="2:25" s="17" customFormat="1" x14ac:dyDescent="0.25">
      <c r="B24" s="14"/>
      <c r="C24" s="12"/>
      <c r="D24" s="13"/>
      <c r="E24" s="12"/>
      <c r="F24" s="12"/>
      <c r="G24" s="13"/>
      <c r="H24" s="13"/>
      <c r="I24" s="12"/>
      <c r="J24" s="13"/>
      <c r="K24" s="13"/>
      <c r="L24" s="13"/>
      <c r="M24" s="30"/>
      <c r="N24" s="13"/>
      <c r="O24" s="13"/>
      <c r="P24" s="30"/>
      <c r="Q24" s="13"/>
      <c r="R24" s="13"/>
      <c r="S24" s="15"/>
      <c r="T24" s="15"/>
      <c r="U24" s="13"/>
      <c r="V24" s="13"/>
      <c r="W24" s="16"/>
    </row>
    <row r="25" spans="2:25" s="17" customFormat="1" x14ac:dyDescent="0.25">
      <c r="B25" s="14"/>
      <c r="C25" s="12"/>
      <c r="D25" s="13"/>
      <c r="E25" s="12"/>
      <c r="F25" s="12"/>
      <c r="G25" s="13"/>
      <c r="H25" s="13"/>
      <c r="I25" s="12"/>
      <c r="J25" s="13"/>
      <c r="K25" s="13"/>
      <c r="L25" s="13"/>
      <c r="M25" s="30"/>
      <c r="N25" s="13"/>
      <c r="O25" s="13"/>
      <c r="P25" s="30"/>
      <c r="Q25" s="13"/>
      <c r="R25" s="13"/>
      <c r="S25" s="15"/>
      <c r="T25" s="15"/>
      <c r="U25" s="13"/>
      <c r="V25" s="13"/>
      <c r="W25" s="16"/>
    </row>
    <row r="26" spans="2:25" s="17" customFormat="1" x14ac:dyDescent="0.25">
      <c r="B26" s="14"/>
      <c r="C26" s="12"/>
      <c r="D26" s="13"/>
      <c r="E26" s="12"/>
      <c r="F26" s="12"/>
      <c r="G26" s="13"/>
      <c r="H26" s="13"/>
      <c r="I26" s="12"/>
      <c r="J26" s="13"/>
      <c r="K26" s="13"/>
      <c r="L26" s="13"/>
      <c r="M26" s="30"/>
      <c r="N26" s="13"/>
      <c r="O26" s="13"/>
      <c r="P26" s="30"/>
      <c r="Q26" s="13"/>
      <c r="R26" s="13"/>
      <c r="S26" s="15"/>
      <c r="T26" s="15"/>
      <c r="U26" s="13"/>
      <c r="V26" s="13"/>
      <c r="W26" s="16"/>
    </row>
    <row r="27" spans="2:25" s="17" customFormat="1" x14ac:dyDescent="0.25">
      <c r="B27" s="14"/>
      <c r="C27" s="12"/>
      <c r="D27" s="32"/>
      <c r="E27" s="12"/>
      <c r="F27" s="12"/>
      <c r="G27" s="13"/>
      <c r="H27" s="13"/>
      <c r="I27" s="12"/>
      <c r="J27" s="13"/>
      <c r="K27" s="13"/>
      <c r="L27" s="13"/>
      <c r="M27" s="30"/>
      <c r="N27" s="13"/>
      <c r="O27" s="13"/>
      <c r="P27" s="30"/>
      <c r="Q27" s="13"/>
      <c r="R27" s="13"/>
      <c r="S27" s="15"/>
      <c r="T27" s="15"/>
      <c r="U27" s="13"/>
      <c r="V27" s="13"/>
      <c r="W27" s="16"/>
    </row>
    <row r="28" spans="2:25" s="17" customFormat="1" x14ac:dyDescent="0.25">
      <c r="B28" s="14"/>
      <c r="C28" s="12"/>
      <c r="D28" s="13"/>
      <c r="E28" s="12"/>
      <c r="F28" s="12"/>
      <c r="G28" s="13"/>
      <c r="H28" s="13"/>
      <c r="I28" s="12"/>
      <c r="J28" s="13"/>
      <c r="K28" s="13"/>
      <c r="L28" s="13"/>
      <c r="M28" s="30"/>
      <c r="N28" s="13"/>
      <c r="O28" s="13"/>
      <c r="P28" s="30"/>
      <c r="Q28" s="13"/>
      <c r="R28" s="13"/>
      <c r="S28" s="15"/>
      <c r="T28" s="15"/>
      <c r="U28" s="13"/>
      <c r="V28" s="13"/>
      <c r="W28" s="16"/>
    </row>
    <row r="29" spans="2:25" s="17" customFormat="1" x14ac:dyDescent="0.25">
      <c r="B29" s="14"/>
      <c r="C29" s="12"/>
      <c r="D29" s="13"/>
      <c r="E29" s="12"/>
      <c r="F29" s="12"/>
      <c r="G29" s="13"/>
      <c r="H29" s="13"/>
      <c r="I29" s="12"/>
      <c r="J29" s="13"/>
      <c r="K29" s="13"/>
      <c r="L29" s="13"/>
      <c r="M29" s="30"/>
      <c r="N29" s="13"/>
      <c r="O29" s="13"/>
      <c r="P29" s="30"/>
      <c r="Q29" s="13"/>
      <c r="R29" s="13"/>
      <c r="S29" s="15"/>
      <c r="T29" s="15"/>
      <c r="U29" s="13"/>
      <c r="V29" s="13"/>
      <c r="W29" s="16"/>
    </row>
    <row r="30" spans="2:25" s="17" customFormat="1" x14ac:dyDescent="0.25">
      <c r="B30" s="14"/>
      <c r="C30" s="12"/>
      <c r="D30" s="13"/>
      <c r="E30" s="12"/>
      <c r="F30" s="12"/>
      <c r="G30" s="13"/>
      <c r="H30" s="13"/>
      <c r="I30" s="12"/>
      <c r="J30" s="13"/>
      <c r="K30" s="13"/>
      <c r="L30" s="13"/>
      <c r="M30" s="30"/>
      <c r="N30" s="13"/>
      <c r="O30" s="13"/>
      <c r="P30" s="30"/>
      <c r="Q30" s="13"/>
      <c r="R30" s="13"/>
      <c r="S30" s="15"/>
      <c r="T30" s="15"/>
      <c r="U30" s="13"/>
      <c r="V30" s="13"/>
      <c r="W30" s="16"/>
    </row>
    <row r="31" spans="2:25" s="17" customFormat="1" x14ac:dyDescent="0.25">
      <c r="B31" s="14"/>
      <c r="C31" s="12"/>
      <c r="D31" s="13"/>
      <c r="E31" s="12"/>
      <c r="F31" s="12"/>
      <c r="G31" s="13"/>
      <c r="H31" s="13"/>
      <c r="I31" s="12"/>
      <c r="J31" s="13"/>
      <c r="K31" s="13"/>
      <c r="L31" s="13"/>
      <c r="M31" s="30"/>
      <c r="N31" s="13"/>
      <c r="O31" s="13"/>
      <c r="P31" s="30"/>
      <c r="Q31" s="13"/>
      <c r="R31" s="13"/>
      <c r="S31" s="15"/>
      <c r="T31" s="15"/>
      <c r="U31" s="13"/>
      <c r="V31" s="13"/>
      <c r="W31" s="16"/>
    </row>
    <row r="32" spans="2:25" s="17" customFormat="1" x14ac:dyDescent="0.25">
      <c r="B32" s="14"/>
      <c r="C32" s="12"/>
      <c r="D32" s="13"/>
      <c r="E32" s="12"/>
      <c r="F32" s="12"/>
      <c r="G32" s="13"/>
      <c r="H32" s="13"/>
      <c r="I32" s="12"/>
      <c r="J32" s="13"/>
      <c r="K32" s="13"/>
      <c r="L32" s="13"/>
      <c r="M32" s="30"/>
      <c r="N32" s="13"/>
      <c r="O32" s="13"/>
      <c r="P32" s="30"/>
      <c r="Q32" s="13"/>
      <c r="R32" s="13"/>
      <c r="S32" s="15"/>
      <c r="T32" s="15"/>
      <c r="U32" s="13"/>
      <c r="V32" s="13"/>
      <c r="W32" s="16"/>
    </row>
    <row r="33" spans="2:23" s="17" customFormat="1" x14ac:dyDescent="0.25">
      <c r="B33" s="14"/>
      <c r="C33" s="12"/>
      <c r="D33" s="13"/>
      <c r="E33" s="12"/>
      <c r="F33" s="12"/>
      <c r="G33" s="13"/>
      <c r="H33" s="13"/>
      <c r="I33" s="12"/>
      <c r="J33" s="13"/>
      <c r="K33" s="13"/>
      <c r="L33" s="13"/>
      <c r="M33" s="30"/>
      <c r="N33" s="13"/>
      <c r="O33" s="13"/>
      <c r="P33" s="30"/>
      <c r="Q33" s="13"/>
      <c r="R33" s="13"/>
      <c r="S33" s="15"/>
      <c r="T33" s="15"/>
      <c r="U33" s="13"/>
      <c r="V33" s="13"/>
      <c r="W33" s="16"/>
    </row>
    <row r="34" spans="2:23" s="17" customFormat="1" x14ac:dyDescent="0.25">
      <c r="B34" s="14"/>
      <c r="C34" s="12"/>
      <c r="D34" s="13"/>
      <c r="E34" s="12"/>
      <c r="F34" s="12"/>
      <c r="G34" s="13"/>
      <c r="H34" s="13"/>
      <c r="I34" s="12"/>
      <c r="J34" s="13"/>
      <c r="K34" s="13"/>
      <c r="L34" s="13"/>
      <c r="M34" s="30"/>
      <c r="N34" s="13"/>
      <c r="O34" s="13"/>
      <c r="P34" s="30"/>
      <c r="Q34" s="13"/>
      <c r="R34" s="13"/>
      <c r="S34" s="15"/>
      <c r="T34" s="15"/>
      <c r="U34" s="13"/>
      <c r="V34" s="13"/>
      <c r="W34" s="16"/>
    </row>
    <row r="35" spans="2:23" s="17" customFormat="1" x14ac:dyDescent="0.25">
      <c r="B35" s="14"/>
      <c r="C35" s="12"/>
      <c r="D35" s="13"/>
      <c r="E35" s="12"/>
      <c r="F35" s="12"/>
      <c r="G35" s="13"/>
      <c r="H35" s="13"/>
      <c r="I35" s="12"/>
      <c r="J35" s="13"/>
      <c r="K35" s="13"/>
      <c r="L35" s="13"/>
      <c r="M35" s="30"/>
      <c r="N35" s="13"/>
      <c r="O35" s="13"/>
      <c r="P35" s="30"/>
      <c r="Q35" s="13"/>
      <c r="R35" s="13"/>
      <c r="S35" s="15"/>
      <c r="T35" s="15"/>
      <c r="U35" s="13"/>
      <c r="V35" s="13"/>
      <c r="W35" s="16"/>
    </row>
    <row r="36" spans="2:23" s="17" customFormat="1" x14ac:dyDescent="0.25">
      <c r="B36" s="14"/>
      <c r="C36" s="12"/>
      <c r="D36" s="13"/>
      <c r="E36" s="12"/>
      <c r="F36" s="12"/>
      <c r="G36" s="13"/>
      <c r="H36" s="13"/>
      <c r="I36" s="12"/>
      <c r="J36" s="13"/>
      <c r="K36" s="13"/>
      <c r="L36" s="13"/>
      <c r="M36" s="30"/>
      <c r="N36" s="13"/>
      <c r="O36" s="13"/>
      <c r="P36" s="30"/>
      <c r="Q36" s="13"/>
      <c r="R36" s="13"/>
      <c r="S36" s="15"/>
      <c r="T36" s="15"/>
      <c r="U36" s="13"/>
      <c r="V36" s="13"/>
      <c r="W36" s="16"/>
    </row>
    <row r="37" spans="2:23" s="17" customFormat="1" x14ac:dyDescent="0.25">
      <c r="B37" s="14"/>
      <c r="C37" s="12"/>
      <c r="D37" s="13"/>
      <c r="E37" s="12"/>
      <c r="F37" s="12"/>
      <c r="G37" s="13"/>
      <c r="H37" s="13"/>
      <c r="I37" s="12"/>
      <c r="J37" s="13"/>
      <c r="K37" s="13"/>
      <c r="L37" s="13"/>
      <c r="M37" s="30"/>
      <c r="N37" s="13"/>
      <c r="O37" s="13"/>
      <c r="P37" s="30"/>
      <c r="Q37" s="13"/>
      <c r="R37" s="13"/>
      <c r="S37" s="15"/>
      <c r="T37" s="15"/>
      <c r="U37" s="13"/>
      <c r="V37" s="13"/>
      <c r="W37" s="16"/>
    </row>
    <row r="38" spans="2:23" s="17" customFormat="1" x14ac:dyDescent="0.25">
      <c r="B38" s="14"/>
      <c r="C38" s="12"/>
      <c r="D38" s="13"/>
      <c r="E38" s="12"/>
      <c r="F38" s="12"/>
      <c r="G38" s="13"/>
      <c r="H38" s="13"/>
      <c r="I38" s="12"/>
      <c r="J38" s="13"/>
      <c r="K38" s="13"/>
      <c r="L38" s="13"/>
      <c r="M38" s="30"/>
      <c r="N38" s="13"/>
      <c r="O38" s="13"/>
      <c r="P38" s="30"/>
      <c r="Q38" s="13"/>
      <c r="R38" s="13"/>
      <c r="S38" s="15"/>
      <c r="T38" s="15"/>
      <c r="U38" s="13"/>
      <c r="V38" s="13"/>
      <c r="W38" s="16"/>
    </row>
    <row r="39" spans="2:23" s="17" customFormat="1" x14ac:dyDescent="0.25">
      <c r="B39" s="14"/>
      <c r="C39" s="12"/>
      <c r="D39" s="13"/>
      <c r="E39" s="12"/>
      <c r="F39" s="12"/>
      <c r="G39" s="13"/>
      <c r="H39" s="13"/>
      <c r="I39" s="12"/>
      <c r="J39" s="13"/>
      <c r="K39" s="13"/>
      <c r="L39" s="13"/>
      <c r="M39" s="30"/>
      <c r="N39" s="13"/>
      <c r="O39" s="13"/>
      <c r="P39" s="30"/>
      <c r="Q39" s="13"/>
      <c r="R39" s="13"/>
      <c r="S39" s="15"/>
      <c r="T39" s="15"/>
      <c r="U39" s="13"/>
      <c r="V39" s="13"/>
      <c r="W39" s="16"/>
    </row>
    <row r="40" spans="2:23" s="17" customFormat="1" x14ac:dyDescent="0.25">
      <c r="B40" s="14"/>
      <c r="C40" s="12"/>
      <c r="D40" s="13"/>
      <c r="E40" s="12"/>
      <c r="F40" s="12"/>
      <c r="G40" s="13"/>
      <c r="H40" s="13"/>
      <c r="I40" s="12"/>
      <c r="J40" s="13"/>
      <c r="K40" s="13"/>
      <c r="L40" s="13"/>
      <c r="M40" s="30"/>
      <c r="N40" s="13"/>
      <c r="O40" s="13"/>
      <c r="P40" s="30"/>
      <c r="Q40" s="13"/>
      <c r="R40" s="13"/>
      <c r="S40" s="15"/>
      <c r="T40" s="15"/>
      <c r="U40" s="13"/>
      <c r="V40" s="13"/>
      <c r="W40" s="16"/>
    </row>
    <row r="41" spans="2:23" s="17" customFormat="1" ht="16.5" thickBot="1" x14ac:dyDescent="0.3">
      <c r="B41" s="18"/>
      <c r="C41" s="19"/>
      <c r="D41" s="20"/>
      <c r="E41" s="19"/>
      <c r="F41" s="19"/>
      <c r="G41" s="20"/>
      <c r="H41" s="20"/>
      <c r="I41" s="19"/>
      <c r="J41" s="20"/>
      <c r="K41" s="20"/>
      <c r="L41" s="20"/>
      <c r="M41" s="31"/>
      <c r="N41" s="20"/>
      <c r="O41" s="20"/>
      <c r="P41" s="31"/>
      <c r="Q41" s="20"/>
      <c r="R41" s="20"/>
      <c r="S41" s="21"/>
      <c r="T41" s="21"/>
      <c r="U41" s="20"/>
      <c r="V41" s="20"/>
      <c r="W41" s="22"/>
    </row>
  </sheetData>
  <mergeCells count="14">
    <mergeCell ref="B4:G4"/>
    <mergeCell ref="B1:W3"/>
    <mergeCell ref="C5:E5"/>
    <mergeCell ref="C6:E6"/>
    <mergeCell ref="F5:G5"/>
    <mergeCell ref="F6:G6"/>
    <mergeCell ref="C10:E10"/>
    <mergeCell ref="C7:E7"/>
    <mergeCell ref="C8:E8"/>
    <mergeCell ref="C9:E9"/>
    <mergeCell ref="F7:G7"/>
    <mergeCell ref="F8:G8"/>
    <mergeCell ref="F9:G9"/>
    <mergeCell ref="F10:G10"/>
  </mergeCells>
  <dataValidations count="11">
    <dataValidation type="list" allowBlank="1" showInputMessage="1" showErrorMessage="1" sqref="L14:L41">
      <formula1>"Asegurador de Calidad, Auditor de Configuración,"</formula1>
    </dataValidation>
    <dataValidation type="list" allowBlank="1" showInputMessage="1" showErrorMessage="1" sqref="I14:I41">
      <formula1>"CB, CM, CA"</formula1>
    </dataValidation>
    <dataValidation type="list" allowBlank="1" showInputMessage="1" showErrorMessage="1" sqref="F42 E14:E42">
      <formula1>"Inicio, Definición Global, Planeación Global, Análisis y Diseño por Iteración, Construcción por Iteración, Pruebas por Iteración, Implementación por iteración, Cierre por Iteración, Implantación Global,Cierre Global"</formula1>
    </dataValidation>
    <dataValidation type="list" allowBlank="1" showInputMessage="1" showErrorMessage="1" sqref="C14:C41">
      <formula1>"NC, IN"</formula1>
    </dataValidation>
    <dataValidation type="list" allowBlank="1" showInputMessage="1" showErrorMessage="1" sqref="K14:K41">
      <formula1>$Y$13:$Y$22</formula1>
    </dataValidation>
    <dataValidation type="list" allowBlank="1" showInputMessage="1" showErrorMessage="1" sqref="F6:G6">
      <formula1>"Interno, Externo"</formula1>
    </dataValidation>
    <dataValidation type="list" allowBlank="1" showInputMessage="1" showErrorMessage="1" sqref="O30:O41">
      <formula1>"Tiempo, Apatía, Error en Producto de Trabajo, Capacitación"</formula1>
    </dataValidation>
    <dataValidation type="list" allowBlank="1" showInputMessage="1" showErrorMessage="1" sqref="O15:O17 O19:O21 O23:O25 O27:O29">
      <formula1>"Tiempo, Apatía,Error en Producto de Trabajo,Capacitación"</formula1>
    </dataValidation>
    <dataValidation type="list" allowBlank="1" showInputMessage="1" showErrorMessage="1" sqref="O14 O18 O22 O26">
      <formula1>"NA,Tiempo, Apatía,Error en Producto de Trabajo,Capacitación"</formula1>
    </dataValidation>
    <dataValidation type="list" allowBlank="1" showInputMessage="1" showErrorMessage="1" sqref="N14:N41">
      <formula1>"Abierta, Cerrada, Error, Weaver,No se puede resolver"</formula1>
    </dataValidation>
    <dataValidation type="list" allowBlank="1" showInputMessage="1" showErrorMessage="1" sqref="F14:F41">
      <formula1>"Administración de proyectos,Ingeniería, Soporte,NA"</formula1>
    </dataValidation>
  </dataValidations>
  <pageMargins left="0.75" right="0.75" top="1" bottom="1" header="0.5" footer="0.5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zoomScale="85" zoomScaleNormal="85" workbookViewId="0">
      <selection activeCell="E29" sqref="E29"/>
    </sheetView>
  </sheetViews>
  <sheetFormatPr baseColWidth="10" defaultRowHeight="15.75" x14ac:dyDescent="0.25"/>
  <cols>
    <col min="4" max="4" width="21" customWidth="1"/>
    <col min="5" max="5" width="14.25" customWidth="1"/>
    <col min="6" max="6" width="11.75" customWidth="1"/>
    <col min="7" max="7" width="10.125" bestFit="1" customWidth="1"/>
    <col min="8" max="8" width="15.25" customWidth="1"/>
    <col min="9" max="9" width="11" bestFit="1" customWidth="1"/>
    <col min="10" max="10" width="13.375" customWidth="1"/>
    <col min="11" max="11" width="14.625" customWidth="1"/>
    <col min="12" max="12" width="9.375" bestFit="1" customWidth="1"/>
    <col min="13" max="13" width="6.5" bestFit="1" customWidth="1"/>
  </cols>
  <sheetData>
    <row r="1" spans="1:42" ht="24.75" customHeight="1" x14ac:dyDescent="0.25">
      <c r="B1" s="91" t="s">
        <v>33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42" ht="24.75" customHeight="1" x14ac:dyDescent="0.25"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42" ht="24.75" customHeight="1" x14ac:dyDescent="0.25"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spans="1:42" ht="16.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42" ht="15" customHeight="1" x14ac:dyDescent="0.25">
      <c r="A5" s="4"/>
      <c r="B5" s="97" t="s">
        <v>43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9"/>
      <c r="N5" s="4"/>
      <c r="O5" s="4"/>
    </row>
    <row r="6" spans="1:42" ht="38.25" x14ac:dyDescent="0.25">
      <c r="A6" s="4"/>
      <c r="B6" s="92" t="s">
        <v>13</v>
      </c>
      <c r="C6" s="93"/>
      <c r="D6" s="6" t="s">
        <v>32</v>
      </c>
      <c r="E6" s="33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7" t="s">
        <v>23</v>
      </c>
      <c r="N6" s="4"/>
      <c r="O6" s="4"/>
    </row>
    <row r="7" spans="1:42" ht="15" customHeight="1" x14ac:dyDescent="0.25">
      <c r="A7" s="4"/>
      <c r="B7" s="82" t="s">
        <v>14</v>
      </c>
      <c r="C7" s="83"/>
      <c r="D7" s="8" t="s">
        <v>24</v>
      </c>
      <c r="E7" s="10">
        <f>COUNTIFS('Hallazgos y AccionesCorrectivas'!C$14:C$41,"NC",'Hallazgos y AccionesCorrectivas'!I$14:I$41,"CB",'Hallazgos y AccionesCorrectivas'!E$14:E$41,"Inicio")</f>
        <v>0</v>
      </c>
      <c r="F7" s="10">
        <f>COUNTIFS('Hallazgos y AccionesCorrectivas'!C$14:C$41,"NC",'Hallazgos y AccionesCorrectivas'!I$14:I$41,"CB",'Hallazgos y AccionesCorrectivas'!E$14:E$41,"Definición Global")</f>
        <v>0</v>
      </c>
      <c r="G7" s="10">
        <f>COUNTIFS('Hallazgos y AccionesCorrectivas'!C$14:C$41,"NC",'Hallazgos y AccionesCorrectivas'!I$14:I$41,"CB",'Hallazgos y AccionesCorrectivas'!E$14:E$41,"Planeación Global")</f>
        <v>0</v>
      </c>
      <c r="H7" s="10">
        <f>COUNTIFS('Hallazgos y AccionesCorrectivas'!C$14:C$41,"NC",'Hallazgos y AccionesCorrectivas'!I$14:I$41,"CB",'Hallazgos y AccionesCorrectivas'!E$14:E$41,"Análisis y Diseño por Iteración")</f>
        <v>0</v>
      </c>
      <c r="I7" s="10">
        <f>COUNTIFS('Hallazgos y AccionesCorrectivas'!C$14:C$41,"NC",'Hallazgos y AccionesCorrectivas'!I$14:I$41,"CB",'Hallazgos y AccionesCorrectivas'!E$14:E$41,"Construcción por Iteración")</f>
        <v>0</v>
      </c>
      <c r="J7" s="10">
        <f>COUNTIFS('Hallazgos y AccionesCorrectivas'!C$14:C$41,"NC",'Hallazgos y AccionesCorrectivas'!I$14:I$41,"CB",'Hallazgos y AccionesCorrectivas'!E$14:E$41,"Pruebas por Iteración")</f>
        <v>0</v>
      </c>
      <c r="K7" s="10">
        <f>COUNTIFS('Hallazgos y AccionesCorrectivas'!C$14:C$41,"NC",'Hallazgos y AccionesCorrectivas'!I$14:I$41,"CB",'Hallazgos y AccionesCorrectivas'!E$14:E$41,"Implementación por Iteración")</f>
        <v>0</v>
      </c>
      <c r="L7" s="10">
        <f>COUNTIFS('Hallazgos y AccionesCorrectivas'!C$14:C$41,"NC",'Hallazgos y AccionesCorrectivas'!I$14:I$41,"CB",'Hallazgos y AccionesCorrectivas'!E$14:E$41,"Cierre por Iteración")</f>
        <v>0</v>
      </c>
      <c r="M7" s="11">
        <f>COUNTIFS('Hallazgos y AccionesCorrectivas'!C$14:C$41,"NC",'Hallazgos y AccionesCorrectivas'!I$14:I$41,"CB",'Hallazgos y AccionesCorrectivas'!E$14:E$41,"Cierre Global")</f>
        <v>0</v>
      </c>
      <c r="N7" s="4"/>
      <c r="O7" s="4"/>
    </row>
    <row r="8" spans="1:42" s="3" customFormat="1" ht="15" customHeight="1" x14ac:dyDescent="0.25">
      <c r="A8" s="4"/>
      <c r="B8" s="82"/>
      <c r="C8" s="83"/>
      <c r="D8" s="8" t="s">
        <v>25</v>
      </c>
      <c r="E8" s="10">
        <f>COUNTIFS('Hallazgos y AccionesCorrectivas'!C$14:C$41,"NC",'Hallazgos y AccionesCorrectivas'!I$14:I$41,"CM",'Hallazgos y AccionesCorrectivas'!E$14:E$41,"Inicio")</f>
        <v>0</v>
      </c>
      <c r="F8" s="10">
        <f>COUNTIFS('Hallazgos y AccionesCorrectivas'!C$14:C$41,"NC",'Hallazgos y AccionesCorrectivas'!I$14:I$41,"CM",'Hallazgos y AccionesCorrectivas'!E$14:E$41,"Definición Global")</f>
        <v>0</v>
      </c>
      <c r="G8" s="10">
        <f>COUNTIFS('Hallazgos y AccionesCorrectivas'!C$14:C$41,"NC",'Hallazgos y AccionesCorrectivas'!I$14:I$41,"CM",'Hallazgos y AccionesCorrectivas'!E$14:E$41,"Planeación Global")</f>
        <v>0</v>
      </c>
      <c r="H8" s="10">
        <f>COUNTIFS('Hallazgos y AccionesCorrectivas'!C$14:C$41,"NC",'Hallazgos y AccionesCorrectivas'!I$14:I$41,"CM",'Hallazgos y AccionesCorrectivas'!E$14:E$41,"Análisis y Diseño por Iteración")</f>
        <v>0</v>
      </c>
      <c r="I8" s="10">
        <f>COUNTIFS('Hallazgos y AccionesCorrectivas'!C$14:C$41,"NC",'Hallazgos y AccionesCorrectivas'!I$14:I$41,"CM",'Hallazgos y AccionesCorrectivas'!E$14:E$41,"Construcción por Iteración")</f>
        <v>0</v>
      </c>
      <c r="J8" s="10">
        <f>COUNTIFS('Hallazgos y AccionesCorrectivas'!C$14:C$41,"NC",'Hallazgos y AccionesCorrectivas'!I$14:I$41,"CM",'Hallazgos y AccionesCorrectivas'!E$14:E$41,"Pruebas por Iteración")</f>
        <v>0</v>
      </c>
      <c r="K8" s="10">
        <f>COUNTIFS('Hallazgos y AccionesCorrectivas'!C$14:C$41,"NC",'Hallazgos y AccionesCorrectivas'!I$14:I$41,"CM",'Hallazgos y AccionesCorrectivas'!E$14:E$41,"Implementación por Iteración")</f>
        <v>0</v>
      </c>
      <c r="L8" s="10">
        <f>COUNTIFS('Hallazgos y AccionesCorrectivas'!C$14:C$41,"NC",'Hallazgos y AccionesCorrectivas'!I$14:I$41,"CM",'Hallazgos y AccionesCorrectivas'!E$14:E$41,"Cierre por Iteración")</f>
        <v>0</v>
      </c>
      <c r="M8" s="11">
        <f>COUNTIFS('Hallazgos y AccionesCorrectivas'!C$14:C$41,"NC",'Hallazgos y AccionesCorrectivas'!I$14:I$41,"CM",'Hallazgos y AccionesCorrectivas'!E$14:E$41,"Cierre Global")</f>
        <v>0</v>
      </c>
      <c r="N8" s="4"/>
      <c r="O8" s="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3" customFormat="1" ht="15" customHeight="1" thickBot="1" x14ac:dyDescent="0.3">
      <c r="A9" s="4"/>
      <c r="B9" s="84"/>
      <c r="C9" s="85"/>
      <c r="D9" s="9" t="s">
        <v>26</v>
      </c>
      <c r="E9" s="36">
        <f>COUNTIFS('Hallazgos y AccionesCorrectivas'!C$14:C$41,"NC",'Hallazgos y AccionesCorrectivas'!I$14:I$41,"CA",'Hallazgos y AccionesCorrectivas'!E$14:E$41,"Inicio")</f>
        <v>0</v>
      </c>
      <c r="F9" s="36">
        <f>COUNTIFS('Hallazgos y AccionesCorrectivas'!C$14:C$41,"NC",'Hallazgos y AccionesCorrectivas'!I$14:I$41,"CA",'Hallazgos y AccionesCorrectivas'!E$14:E$41,"Definición Global")</f>
        <v>0</v>
      </c>
      <c r="G9" s="36">
        <f>COUNTIFS('Hallazgos y AccionesCorrectivas'!C$14:C$41,"NC",'Hallazgos y AccionesCorrectivas'!I$14:I$41,"CA",'Hallazgos y AccionesCorrectivas'!E$14:E$41,"Planeación Global")</f>
        <v>0</v>
      </c>
      <c r="H9" s="36">
        <f>COUNTIFS('Hallazgos y AccionesCorrectivas'!C$14:C$41,"NC",'Hallazgos y AccionesCorrectivas'!I$14:I$41,"CA",'Hallazgos y AccionesCorrectivas'!E$14:E$41,"Análisis y Diseño por Iteración")</f>
        <v>0</v>
      </c>
      <c r="I9" s="36">
        <f>COUNTIFS('Hallazgos y AccionesCorrectivas'!C$14:C$41,"NC",'Hallazgos y AccionesCorrectivas'!I$14:I$41,"CA",'Hallazgos y AccionesCorrectivas'!E$14:E$41,"Construcción por Iteración")</f>
        <v>0</v>
      </c>
      <c r="J9" s="36">
        <f>COUNTIFS('Hallazgos y AccionesCorrectivas'!C$14:C$41,"NC",'Hallazgos y AccionesCorrectivas'!I$14:I$41,"CA",'Hallazgos y AccionesCorrectivas'!E$14:E$41,"Pruebas por Iteración")</f>
        <v>0</v>
      </c>
      <c r="K9" s="36">
        <f>COUNTIFS('Hallazgos y AccionesCorrectivas'!C$14:C$41,"NC",'Hallazgos y AccionesCorrectivas'!I$14:I$41,"CA",'Hallazgos y AccionesCorrectivas'!E$14:E$41,"Implementación por Iteración")</f>
        <v>0</v>
      </c>
      <c r="L9" s="36">
        <f>COUNTIFS('Hallazgos y AccionesCorrectivas'!C$14:C$41,"NC",'Hallazgos y AccionesCorrectivas'!I$14:I$41,"CA",'Hallazgos y AccionesCorrectivas'!E$14:E$41,"Cierre por Iteración")</f>
        <v>0</v>
      </c>
      <c r="M9" s="37">
        <f>COUNTIFS('Hallazgos y AccionesCorrectivas'!C$14:C$41,"NC",'Hallazgos y AccionesCorrectivas'!I$14:I$41,"CA",'Hallazgos y AccionesCorrectivas'!E$14:E$41,"Cierre Global")</f>
        <v>0</v>
      </c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3" customFormat="1" ht="15" customHeight="1" x14ac:dyDescent="0.2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ht="16.5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42" x14ac:dyDescent="0.25">
      <c r="A12" s="4"/>
      <c r="B12" s="94" t="s">
        <v>44</v>
      </c>
      <c r="C12" s="95"/>
      <c r="D12" s="95"/>
      <c r="E12" s="95"/>
      <c r="F12" s="95"/>
      <c r="G12" s="95"/>
      <c r="H12" s="96"/>
      <c r="I12" s="4"/>
      <c r="J12" s="4"/>
      <c r="K12" s="4"/>
      <c r="L12" s="4"/>
      <c r="M12" s="4"/>
      <c r="N12" s="4"/>
      <c r="O12" s="4"/>
    </row>
    <row r="13" spans="1:42" ht="78" customHeight="1" x14ac:dyDescent="0.25">
      <c r="A13" s="4"/>
      <c r="B13" s="92" t="s">
        <v>13</v>
      </c>
      <c r="C13" s="93"/>
      <c r="D13" s="6" t="s">
        <v>32</v>
      </c>
      <c r="E13" s="27" t="s">
        <v>46</v>
      </c>
      <c r="F13" s="27" t="s">
        <v>47</v>
      </c>
      <c r="G13" s="27" t="s">
        <v>48</v>
      </c>
      <c r="H13" s="28" t="s">
        <v>49</v>
      </c>
      <c r="I13" s="4"/>
      <c r="J13" s="4"/>
      <c r="K13" s="4"/>
      <c r="L13" s="4"/>
      <c r="M13" s="4"/>
      <c r="N13" s="4"/>
      <c r="O13" s="4"/>
    </row>
    <row r="14" spans="1:42" x14ac:dyDescent="0.25">
      <c r="A14" s="4"/>
      <c r="B14" s="82" t="s">
        <v>27</v>
      </c>
      <c r="C14" s="83"/>
      <c r="D14" s="8" t="s">
        <v>24</v>
      </c>
      <c r="E14" s="10">
        <f>COUNTIFS('Hallazgos y AccionesCorrectivas'!$C$14:$C$41,"NC",'Hallazgos y AccionesCorrectivas'!I$14:I$41,"CB",'Hallazgos y AccionesCorrectivas'!$O$14:$O$41,"Tiempo")</f>
        <v>0</v>
      </c>
      <c r="F14" s="10">
        <f>COUNTIFS('Hallazgos y AccionesCorrectivas'!$C$14:$C$41,"NC",'Hallazgos y AccionesCorrectivas'!I$14:I$41,"CB",'Hallazgos y AccionesCorrectivas'!$O$14:$O$41,"Apatía")</f>
        <v>0</v>
      </c>
      <c r="G14" s="10">
        <f>COUNTIFS('Hallazgos y AccionesCorrectivas'!$C$14:$C$41,"NC",'Hallazgos y AccionesCorrectivas'!I$14:I$41,"CB",'Hallazgos y AccionesCorrectivas'!$O$14:$O$41,"Error en Producto de Trabajo")</f>
        <v>0</v>
      </c>
      <c r="H14" s="35">
        <f>COUNTIFS('Hallazgos y AccionesCorrectivas'!$C$14:$C$41,"NC",'Hallazgos y AccionesCorrectivas'!I$14:I$41,"CB",'Hallazgos y AccionesCorrectivas'!$O$14:$O$41,"Capacitación")</f>
        <v>0</v>
      </c>
      <c r="I14" s="4"/>
      <c r="J14" s="4"/>
      <c r="K14" s="4"/>
      <c r="L14" s="4"/>
      <c r="M14" s="4"/>
      <c r="N14" s="4"/>
      <c r="O14" s="4"/>
    </row>
    <row r="15" spans="1:42" ht="15.75" customHeight="1" x14ac:dyDescent="0.25">
      <c r="A15" s="4"/>
      <c r="B15" s="82"/>
      <c r="C15" s="83"/>
      <c r="D15" s="8" t="s">
        <v>25</v>
      </c>
      <c r="E15" s="10">
        <f>COUNTIFS('Hallazgos y AccionesCorrectivas'!$C$14:$C$41,"NC",'Hallazgos y AccionesCorrectivas'!I$14:I$41,"CM",'Hallazgos y AccionesCorrectivas'!$O$14:$O$41,"Tiempo")</f>
        <v>0</v>
      </c>
      <c r="F15" s="10">
        <f>COUNTIFS('Hallazgos y AccionesCorrectivas'!$C$14:$C$41,"NC",'Hallazgos y AccionesCorrectivas'!I$14:I$41,"CM",'Hallazgos y AccionesCorrectivas'!$O$14:$O$41,"Apatía")</f>
        <v>0</v>
      </c>
      <c r="G15" s="10">
        <f>COUNTIFS('Hallazgos y AccionesCorrectivas'!$C$14:$C$41,"NC",'Hallazgos y AccionesCorrectivas'!I$14:I$41,"CM",'Hallazgos y AccionesCorrectivas'!$O$14:$O$41,"Error en Producto de Trabajo")</f>
        <v>0</v>
      </c>
      <c r="H15" s="35">
        <f>COUNTIFS('Hallazgos y AccionesCorrectivas'!$C$14:$C$41,"NC",'Hallazgos y AccionesCorrectivas'!I$14:I$41,"CM",'Hallazgos y AccionesCorrectivas'!$O$14:$O$41,"Capacitación")</f>
        <v>0</v>
      </c>
      <c r="I15" s="4"/>
      <c r="J15" s="4"/>
      <c r="K15" s="4"/>
      <c r="L15" s="4"/>
      <c r="M15" s="4"/>
      <c r="N15" s="4"/>
      <c r="O15" s="4"/>
    </row>
    <row r="16" spans="1:42" ht="16.5" thickBot="1" x14ac:dyDescent="0.3">
      <c r="A16" s="4"/>
      <c r="B16" s="84"/>
      <c r="C16" s="85"/>
      <c r="D16" s="9" t="s">
        <v>26</v>
      </c>
      <c r="E16" s="36">
        <f>COUNTIFS('Hallazgos y AccionesCorrectivas'!$C$14:$C$41,"NC",'Hallazgos y AccionesCorrectivas'!I$14:I$41,"CA",'Hallazgos y AccionesCorrectivas'!$O$14:$O$41,"Tiempo")</f>
        <v>0</v>
      </c>
      <c r="F16" s="36">
        <f>COUNTIFS('Hallazgos y AccionesCorrectivas'!$C$14:$C$41,"NC",'Hallazgos y AccionesCorrectivas'!I$14:I$41,"CA",'Hallazgos y AccionesCorrectivas'!$O$14:$O$41,"Apatía")</f>
        <v>0</v>
      </c>
      <c r="G16" s="36">
        <f>COUNTIFS('Hallazgos y AccionesCorrectivas'!$C$14:$C$41,"NC",'Hallazgos y AccionesCorrectivas'!I$14:I$41,"CA",'Hallazgos y AccionesCorrectivas'!$O$14:$O$41,"Error en Producto de Trabajo")</f>
        <v>0</v>
      </c>
      <c r="H16" s="39">
        <f>COUNTIFS('Hallazgos y AccionesCorrectivas'!$C$14:$C$41,"NC",'Hallazgos y AccionesCorrectivas'!I$14:I$41,"CA",'Hallazgos y AccionesCorrectivas'!$O$14:$O$41,"Capacitación")</f>
        <v>0</v>
      </c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24"/>
      <c r="D17" s="25"/>
      <c r="E17" s="26"/>
      <c r="F17" s="26"/>
      <c r="G17" s="26"/>
      <c r="H17" s="34"/>
      <c r="I17" s="26"/>
      <c r="J17" s="26"/>
      <c r="K17" s="26"/>
      <c r="L17" s="4"/>
      <c r="M17" s="4"/>
      <c r="N17" s="4"/>
      <c r="O17" s="4"/>
    </row>
    <row r="18" spans="1:15" ht="16.5" thickBot="1" x14ac:dyDescent="0.3">
      <c r="A18" s="24"/>
      <c r="B18" s="24"/>
      <c r="C18" s="24"/>
      <c r="D18" s="25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</row>
    <row r="19" spans="1:15" x14ac:dyDescent="0.25">
      <c r="A19" s="4"/>
      <c r="B19" s="94" t="s">
        <v>45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6"/>
      <c r="O19" s="4"/>
    </row>
    <row r="20" spans="1:15" ht="51" x14ac:dyDescent="0.25">
      <c r="A20" s="4"/>
      <c r="B20" s="92" t="s">
        <v>13</v>
      </c>
      <c r="C20" s="93"/>
      <c r="D20" s="6" t="s">
        <v>32</v>
      </c>
      <c r="E20" s="6" t="s">
        <v>59</v>
      </c>
      <c r="F20" s="6" t="s">
        <v>54</v>
      </c>
      <c r="G20" s="6" t="s">
        <v>31</v>
      </c>
      <c r="H20" s="6" t="s">
        <v>56</v>
      </c>
      <c r="I20" s="6" t="s">
        <v>55</v>
      </c>
      <c r="J20" s="6" t="s">
        <v>60</v>
      </c>
      <c r="K20" s="6" t="s">
        <v>28</v>
      </c>
      <c r="L20" s="6" t="s">
        <v>61</v>
      </c>
      <c r="M20" s="7" t="s">
        <v>30</v>
      </c>
      <c r="N20" s="7" t="s">
        <v>57</v>
      </c>
      <c r="O20" s="4"/>
    </row>
    <row r="21" spans="1:15" ht="15" customHeight="1" x14ac:dyDescent="0.25">
      <c r="A21" s="4"/>
      <c r="B21" s="82" t="s">
        <v>27</v>
      </c>
      <c r="C21" s="83"/>
      <c r="D21" s="8" t="s">
        <v>24</v>
      </c>
      <c r="E21" s="38">
        <f>COUNTIFS('Hallazgos y AccionesCorrectivas'!$C$14:$C$41,"NC",'Hallazgos y AccionesCorrectivas'!$I$14:$I$41,"CB",'Hallazgos y AccionesCorrectivas'!$K$14:$K$41,"Analista")</f>
        <v>0</v>
      </c>
      <c r="F21" s="38">
        <f>COUNTIFS('Hallazgos y AccionesCorrectivas'!$C$14:$C$41,"NC",'Hallazgos y AccionesCorrectivas'!$I$14:$I$41,"CB",'Hallazgos y AccionesCorrectivas'!$K$14:$K$41,"Arquitecto")</f>
        <v>0</v>
      </c>
      <c r="G21" s="38">
        <f>COUNTIFS('Hallazgos y AccionesCorrectivas'!$C$14:$C$41,"NC",'Hallazgos y AccionesCorrectivas'!$I$14:$I$41,"CB",'Hallazgos y AccionesCorrectivas'!$K$14:$K$41,"Administrador de la Configuración")</f>
        <v>0</v>
      </c>
      <c r="H21" s="38">
        <f>COUNTIFS('Hallazgos y AccionesCorrectivas'!$C$14:$C$41,"NC",'Hallazgos y AccionesCorrectivas'!$I$14:$I$41,"CB",'Hallazgos y AccionesCorrectivas'!$K$14:$K$41,"Desarrollador")</f>
        <v>0</v>
      </c>
      <c r="I21" s="38">
        <f>COUNTIFS('Hallazgos y AccionesCorrectivas'!$C$14:$C$41,"NC",'Hallazgos y AccionesCorrectivas'!$I$14:$I$41,"CB",'Hallazgos y AccionesCorrectivas'!$K$14:$K$41,"Diseñador")</f>
        <v>0</v>
      </c>
      <c r="J21" s="38">
        <f>COUNTIFS('Hallazgos y AccionesCorrectivas'!$C$14:$C$41,"NC",'Hallazgos y AccionesCorrectivas'!$I$14:$I$41,"CB",'Hallazgos y AccionesCorrectivas'!$K$14:$K$41,"Ingeniero de Pruebas")</f>
        <v>0</v>
      </c>
      <c r="K21" s="38">
        <f>COUNTIFS('Hallazgos y AccionesCorrectivas'!$C$14:$C$41,"NC",'Hallazgos y AccionesCorrectivas'!$I$14:$I$41,"CB",'Hallazgos y AccionesCorrectivas'!$K$14:$K$41,"Líder de Producción")</f>
        <v>0</v>
      </c>
      <c r="L21" s="38">
        <f>COUNTIFS('Hallazgos y AccionesCorrectivas'!$C$14:$C$41,"NC",'Hallazgos y AccionesCorrectivas'!$I$14:$I$41,"CB",'Hallazgos y AccionesCorrectivas'!$K$14:$K$41,"Líder de Proyecto")</f>
        <v>0</v>
      </c>
      <c r="M21" s="38">
        <f>COUNTIFS('Hallazgos y AccionesCorrectivas'!$C$14:$C$41,"NC",'Hallazgos y AccionesCorrectivas'!$I$14:$I$41,"CB",'Hallazgos y AccionesCorrectivas'!$K$14:$K$41,"Tester")</f>
        <v>0</v>
      </c>
      <c r="N21" s="52">
        <f>COUNTIFS('Hallazgos y AccionesCorrectivas'!$C$14:$C$41,"NC",'Hallazgos y AccionesCorrectivas'!$I$14:$I$41,"CB",'Hallazgos y AccionesCorrectivas'!$K$14:$K$41,"Verificador")</f>
        <v>0</v>
      </c>
      <c r="O21" s="55"/>
    </row>
    <row r="22" spans="1:15" x14ac:dyDescent="0.25">
      <c r="A22" s="4"/>
      <c r="B22" s="82"/>
      <c r="C22" s="83"/>
      <c r="D22" s="8" t="s">
        <v>25</v>
      </c>
      <c r="E22" s="38">
        <f>COUNTIFS('Hallazgos y AccionesCorrectivas'!$C$14:$C$41,"NC",'Hallazgos y AccionesCorrectivas'!$I$14:$I$41,"CM",'Hallazgos y AccionesCorrectivas'!$K$14:$K$41,"Analista")</f>
        <v>0</v>
      </c>
      <c r="F22" s="38">
        <f>COUNTIFS('Hallazgos y AccionesCorrectivas'!$C$14:$C$41,"NC",'Hallazgos y AccionesCorrectivas'!$I$14:$I$41,"CM",'Hallazgos y AccionesCorrectivas'!$K$14:$K$41,"Arquitecto")</f>
        <v>0</v>
      </c>
      <c r="G22" s="38">
        <f>COUNTIFS('Hallazgos y AccionesCorrectivas'!$C$14:$C$41,"NC",'Hallazgos y AccionesCorrectivas'!$I$14:$I$41,"CM",'Hallazgos y AccionesCorrectivas'!$K$14:$K$41,"Administrador de la Configuración")</f>
        <v>0</v>
      </c>
      <c r="H22" s="38">
        <f>COUNTIFS('Hallazgos y AccionesCorrectivas'!$C$14:$C$41,"NC",'Hallazgos y AccionesCorrectivas'!$I$14:$I$41,"CM",'Hallazgos y AccionesCorrectivas'!$K$14:$K$41,"Desarrollador")</f>
        <v>0</v>
      </c>
      <c r="I22" s="38">
        <f>COUNTIFS('Hallazgos y AccionesCorrectivas'!$C$14:$C$41,"NC",'Hallazgos y AccionesCorrectivas'!$I$14:$I$41,"CM",'Hallazgos y AccionesCorrectivas'!$K$14:$K$41,"Diseñador")</f>
        <v>0</v>
      </c>
      <c r="J22" s="38">
        <f>COUNTIFS('Hallazgos y AccionesCorrectivas'!$C$14:$C$41,"NC",'Hallazgos y AccionesCorrectivas'!$I$14:$I$41,"CM",'Hallazgos y AccionesCorrectivas'!$K$14:$K$41,"Ingeniero de Pruebas")</f>
        <v>0</v>
      </c>
      <c r="K22" s="38">
        <f>COUNTIFS('Hallazgos y AccionesCorrectivas'!$C$14:$C$41,"NC",'Hallazgos y AccionesCorrectivas'!$I$14:$I$41,"CM",'Hallazgos y AccionesCorrectivas'!$K$14:$K$41,"Líder de Producción")</f>
        <v>0</v>
      </c>
      <c r="L22" s="38">
        <f>COUNTIFS('Hallazgos y AccionesCorrectivas'!$C$14:$C$41,"NC",'Hallazgos y AccionesCorrectivas'!$I$14:$I$41,"CM",'Hallazgos y AccionesCorrectivas'!$K$14:$K$41,"Líder de Proyecto")</f>
        <v>0</v>
      </c>
      <c r="M22" s="38">
        <f>COUNTIFS('Hallazgos y AccionesCorrectivas'!$C$14:$C$41,"NC",'Hallazgos y AccionesCorrectivas'!$I$14:$I$41,"CM",'Hallazgos y AccionesCorrectivas'!$K$14:$K$41,"Tester")</f>
        <v>0</v>
      </c>
      <c r="N22" s="52">
        <f>COUNTIFS('Hallazgos y AccionesCorrectivas'!$C$14:$C$41,"NC",'Hallazgos y AccionesCorrectivas'!$I$14:$I$41,"CM",'Hallazgos y AccionesCorrectivas'!$K$14:$K$41,"Verificador")</f>
        <v>0</v>
      </c>
      <c r="O22" s="55"/>
    </row>
    <row r="23" spans="1:15" ht="16.5" thickBot="1" x14ac:dyDescent="0.3">
      <c r="A23" s="4"/>
      <c r="B23" s="84"/>
      <c r="C23" s="85"/>
      <c r="D23" s="9" t="s">
        <v>26</v>
      </c>
      <c r="E23" s="53">
        <f>COUNTIFS('Hallazgos y AccionesCorrectivas'!$C$14:$C$41,"NC",'Hallazgos y AccionesCorrectivas'!$I$14:$I$41,"CA",'Hallazgos y AccionesCorrectivas'!$K$14:$K$41,"Analista")</f>
        <v>0</v>
      </c>
      <c r="F23" s="53">
        <f>COUNTIFS('Hallazgos y AccionesCorrectivas'!$C$14:$C$41,"NC",'Hallazgos y AccionesCorrectivas'!$I$14:$I$41,"CA",'Hallazgos y AccionesCorrectivas'!$K$14:$K$41,"Arquitecto")</f>
        <v>0</v>
      </c>
      <c r="G23" s="53">
        <f>COUNTIFS('Hallazgos y AccionesCorrectivas'!$C$14:$C$41,"NC",'Hallazgos y AccionesCorrectivas'!$I$14:$I$41,"CA",'Hallazgos y AccionesCorrectivas'!$K$14:$K$41,"Administrador de la Configuración")</f>
        <v>0</v>
      </c>
      <c r="H23" s="53">
        <f>COUNTIFS('Hallazgos y AccionesCorrectivas'!$C$14:$C$41,"NC",'Hallazgos y AccionesCorrectivas'!$I$14:$I$41,"CA",'Hallazgos y AccionesCorrectivas'!$K$14:$K$41,"Desarrollador")</f>
        <v>0</v>
      </c>
      <c r="I23" s="53">
        <f>COUNTIFS('Hallazgos y AccionesCorrectivas'!$C$14:$C$41,"NC",'Hallazgos y AccionesCorrectivas'!$I$14:$I$41,"CA",'Hallazgos y AccionesCorrectivas'!$K$14:$K$41,"Diseñador")</f>
        <v>0</v>
      </c>
      <c r="J23" s="53">
        <f>COUNTIFS('Hallazgos y AccionesCorrectivas'!$C$14:$C$41,"NC",'Hallazgos y AccionesCorrectivas'!$I$14:$I$41,"CA",'Hallazgos y AccionesCorrectivas'!$K$14:$K$41,"Ingeniero de Pruebas")</f>
        <v>0</v>
      </c>
      <c r="K23" s="53">
        <f>COUNTIFS('Hallazgos y AccionesCorrectivas'!$C$14:$C$41,"NC",'Hallazgos y AccionesCorrectivas'!$I$14:$I$41,"CA",'Hallazgos y AccionesCorrectivas'!$K$14:$K$41,"Líder de Producción")</f>
        <v>0</v>
      </c>
      <c r="L23" s="53">
        <f>COUNTIFS('Hallazgos y AccionesCorrectivas'!$C$14:$C$41,"NC",'Hallazgos y AccionesCorrectivas'!$I$14:$I$41,"CA",'Hallazgos y AccionesCorrectivas'!$K$14:$K$41,"Líder de Proyecto")</f>
        <v>0</v>
      </c>
      <c r="M23" s="53">
        <f>COUNTIFS('Hallazgos y AccionesCorrectivas'!$C$14:$C$41,"NC",'Hallazgos y AccionesCorrectivas'!$I$14:$I$41,"CA",'Hallazgos y AccionesCorrectivas'!$K$14:$K$41,"Tester")</f>
        <v>0</v>
      </c>
      <c r="N23" s="54">
        <f>COUNTIFS('Hallazgos y AccionesCorrectivas'!$C$14:$C$41,"NC",'Hallazgos y AccionesCorrectivas'!$I$14:$I$41,"CA",'Hallazgos y AccionesCorrectivas'!$K$14:$K$41,"Verificador")</f>
        <v>0</v>
      </c>
      <c r="O23" s="55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6.5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6.5" thickBot="1" x14ac:dyDescent="0.3">
      <c r="A26" s="4"/>
      <c r="B26" s="86" t="s">
        <v>71</v>
      </c>
      <c r="C26" s="87"/>
      <c r="D26" s="87"/>
      <c r="E26" s="87"/>
      <c r="F26" s="87"/>
      <c r="G26" s="87"/>
      <c r="H26" s="88"/>
      <c r="I26" s="4"/>
      <c r="J26" s="4"/>
      <c r="K26" s="4"/>
      <c r="L26" s="4"/>
      <c r="M26" s="4"/>
      <c r="N26" s="4"/>
      <c r="O26" s="4"/>
    </row>
    <row r="27" spans="1:15" ht="24.75" thickBot="1" x14ac:dyDescent="0.3">
      <c r="A27" s="4"/>
      <c r="B27" s="89" t="s">
        <v>13</v>
      </c>
      <c r="C27" s="90"/>
      <c r="D27" s="60" t="s">
        <v>32</v>
      </c>
      <c r="E27" s="61" t="s">
        <v>47</v>
      </c>
      <c r="F27" s="61" t="s">
        <v>49</v>
      </c>
      <c r="G27" s="61" t="s">
        <v>46</v>
      </c>
      <c r="H27" s="62" t="s">
        <v>70</v>
      </c>
      <c r="I27" s="4"/>
      <c r="J27" s="4"/>
      <c r="K27" s="4"/>
      <c r="L27" s="4"/>
      <c r="M27" s="4"/>
      <c r="N27" s="4"/>
      <c r="O27" s="4"/>
    </row>
    <row r="28" spans="1:15" ht="25.5" customHeight="1" x14ac:dyDescent="0.25">
      <c r="A28" s="4"/>
      <c r="B28" s="80" t="s">
        <v>27</v>
      </c>
      <c r="C28" s="81"/>
      <c r="D28" s="63" t="s">
        <v>67</v>
      </c>
      <c r="E28" s="56">
        <f>COUNTIFS('Hallazgos y AccionesCorrectivas'!$C$14:$C$41,"NC",'Hallazgos y AccionesCorrectivas'!$F$14:$F$41,"Administración de proyectos",'Hallazgos y AccionesCorrectivas'!O$14:$O$41,"Apatía")</f>
        <v>0</v>
      </c>
      <c r="F28" s="56">
        <f>COUNTIFS('Hallazgos y AccionesCorrectivas'!$C$14:$C$41,"NC",'Hallazgos y AccionesCorrectivas'!$F$14:$F$41,"Administración de proyectos",'Hallazgos y AccionesCorrectivas'!O$14:$O$41,"Capacitación")</f>
        <v>0</v>
      </c>
      <c r="G28" s="56">
        <f>COUNTIFS('Hallazgos y AccionesCorrectivas'!$C$14:$C$41,"NC",'Hallazgos y AccionesCorrectivas'!$F$14:$F$41,"Administración de proyectos",'Hallazgos y AccionesCorrectivas'!O$14:$O$41,"Tiempo")</f>
        <v>0</v>
      </c>
      <c r="H28" s="57">
        <f>COUNTIFS('Hallazgos y AccionesCorrectivas'!$C$14:$C$41,"NC",'Hallazgos y AccionesCorrectivas'!$F$14:$F$41,"Administración de proyectos",'Hallazgos y AccionesCorrectivas'!O$14:$O$41,"Error en Producto de Trabajo")</f>
        <v>0</v>
      </c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82"/>
      <c r="C29" s="83"/>
      <c r="D29" s="64" t="s">
        <v>69</v>
      </c>
      <c r="E29" s="56">
        <f>COUNTIFS('Hallazgos y AccionesCorrectivas'!$C$14:$C$41,"NC",'Hallazgos y AccionesCorrectivas'!$F$14:$F$41,"Ingeniería",'Hallazgos y AccionesCorrectivas'!O$14:$O$41,"Apatía")</f>
        <v>0</v>
      </c>
      <c r="F29" s="56">
        <f>COUNTIFS('Hallazgos y AccionesCorrectivas'!$C$14:$C$41,"NC",'Hallazgos y AccionesCorrectivas'!$F$14:$F$41,"Ingeniería",'Hallazgos y AccionesCorrectivas'!O$14:$O$41,"Capacitación")</f>
        <v>0</v>
      </c>
      <c r="G29" s="56">
        <f>COUNTIFS('Hallazgos y AccionesCorrectivas'!$C$14:$C$41,"NC",'Hallazgos y AccionesCorrectivas'!$F$14:$F$41,"Ingeniería",'Hallazgos y AccionesCorrectivas'!O$14:$O$41,"Tiempo")</f>
        <v>0</v>
      </c>
      <c r="H29" s="57">
        <f>COUNTIFS('Hallazgos y AccionesCorrectivas'!$C$14:$C$41,"NC",'Hallazgos y AccionesCorrectivas'!$F$14:$F$41,"Ingeniería",'Hallazgos y AccionesCorrectivas'!O$14:$O$41,"Error en Producto de Trabajo")</f>
        <v>0</v>
      </c>
      <c r="I29" s="4"/>
      <c r="J29" s="4"/>
      <c r="K29" s="4"/>
      <c r="L29" s="4"/>
      <c r="M29" s="4"/>
      <c r="N29" s="4"/>
      <c r="O29" s="4"/>
    </row>
    <row r="30" spans="1:15" ht="16.5" thickBot="1" x14ac:dyDescent="0.3">
      <c r="A30" s="4"/>
      <c r="B30" s="84"/>
      <c r="C30" s="85"/>
      <c r="D30" s="65" t="s">
        <v>68</v>
      </c>
      <c r="E30" s="58">
        <f>COUNTIFS('Hallazgos y AccionesCorrectivas'!$C$14:$C$41,"NC",'Hallazgos y AccionesCorrectivas'!$F$14:$F$41,"Soporte",'Hallazgos y AccionesCorrectivas'!O$14:$O$41,"Apatía")</f>
        <v>0</v>
      </c>
      <c r="F30" s="58">
        <f>COUNTIFS('Hallazgos y AccionesCorrectivas'!$C$14:$C$41,"NC",'Hallazgos y AccionesCorrectivas'!$F$14:$F$41,"Soporte",'Hallazgos y AccionesCorrectivas'!O$14:$O$41,"Capacitación")</f>
        <v>0</v>
      </c>
      <c r="G30" s="58">
        <f>COUNTIFS('Hallazgos y AccionesCorrectivas'!$C$14:$C$41,"NC",'Hallazgos y AccionesCorrectivas'!$F$14:$F$41,"Soporte",'Hallazgos y AccionesCorrectivas'!O$14:$O$41,"Tiempo")</f>
        <v>0</v>
      </c>
      <c r="H30" s="59">
        <f>COUNTIFS('Hallazgos y AccionesCorrectivas'!$C$14:$C$41,"NC",'Hallazgos y AccionesCorrectivas'!$F$14:$F$41,"Soporte",'Hallazgos y AccionesCorrectivas'!O$14:$O$41,"Error en Producto de Trabajo")</f>
        <v>0</v>
      </c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</sheetData>
  <mergeCells count="13">
    <mergeCell ref="B28:C30"/>
    <mergeCell ref="B26:H26"/>
    <mergeCell ref="B27:C27"/>
    <mergeCell ref="B1:N3"/>
    <mergeCell ref="B13:C13"/>
    <mergeCell ref="B14:C16"/>
    <mergeCell ref="B20:C20"/>
    <mergeCell ref="B12:H12"/>
    <mergeCell ref="B21:C23"/>
    <mergeCell ref="B6:C6"/>
    <mergeCell ref="B5:M5"/>
    <mergeCell ref="B7:C9"/>
    <mergeCell ref="B19:N19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D6" sqref="D6:D7"/>
    </sheetView>
  </sheetViews>
  <sheetFormatPr baseColWidth="10" defaultRowHeight="15.75" x14ac:dyDescent="0.25"/>
  <cols>
    <col min="4" max="4" width="11.375" customWidth="1"/>
  </cols>
  <sheetData>
    <row r="1" spans="1:32" ht="24.75" customHeight="1" x14ac:dyDescent="0.25">
      <c r="B1" s="91" t="s">
        <v>33</v>
      </c>
      <c r="C1" s="91"/>
      <c r="D1" s="91"/>
      <c r="E1" s="91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32" ht="24.75" customHeight="1" x14ac:dyDescent="0.25">
      <c r="B2" s="91"/>
      <c r="C2" s="91"/>
      <c r="D2" s="91"/>
      <c r="E2" s="91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32" ht="24.75" customHeight="1" x14ac:dyDescent="0.25">
      <c r="B3" s="91"/>
      <c r="C3" s="91"/>
      <c r="D3" s="91"/>
      <c r="E3" s="91"/>
    </row>
    <row r="4" spans="1:32" ht="16.5" thickBot="1" x14ac:dyDescent="0.3">
      <c r="A4" s="4"/>
      <c r="B4" s="4"/>
      <c r="C4" s="4"/>
      <c r="D4" s="4"/>
      <c r="E4" s="4"/>
    </row>
    <row r="5" spans="1:32" ht="15" customHeight="1" x14ac:dyDescent="0.25">
      <c r="A5" s="4"/>
      <c r="B5" s="97" t="s">
        <v>62</v>
      </c>
      <c r="C5" s="98"/>
      <c r="D5" s="98"/>
      <c r="E5" s="4"/>
    </row>
    <row r="6" spans="1:32" x14ac:dyDescent="0.25">
      <c r="A6" s="4"/>
      <c r="B6" s="100" t="s">
        <v>32</v>
      </c>
      <c r="C6" s="101"/>
      <c r="D6" s="104">
        <f>COUNTIFS('Hallazgos y AccionesCorrectivas'!C$14:C$41,"NC")</f>
        <v>0</v>
      </c>
      <c r="E6" s="4"/>
    </row>
    <row r="7" spans="1:32" ht="15" customHeight="1" x14ac:dyDescent="0.25">
      <c r="A7" s="4"/>
      <c r="B7" s="102"/>
      <c r="C7" s="103"/>
      <c r="D7" s="105"/>
      <c r="E7" s="4"/>
    </row>
    <row r="8" spans="1:32" s="3" customFormat="1" ht="15" customHeight="1" x14ac:dyDescent="0.25">
      <c r="A8" s="4"/>
      <c r="B8" s="5"/>
      <c r="C8" s="4"/>
      <c r="D8" s="4"/>
      <c r="E8" s="4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4"/>
      <c r="B9" s="4"/>
      <c r="C9" s="4"/>
      <c r="D9" s="4"/>
      <c r="E9" s="4"/>
    </row>
    <row r="11" spans="1:32" ht="16.5" thickBot="1" x14ac:dyDescent="0.3">
      <c r="A11" s="4"/>
      <c r="B11" s="4"/>
      <c r="C11" s="4"/>
      <c r="D11" s="4"/>
      <c r="E11" s="4"/>
    </row>
    <row r="12" spans="1:32" ht="15" customHeight="1" x14ac:dyDescent="0.25">
      <c r="A12" s="4"/>
      <c r="B12" s="97" t="s">
        <v>62</v>
      </c>
      <c r="C12" s="98"/>
      <c r="D12" s="98"/>
      <c r="E12" s="4"/>
    </row>
    <row r="13" spans="1:32" x14ac:dyDescent="0.25">
      <c r="A13" s="4"/>
      <c r="B13" s="100" t="s">
        <v>63</v>
      </c>
      <c r="C13" s="101"/>
      <c r="D13" s="104">
        <f>COUNTIFS('Hallazgos y AccionesCorrectivas'!C$14:C$41,"IN")</f>
        <v>0</v>
      </c>
      <c r="E13" s="4"/>
    </row>
    <row r="14" spans="1:32" ht="15" customHeight="1" x14ac:dyDescent="0.25">
      <c r="A14" s="4"/>
      <c r="B14" s="102"/>
      <c r="C14" s="103"/>
      <c r="D14" s="105"/>
      <c r="E14" s="4"/>
    </row>
    <row r="15" spans="1:32" s="3" customFormat="1" ht="15" customHeight="1" x14ac:dyDescent="0.25">
      <c r="A15" s="4"/>
      <c r="B15" s="5"/>
      <c r="C15" s="4"/>
      <c r="D15" s="4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 s="4"/>
      <c r="B16" s="4"/>
      <c r="C16" s="4"/>
      <c r="D16" s="4"/>
      <c r="E16" s="4"/>
    </row>
  </sheetData>
  <mergeCells count="7">
    <mergeCell ref="B1:E3"/>
    <mergeCell ref="B5:D5"/>
    <mergeCell ref="B13:C14"/>
    <mergeCell ref="D6:D7"/>
    <mergeCell ref="B12:D12"/>
    <mergeCell ref="D13:D14"/>
    <mergeCell ref="B6:C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19275D74CE47B1974BAB465C0BA5" ma:contentTypeVersion="0" ma:contentTypeDescription="Crear nuevo documento." ma:contentTypeScope="" ma:versionID="1d40241d439ba48316f7cb33622d4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3F1487-A4B6-420D-9CAE-DC91794DE3C8}"/>
</file>

<file path=customXml/itemProps2.xml><?xml version="1.0" encoding="utf-8"?>
<ds:datastoreItem xmlns:ds="http://schemas.openxmlformats.org/officeDocument/2006/customXml" ds:itemID="{2019F782-5878-40EF-90B2-2478ED36B34F}"/>
</file>

<file path=customXml/itemProps3.xml><?xml version="1.0" encoding="utf-8"?>
<ds:datastoreItem xmlns:ds="http://schemas.openxmlformats.org/officeDocument/2006/customXml" ds:itemID="{7E2AF82F-F83D-4826-AC2E-C952E8B33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Hallazgos y AccionesCorrectivas</vt:lpstr>
      <vt:lpstr>Indicadores de Métricas Calidad</vt:lpstr>
      <vt:lpstr>Indicadores Métricas Proyecto</vt:lpstr>
    </vt:vector>
  </TitlesOfParts>
  <Company>UTL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Norma Griselda Reyes Avila</dc:creator>
  <cp:lastModifiedBy>Teresita</cp:lastModifiedBy>
  <dcterms:created xsi:type="dcterms:W3CDTF">2015-03-05T02:39:46Z</dcterms:created>
  <dcterms:modified xsi:type="dcterms:W3CDTF">2017-05-04T13:40:52Z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0x010100B2D219275D74CE47B1974BAB465C0BA5</vt:lpwstr>
  </property>
</Properties>
</file>