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Vancity" sheetId="2" r:id="rId4"/>
    <sheet state="visible" name="Coast Capital" sheetId="3" r:id="rId5"/>
    <sheet state="visible" name="Servus" sheetId="4" r:id="rId6"/>
    <sheet state="visible" name="Meridian" sheetId="5" r:id="rId7"/>
    <sheet state="visible" name="First West" sheetId="6" r:id="rId8"/>
    <sheet state="visible" name="Conexus" sheetId="7" r:id="rId9"/>
    <sheet state="visible" name="Affinity" sheetId="8" r:id="rId10"/>
    <sheet state="visible" name="Steinbach" sheetId="9" r:id="rId11"/>
    <sheet state="visible" name="Assiniboine" sheetId="10" r:id="rId12"/>
    <sheet state="visible" name="Connect First" sheetId="11" r:id="rId13"/>
  </sheets>
  <definedNames/>
  <calcPr/>
</workbook>
</file>

<file path=xl/sharedStrings.xml><?xml version="1.0" encoding="utf-8"?>
<sst xmlns="http://schemas.openxmlformats.org/spreadsheetml/2006/main" count="265" uniqueCount="46">
  <si>
    <t>Company Name</t>
  </si>
  <si>
    <t>Year (Growth from X-1 to X)</t>
  </si>
  <si>
    <t>Latest Ranking</t>
  </si>
  <si>
    <t>Total Assets ($ CAD)</t>
  </si>
  <si>
    <t>% of Senior Members on B.o.D</t>
  </si>
  <si>
    <t>Capital Adequecy Ratio</t>
  </si>
  <si>
    <t>Membership</t>
  </si>
  <si>
    <t>Asset Growth ($ CAD)</t>
  </si>
  <si>
    <t>Member Satisfaction</t>
  </si>
  <si>
    <t>Liquidity Ratio</t>
  </si>
  <si>
    <t>Residential Mortgages</t>
  </si>
  <si>
    <t>Consumer Loans</t>
  </si>
  <si>
    <t>Commerical Loans</t>
  </si>
  <si>
    <t>Credit Losses</t>
  </si>
  <si>
    <t>Yelp! Reviews</t>
  </si>
  <si>
    <t>Google Reviews</t>
  </si>
  <si>
    <t>Glassdoor Reviews</t>
  </si>
  <si>
    <t>Number of Branches</t>
  </si>
  <si>
    <t>Coast Capital Credit Union</t>
  </si>
  <si>
    <t>Vancity Credit Union</t>
  </si>
  <si>
    <t>N/A</t>
  </si>
  <si>
    <t>https://annualreport.coastcapitalsavings.com/</t>
  </si>
  <si>
    <t>Servus Credit Union</t>
  </si>
  <si>
    <t>Meridian Credit Union</t>
  </si>
  <si>
    <t>First West Credit Union</t>
  </si>
  <si>
    <t>Conexus Credit Union</t>
  </si>
  <si>
    <t>Affinity Credit Union</t>
  </si>
  <si>
    <t>Steinbach Credit Union</t>
  </si>
  <si>
    <t>Assiniboine Credit Union</t>
  </si>
  <si>
    <t>Connect First Credit Union</t>
  </si>
  <si>
    <t>Note: Yelp!, Glassdoor, and Google Reviews can be found on each of the Individual credit Union Sheets</t>
  </si>
  <si>
    <t>https://www.servus.ca/about/our-organization/performance</t>
  </si>
  <si>
    <t>2008-2017</t>
  </si>
  <si>
    <t>http://www.firstwestcu.ca/annual-reports</t>
  </si>
  <si>
    <t>https://www.meridiancu.ca/About-Meridian/Corporate/Governance/Corporate-Reports.aspx</t>
  </si>
  <si>
    <t>https://www.conexus.ca/AboutConexus/WhoWeAre/AnnualReport/Archives/</t>
  </si>
  <si>
    <t>2016-2017</t>
  </si>
  <si>
    <t>https://www.affinitycu.ca/meet-affinity/how-we-re-governed/our-democratic-process/annual-reports-and-bylaws</t>
  </si>
  <si>
    <t>2011-2018</t>
  </si>
  <si>
    <t>https://www.scu.mb.ca/about-scu/annual-reports</t>
  </si>
  <si>
    <t>Rest from Wayback</t>
  </si>
  <si>
    <t>More from wayback machine</t>
  </si>
  <si>
    <t>2016-17</t>
  </si>
  <si>
    <t>https://www.assiniboine.mb.ca/About-Us/Governance-And-Leadership/Annual-Reports/</t>
  </si>
  <si>
    <t>Else from Wayback machine</t>
  </si>
  <si>
    <t>https://www.connectfirstcu.com/stakeholder-reports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</si>
</sst>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0" numFmtId="0" xfId="0" applyAlignment="1" applyFont="1">
      <alignment horizontal="left"/>
    </xf>
    <xf borderId="0" fillId="0" fontId="0" numFmtId="0" xfId="0" applyAlignment="1" applyFont="1">
      <alignment horizontal="left" readingOrder="0"/>
    </xf>
    <xf borderId="0" fillId="0" fontId="0" numFmtId="10" xfId="0" applyAlignment="1" applyFont="1" applyNumberFormat="1">
      <alignment horizontal="left"/>
    </xf>
    <xf borderId="0" fillId="0" fontId="0" numFmtId="3" xfId="0" applyAlignment="1" applyFont="1" applyNumberFormat="1">
      <alignment horizontal="left"/>
    </xf>
    <xf borderId="0" fillId="0" fontId="0" numFmtId="9" xfId="0" applyAlignment="1" applyFont="1" applyNumberFormat="1">
      <alignment horizontal="left"/>
    </xf>
    <xf borderId="0" fillId="0" fontId="0" numFmtId="0" xfId="0" applyFont="1"/>
    <xf borderId="0" fillId="0" fontId="2" numFmtId="0" xfId="0" applyAlignment="1" applyFont="1">
      <alignment horizontal="left"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0" numFmtId="1" xfId="0" applyAlignment="1" applyFont="1" applyNumberFormat="1">
      <alignment horizontal="left"/>
    </xf>
    <xf borderId="0" fillId="0" fontId="1" numFmtId="0" xfId="0" applyAlignment="1" applyFont="1">
      <alignment horizontal="left" vertical="top"/>
    </xf>
    <xf borderId="0" fillId="0" fontId="0" numFmtId="3" xfId="0" applyAlignment="1" applyFont="1" applyNumberFormat="1">
      <alignment horizontal="left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ssiniboine.mb.ca/About-Us/Governance-And-Leadership/Annual-Reports/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nnectfirstcu.com/stakeholder-reports" TargetMode="Externa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nnualreport.coastcapitalsavings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ervus.ca/about/our-organization/performanc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ridiancu.ca/About-Meridian/Corporate/Governance/Corporate-Reports.aspx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firstwestcu.ca/annual-reports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nexus.ca/AboutConexus/WhoWeAre/AnnualReport/Archives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ffinitycu.ca/meet-affinity/how-we-re-governed/our-democratic-process/annual-reports-and-bylaws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u.mb.ca/about-scu/annual-reports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12" width="11.86"/>
    <col customWidth="1" min="13" max="39" width="8.71"/>
  </cols>
  <sheetData>
    <row r="1">
      <c r="A1" s="1" t="s">
        <v>0</v>
      </c>
      <c r="D1" s="3" t="s">
        <v>2</v>
      </c>
      <c r="G1" s="3" t="s">
        <v>3</v>
      </c>
      <c r="J1" s="1" t="s">
        <v>4</v>
      </c>
      <c r="M1" s="1" t="s">
        <v>5</v>
      </c>
      <c r="P1" s="1" t="s">
        <v>6</v>
      </c>
      <c r="S1" s="1" t="s">
        <v>7</v>
      </c>
      <c r="V1" s="1" t="s">
        <v>8</v>
      </c>
      <c r="Y1" s="1" t="s">
        <v>9</v>
      </c>
      <c r="AB1" s="1" t="s">
        <v>10</v>
      </c>
      <c r="AE1" s="3" t="s">
        <v>11</v>
      </c>
      <c r="AH1" s="3" t="s">
        <v>12</v>
      </c>
      <c r="AK1" s="1" t="s">
        <v>13</v>
      </c>
    </row>
    <row r="2">
      <c r="A2" s="4" t="s">
        <v>19</v>
      </c>
      <c r="D2" s="4">
        <v>1.0</v>
      </c>
      <c r="G2" s="4">
        <v>2.1217202581E10</v>
      </c>
      <c r="J2" s="4">
        <v>63.0</v>
      </c>
      <c r="M2" s="6">
        <v>0.141</v>
      </c>
      <c r="P2" s="7">
        <v>525506.0</v>
      </c>
      <c r="S2" s="4">
        <f>(26.4-25.6)*10^8</f>
        <v>80000000</v>
      </c>
      <c r="V2" s="8">
        <v>0.68</v>
      </c>
      <c r="Y2" s="6">
        <v>0.129</v>
      </c>
      <c r="AB2" s="4">
        <f>12110*(1*10^6)</f>
        <v>12110000000</v>
      </c>
      <c r="AE2" s="4">
        <f>690*10^6</f>
        <v>690000000</v>
      </c>
      <c r="AH2" s="4">
        <f>5628*10^6</f>
        <v>5628000000</v>
      </c>
      <c r="AK2" s="4">
        <f>65*10^6</f>
        <v>65000000</v>
      </c>
    </row>
    <row r="3">
      <c r="A3" s="4" t="s">
        <v>18</v>
      </c>
      <c r="D3" s="4">
        <v>2.0</v>
      </c>
      <c r="G3" s="4">
        <v>1.5753575263E10</v>
      </c>
      <c r="J3" s="4" t="s">
        <v>20</v>
      </c>
      <c r="M3" s="6">
        <v>0.1469</v>
      </c>
      <c r="P3" s="7">
        <v>547210.0</v>
      </c>
      <c r="S3" s="4">
        <f>(17048510-14996218)</f>
        <v>2052292</v>
      </c>
      <c r="V3" s="4" t="s">
        <v>20</v>
      </c>
      <c r="Y3" s="6">
        <v>0.1407</v>
      </c>
      <c r="AB3" s="4">
        <f>1000*9569275</f>
        <v>9569275000</v>
      </c>
      <c r="AE3" s="4">
        <f>1000*143590</f>
        <v>143590000</v>
      </c>
      <c r="AH3" s="4">
        <f>1000*3852158</f>
        <v>3852158000</v>
      </c>
      <c r="AK3" s="4">
        <f>35162*1000</f>
        <v>35162000</v>
      </c>
    </row>
    <row r="4">
      <c r="A4" s="4" t="s">
        <v>22</v>
      </c>
      <c r="D4" s="4">
        <v>3.0</v>
      </c>
      <c r="G4" s="4">
        <v>1.4990305128E10</v>
      </c>
      <c r="J4" s="4" t="s">
        <v>20</v>
      </c>
      <c r="M4" s="6">
        <v>0.0884</v>
      </c>
      <c r="P4" s="7">
        <v>370348.0</v>
      </c>
      <c r="S4" s="4">
        <f>1000*(1373971-1281996)</f>
        <v>91975000</v>
      </c>
      <c r="V4" s="6">
        <v>0.841</v>
      </c>
      <c r="Y4" s="6">
        <v>0.1102</v>
      </c>
      <c r="AB4" s="4">
        <f>1000*7959489</f>
        <v>7959489000</v>
      </c>
      <c r="AE4" s="4">
        <f>1000*996818</f>
        <v>996818000</v>
      </c>
      <c r="AH4" s="4">
        <f>1000*4337661</f>
        <v>4337661000</v>
      </c>
      <c r="AK4" s="4">
        <f>1000*25477</f>
        <v>25477000</v>
      </c>
    </row>
    <row r="5">
      <c r="A5" s="4" t="s">
        <v>23</v>
      </c>
      <c r="D5" s="4">
        <v>4.0</v>
      </c>
      <c r="G5" s="4">
        <v>1.4686230995E10</v>
      </c>
      <c r="J5" s="4" t="s">
        <v>20</v>
      </c>
      <c r="M5" s="6">
        <v>0.07</v>
      </c>
      <c r="P5" s="7">
        <v>309705.0</v>
      </c>
      <c r="S5" s="4">
        <f>1000*(1049061-920458)</f>
        <v>128603000</v>
      </c>
      <c r="V5" s="4" t="s">
        <v>20</v>
      </c>
      <c r="Y5" s="6">
        <v>0.105</v>
      </c>
      <c r="AB5" s="4">
        <f>1000*7726486</f>
        <v>7726486000</v>
      </c>
      <c r="AE5" s="4">
        <f>1000*1220311</f>
        <v>1220311000</v>
      </c>
      <c r="AH5" s="4">
        <f>1000*4096373</f>
        <v>4096373000</v>
      </c>
      <c r="AK5" s="4">
        <f>1000*19692</f>
        <v>19692000</v>
      </c>
    </row>
    <row r="6">
      <c r="A6" s="4" t="s">
        <v>24</v>
      </c>
      <c r="D6" s="4">
        <v>5.0</v>
      </c>
      <c r="G6" s="4">
        <v>9.937141E9</v>
      </c>
      <c r="J6" s="4" t="s">
        <v>20</v>
      </c>
      <c r="M6" s="6">
        <v>0.066</v>
      </c>
      <c r="P6" s="7">
        <v>230394.0</v>
      </c>
      <c r="S6" s="14">
        <f>(1.036*276467)*1000</f>
        <v>286419812</v>
      </c>
      <c r="V6" s="4" t="s">
        <v>20</v>
      </c>
      <c r="Y6" s="6">
        <v>0.08</v>
      </c>
      <c r="AB6" s="4">
        <f>1000*4400651</f>
        <v>4400651000</v>
      </c>
      <c r="AE6" s="4">
        <f>1000*101446</f>
        <v>101446000</v>
      </c>
      <c r="AH6" s="4">
        <f>1000*(2579863+122265)</f>
        <v>2702128000</v>
      </c>
      <c r="AK6" s="4">
        <f>1000*23961</f>
        <v>23961000</v>
      </c>
    </row>
    <row r="7">
      <c r="A7" s="4" t="s">
        <v>25</v>
      </c>
      <c r="D7" s="4">
        <v>6.0</v>
      </c>
      <c r="G7" s="4">
        <v>5.785295944E9</v>
      </c>
      <c r="J7" s="4" t="s">
        <v>20</v>
      </c>
      <c r="M7" s="6">
        <v>0.0663</v>
      </c>
      <c r="P7" s="7">
        <v>123422.0</v>
      </c>
      <c r="S7" s="4">
        <v>2.50548E8</v>
      </c>
      <c r="V7" s="4" t="s">
        <v>20</v>
      </c>
      <c r="Y7" s="6">
        <v>0.1371</v>
      </c>
      <c r="AB7" s="4">
        <f>625629*1000</f>
        <v>625629000</v>
      </c>
      <c r="AE7" s="4">
        <f>2701562*1000</f>
        <v>2701562000</v>
      </c>
      <c r="AH7" s="4">
        <f>1611600*1000</f>
        <v>1611600000</v>
      </c>
      <c r="AK7" s="4">
        <f>1000*8756</f>
        <v>8756000</v>
      </c>
    </row>
    <row r="8">
      <c r="A8" s="4" t="s">
        <v>26</v>
      </c>
      <c r="D8" s="4">
        <v>7.0</v>
      </c>
      <c r="G8" s="4">
        <v>5.257715894E9</v>
      </c>
      <c r="J8" s="4" t="s">
        <v>20</v>
      </c>
      <c r="M8" s="6">
        <v>0.07</v>
      </c>
      <c r="P8" s="4">
        <v>138738.0</v>
      </c>
      <c r="S8" s="4">
        <v>2.8778E7</v>
      </c>
      <c r="V8" s="4" t="s">
        <v>20</v>
      </c>
      <c r="Y8" s="6">
        <v>0.137</v>
      </c>
      <c r="AB8" s="4">
        <f>1960604570</f>
        <v>1960604570</v>
      </c>
      <c r="AE8" s="4">
        <v>4.27861163E8</v>
      </c>
      <c r="AH8" s="4">
        <v>1.191919438E9</v>
      </c>
      <c r="AK8" s="4">
        <f>1000*14938</f>
        <v>14938000</v>
      </c>
    </row>
    <row r="9">
      <c r="A9" s="4" t="s">
        <v>27</v>
      </c>
      <c r="D9" s="4">
        <v>8.0</v>
      </c>
      <c r="G9" s="4">
        <v>5.178632759E9</v>
      </c>
      <c r="J9" s="4" t="s">
        <v>20</v>
      </c>
      <c r="M9" s="6">
        <v>0.122</v>
      </c>
      <c r="P9" s="7">
        <v>86242.0</v>
      </c>
      <c r="S9" s="4">
        <v>3.83638697E8</v>
      </c>
      <c r="V9" s="4" t="s">
        <v>20</v>
      </c>
      <c r="Y9" s="6">
        <v>0.1253</v>
      </c>
      <c r="AB9" s="4">
        <v>3.80456105E8</v>
      </c>
      <c r="AE9" s="4">
        <v>2.701346272E9</v>
      </c>
      <c r="AH9" s="4">
        <v>1.601283714E9</v>
      </c>
      <c r="AK9" s="4">
        <v>3.8295485E7</v>
      </c>
    </row>
    <row r="10">
      <c r="A10" s="4" t="s">
        <v>28</v>
      </c>
      <c r="D10" s="4">
        <v>9.0</v>
      </c>
      <c r="G10" s="4">
        <v>4.50467774E9</v>
      </c>
      <c r="J10" s="4" t="s">
        <v>20</v>
      </c>
      <c r="M10" s="6">
        <v>0.1457</v>
      </c>
      <c r="P10" s="7">
        <v>111488.0</v>
      </c>
      <c r="S10" s="4">
        <f>-1000*89037</f>
        <v>-89037000</v>
      </c>
      <c r="V10" s="4" t="s">
        <v>20</v>
      </c>
      <c r="Y10" s="6">
        <v>0.1298</v>
      </c>
      <c r="AB10" s="4">
        <f>1000*2518370</f>
        <v>2518370000</v>
      </c>
      <c r="AE10" s="4">
        <f>1000*(186267+188095)</f>
        <v>374362000</v>
      </c>
      <c r="AH10" s="4">
        <f>1000*(60238+905786+23793)</f>
        <v>989817000</v>
      </c>
      <c r="AK10" s="4">
        <f>1000*1798</f>
        <v>1798000</v>
      </c>
    </row>
    <row r="11">
      <c r="A11" s="4" t="s">
        <v>29</v>
      </c>
      <c r="D11" s="4">
        <v>10.0</v>
      </c>
      <c r="G11" s="4">
        <v>4.300111252E9</v>
      </c>
      <c r="J11" s="4" t="s">
        <v>20</v>
      </c>
      <c r="M11" s="6">
        <v>0.143</v>
      </c>
      <c r="P11" s="7">
        <v>102330.0</v>
      </c>
      <c r="S11" s="4">
        <v>2.0221E8</v>
      </c>
      <c r="V11" s="4" t="s">
        <v>20</v>
      </c>
      <c r="Y11" s="6">
        <v>0.09</v>
      </c>
      <c r="AB11" s="4">
        <f>1000*2072339</f>
        <v>2072339000</v>
      </c>
      <c r="AE11" s="4">
        <f>1000*357907</f>
        <v>357907000</v>
      </c>
      <c r="AH11" s="4">
        <f>1000*(993257+279798)</f>
        <v>1273055000</v>
      </c>
      <c r="AK11" s="4">
        <f>1000*2512</f>
        <v>2512000</v>
      </c>
    </row>
    <row r="12">
      <c r="A12" s="4"/>
      <c r="D12" s="4"/>
      <c r="G12" s="4"/>
      <c r="J12" s="4"/>
      <c r="M12" s="4"/>
      <c r="P12" s="4"/>
      <c r="S12" s="4"/>
      <c r="V12" s="4"/>
      <c r="Y12" s="4"/>
      <c r="AB12" s="4"/>
      <c r="AE12" s="4"/>
      <c r="AH12" s="4"/>
      <c r="AK12" s="4"/>
    </row>
    <row r="13">
      <c r="A13" s="4"/>
      <c r="D13" s="4"/>
      <c r="G13" s="4"/>
      <c r="J13" s="4"/>
      <c r="M13" s="4"/>
      <c r="P13" s="4"/>
      <c r="S13" s="4"/>
      <c r="V13" s="4"/>
      <c r="Y13" s="4"/>
      <c r="AB13" s="4"/>
      <c r="AE13" s="4"/>
      <c r="AH13" s="4"/>
      <c r="AK13" s="4"/>
    </row>
    <row r="14">
      <c r="A14" s="4"/>
      <c r="D14" s="4"/>
      <c r="G14" s="4"/>
      <c r="J14" s="4"/>
      <c r="M14" s="4"/>
      <c r="P14" s="4"/>
      <c r="S14" s="4"/>
      <c r="V14" s="4"/>
      <c r="Y14" s="4"/>
      <c r="AB14" s="4"/>
      <c r="AE14" s="4"/>
      <c r="AH14" s="4"/>
      <c r="AK14" s="4"/>
    </row>
    <row r="15">
      <c r="A15" s="4"/>
      <c r="D15" s="4"/>
      <c r="G15" s="4"/>
      <c r="J15" s="4"/>
      <c r="M15" s="4"/>
      <c r="P15" s="4"/>
      <c r="S15" s="4"/>
      <c r="V15" s="4"/>
      <c r="Y15" s="4"/>
      <c r="AB15" s="4"/>
      <c r="AE15" s="4"/>
      <c r="AH15" s="4"/>
      <c r="AK15" s="4"/>
    </row>
    <row r="16">
      <c r="A16" s="4"/>
      <c r="D16" s="4"/>
      <c r="G16" s="4"/>
      <c r="J16" s="4"/>
      <c r="M16" s="4"/>
      <c r="P16" s="4"/>
      <c r="S16" s="4"/>
      <c r="V16" s="4"/>
      <c r="Y16" s="4"/>
      <c r="AB16" s="4"/>
      <c r="AE16" s="4"/>
      <c r="AH16" s="4"/>
      <c r="AK16" s="4"/>
    </row>
    <row r="17">
      <c r="D17" s="4"/>
      <c r="G17" s="4"/>
      <c r="J17" s="4"/>
      <c r="M17" s="4"/>
      <c r="P17" s="4"/>
      <c r="S17" s="4"/>
      <c r="V17" s="4"/>
      <c r="Y17" s="4"/>
      <c r="AB17" s="4"/>
      <c r="AE17" s="4"/>
      <c r="AH17" s="4"/>
      <c r="AK17" s="4"/>
    </row>
    <row r="18">
      <c r="D18" s="4"/>
      <c r="E18" s="4"/>
      <c r="F18" s="4"/>
      <c r="G18" s="4"/>
      <c r="J18" s="4"/>
      <c r="M18" s="4"/>
      <c r="P18" s="4"/>
      <c r="S18" s="4"/>
      <c r="V18" s="4"/>
      <c r="Y18" s="4"/>
      <c r="AB18" s="4"/>
      <c r="AE18" s="4"/>
      <c r="AH18" s="4"/>
      <c r="AK18" s="4"/>
    </row>
    <row r="19">
      <c r="D19" s="4"/>
      <c r="E19" s="4"/>
      <c r="F19" s="4"/>
      <c r="G19" s="4"/>
      <c r="J19" s="4"/>
      <c r="M19" s="4"/>
      <c r="P19" s="4"/>
      <c r="S19" s="4"/>
      <c r="V19" s="4"/>
      <c r="Y19" s="4"/>
      <c r="AB19" s="4"/>
      <c r="AE19" s="4"/>
      <c r="AH19" s="4"/>
      <c r="AK19" s="4"/>
    </row>
    <row r="20">
      <c r="A20" s="15" t="s">
        <v>30</v>
      </c>
      <c r="S20" s="4"/>
      <c r="V20" s="4"/>
      <c r="Y20" s="4"/>
      <c r="AB20" s="4"/>
      <c r="AE20" s="9"/>
      <c r="AH20" s="9"/>
      <c r="AK20" s="4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4"/>
      <c r="N21" s="4"/>
      <c r="O21" s="4"/>
      <c r="P21" s="4"/>
      <c r="S21" s="4"/>
      <c r="V21" s="4"/>
      <c r="Y21" s="4"/>
      <c r="AB21" s="4"/>
      <c r="AE21" s="9"/>
      <c r="AH21" s="9"/>
      <c r="AK21" s="4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4"/>
      <c r="N22" s="4"/>
      <c r="O22" s="4"/>
      <c r="P22" s="4"/>
      <c r="S22" s="4"/>
      <c r="V22" s="4"/>
      <c r="Y22" s="4"/>
      <c r="AB22" s="4"/>
      <c r="AE22" s="9"/>
      <c r="AH22" s="9"/>
      <c r="AK22" s="4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P23" s="4"/>
      <c r="Y23" s="4"/>
      <c r="AB23" s="4"/>
      <c r="AE23" s="9"/>
      <c r="AH23" s="9"/>
      <c r="AK23" s="4"/>
    </row>
    <row r="24" ht="15.75" customHeight="1">
      <c r="P24" s="4"/>
      <c r="Y24" s="4"/>
      <c r="AB24" s="4"/>
      <c r="AE24" s="9"/>
      <c r="AH24" s="9"/>
      <c r="AK24" s="4"/>
    </row>
    <row r="25" ht="15.75" customHeight="1">
      <c r="AB25" s="4"/>
      <c r="AE25" s="9"/>
      <c r="AH25" s="9"/>
      <c r="AK25" s="4"/>
    </row>
    <row r="26" ht="15.75" customHeight="1">
      <c r="AE26" s="9"/>
      <c r="AH26" s="9"/>
      <c r="AK26" s="4"/>
    </row>
    <row r="27" ht="15.75" customHeight="1">
      <c r="AE27" s="9"/>
      <c r="AH27" s="9"/>
      <c r="AK27" s="4"/>
    </row>
    <row r="28" ht="15.75" customHeight="1">
      <c r="AE28" s="9"/>
    </row>
    <row r="29" ht="15.75" customHeight="1">
      <c r="AE29" s="9"/>
    </row>
    <row r="30" ht="15.75" customHeight="1">
      <c r="AE30" s="9"/>
    </row>
    <row r="31" ht="15.75" customHeight="1">
      <c r="AE31" s="9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2">
    <mergeCell ref="AK19:AM19"/>
    <mergeCell ref="AK21:AM21"/>
    <mergeCell ref="AK20:AM20"/>
    <mergeCell ref="AK22:AM22"/>
    <mergeCell ref="AK23:AM23"/>
    <mergeCell ref="AK14:AM14"/>
    <mergeCell ref="AK16:AM16"/>
    <mergeCell ref="AK15:AM15"/>
    <mergeCell ref="AK24:AM24"/>
    <mergeCell ref="AK25:AM25"/>
    <mergeCell ref="AK26:AM26"/>
    <mergeCell ref="AK27:AM27"/>
    <mergeCell ref="AH6:AJ6"/>
    <mergeCell ref="AH7:AJ7"/>
    <mergeCell ref="AE3:AG3"/>
    <mergeCell ref="AE7:AG7"/>
    <mergeCell ref="AE8:AG8"/>
    <mergeCell ref="AE5:AG5"/>
    <mergeCell ref="AH10:AJ10"/>
    <mergeCell ref="AH9:AJ9"/>
    <mergeCell ref="AH3:AJ3"/>
    <mergeCell ref="AH4:AJ4"/>
    <mergeCell ref="AH8:AJ8"/>
    <mergeCell ref="AH5:AJ5"/>
    <mergeCell ref="AK13:AM13"/>
    <mergeCell ref="AK12:AM12"/>
    <mergeCell ref="AE26:AG26"/>
    <mergeCell ref="AE30:AG30"/>
    <mergeCell ref="AE31:AG31"/>
    <mergeCell ref="AE27:AG27"/>
    <mergeCell ref="AE29:AG29"/>
    <mergeCell ref="AE28:AG28"/>
    <mergeCell ref="AH25:AJ25"/>
    <mergeCell ref="AH26:AJ26"/>
    <mergeCell ref="AH27:AJ27"/>
    <mergeCell ref="AH20:AJ20"/>
    <mergeCell ref="AH21:AJ21"/>
    <mergeCell ref="AK17:AM17"/>
    <mergeCell ref="AK18:AM18"/>
    <mergeCell ref="AE16:AG16"/>
    <mergeCell ref="AE17:AG17"/>
    <mergeCell ref="AH11:AJ11"/>
    <mergeCell ref="AH12:AJ12"/>
    <mergeCell ref="AE13:AG13"/>
    <mergeCell ref="AE10:AG10"/>
    <mergeCell ref="AE9:AG9"/>
    <mergeCell ref="AE11:AG11"/>
    <mergeCell ref="AE12:AG12"/>
    <mergeCell ref="AE21:AG21"/>
    <mergeCell ref="AE18:AG18"/>
    <mergeCell ref="AH13:AJ13"/>
    <mergeCell ref="AH14:AJ14"/>
    <mergeCell ref="AH16:AJ16"/>
    <mergeCell ref="AH17:AJ17"/>
    <mergeCell ref="AH15:AJ15"/>
    <mergeCell ref="AE25:AG25"/>
    <mergeCell ref="AH24:AJ24"/>
    <mergeCell ref="AB15:AD15"/>
    <mergeCell ref="AB14:AD14"/>
    <mergeCell ref="AE15:AG15"/>
    <mergeCell ref="AE14:AG14"/>
    <mergeCell ref="AB8:AD8"/>
    <mergeCell ref="AB9:AD9"/>
    <mergeCell ref="AB7:AD7"/>
    <mergeCell ref="AB5:AD5"/>
    <mergeCell ref="AB3:AD3"/>
    <mergeCell ref="Y3:AA3"/>
    <mergeCell ref="AH18:AJ18"/>
    <mergeCell ref="AH19:AJ19"/>
    <mergeCell ref="AE20:AG20"/>
    <mergeCell ref="AE19:AG19"/>
    <mergeCell ref="AB24:AD24"/>
    <mergeCell ref="AE24:AG24"/>
    <mergeCell ref="AE22:AG22"/>
    <mergeCell ref="AE23:AG23"/>
    <mergeCell ref="Y23:AA23"/>
    <mergeCell ref="Y22:AA22"/>
    <mergeCell ref="AH23:AJ23"/>
    <mergeCell ref="AH22:AJ22"/>
    <mergeCell ref="AB25:AD25"/>
    <mergeCell ref="Y24:AA24"/>
    <mergeCell ref="AB21:AD21"/>
    <mergeCell ref="AB22:AD22"/>
    <mergeCell ref="AB23:AD23"/>
    <mergeCell ref="AB10:AD10"/>
    <mergeCell ref="AB11:AD11"/>
    <mergeCell ref="Y10:AA10"/>
    <mergeCell ref="Y11:AA11"/>
    <mergeCell ref="Y12:AA12"/>
    <mergeCell ref="Y9:AA9"/>
    <mergeCell ref="D2:F2"/>
    <mergeCell ref="A1:C1"/>
    <mergeCell ref="D1:F1"/>
    <mergeCell ref="AB1:AD1"/>
    <mergeCell ref="AB2:AD2"/>
    <mergeCell ref="V2:X2"/>
    <mergeCell ref="Y2:AA2"/>
    <mergeCell ref="V1:X1"/>
    <mergeCell ref="Y1:AA1"/>
    <mergeCell ref="M1:O1"/>
    <mergeCell ref="S1:U1"/>
    <mergeCell ref="P1:R1"/>
    <mergeCell ref="V3:X3"/>
    <mergeCell ref="P3:R3"/>
    <mergeCell ref="AB4:AD4"/>
    <mergeCell ref="Y4:AA4"/>
    <mergeCell ref="G3:I3"/>
    <mergeCell ref="M2:O2"/>
    <mergeCell ref="A5:C5"/>
    <mergeCell ref="A4:C4"/>
    <mergeCell ref="S2:U2"/>
    <mergeCell ref="P2:R2"/>
    <mergeCell ref="G1:I1"/>
    <mergeCell ref="G2:I2"/>
    <mergeCell ref="J1:L1"/>
    <mergeCell ref="J2:L2"/>
    <mergeCell ref="J3:L3"/>
    <mergeCell ref="M3:O3"/>
    <mergeCell ref="D3:F3"/>
    <mergeCell ref="D4:F4"/>
    <mergeCell ref="G5:I5"/>
    <mergeCell ref="G4:I4"/>
    <mergeCell ref="M4:O4"/>
    <mergeCell ref="J4:L4"/>
    <mergeCell ref="J5:L5"/>
    <mergeCell ref="M5:O5"/>
    <mergeCell ref="M10:O10"/>
    <mergeCell ref="G10:I10"/>
    <mergeCell ref="A10:C10"/>
    <mergeCell ref="A11:C11"/>
    <mergeCell ref="D10:F10"/>
    <mergeCell ref="D11:F11"/>
    <mergeCell ref="J10:L10"/>
    <mergeCell ref="M11:O11"/>
    <mergeCell ref="AK10:AM10"/>
    <mergeCell ref="AK11:AM11"/>
    <mergeCell ref="AK7:AM7"/>
    <mergeCell ref="AK8:AM8"/>
    <mergeCell ref="AK6:AM6"/>
    <mergeCell ref="AK9:AM9"/>
    <mergeCell ref="AK5:AM5"/>
    <mergeCell ref="AE6:AG6"/>
    <mergeCell ref="AB6:AD6"/>
    <mergeCell ref="S11:U11"/>
    <mergeCell ref="P11:R11"/>
    <mergeCell ref="V8:X8"/>
    <mergeCell ref="V9:X9"/>
    <mergeCell ref="V10:X10"/>
    <mergeCell ref="V11:X11"/>
    <mergeCell ref="A2:C2"/>
    <mergeCell ref="A3:C3"/>
    <mergeCell ref="A8:C8"/>
    <mergeCell ref="A9:C9"/>
    <mergeCell ref="A7:C7"/>
    <mergeCell ref="A6:C6"/>
    <mergeCell ref="D6:F6"/>
    <mergeCell ref="D7:F7"/>
    <mergeCell ref="AE2:AG2"/>
    <mergeCell ref="AE1:AG1"/>
    <mergeCell ref="AH2:AJ2"/>
    <mergeCell ref="AH1:AJ1"/>
    <mergeCell ref="AK1:AM1"/>
    <mergeCell ref="AK2:AM2"/>
    <mergeCell ref="AK3:AM3"/>
    <mergeCell ref="AE4:AG4"/>
    <mergeCell ref="AK4:AM4"/>
    <mergeCell ref="J19:L19"/>
    <mergeCell ref="J18:L18"/>
    <mergeCell ref="M17:O17"/>
    <mergeCell ref="M19:O19"/>
    <mergeCell ref="M18:O18"/>
    <mergeCell ref="G18:I18"/>
    <mergeCell ref="G19:I19"/>
    <mergeCell ref="D17:F17"/>
    <mergeCell ref="D16:F16"/>
    <mergeCell ref="G17:I17"/>
    <mergeCell ref="A20:R20"/>
    <mergeCell ref="J17:L17"/>
    <mergeCell ref="S21:U21"/>
    <mergeCell ref="P21:R21"/>
    <mergeCell ref="P19:R19"/>
    <mergeCell ref="S19:U19"/>
    <mergeCell ref="S20:U20"/>
    <mergeCell ref="P22:R22"/>
    <mergeCell ref="S22:U22"/>
    <mergeCell ref="P24:R24"/>
    <mergeCell ref="P23:R23"/>
    <mergeCell ref="G6:I6"/>
    <mergeCell ref="G7:I7"/>
    <mergeCell ref="M7:O7"/>
    <mergeCell ref="M6:O6"/>
    <mergeCell ref="M8:O8"/>
    <mergeCell ref="M9:O9"/>
    <mergeCell ref="D5:F5"/>
    <mergeCell ref="J11:L11"/>
    <mergeCell ref="G8:I8"/>
    <mergeCell ref="G9:I9"/>
    <mergeCell ref="J9:L9"/>
    <mergeCell ref="J8:L8"/>
    <mergeCell ref="J7:L7"/>
    <mergeCell ref="J6:L6"/>
    <mergeCell ref="M14:O14"/>
    <mergeCell ref="P14:R14"/>
    <mergeCell ref="P15:R15"/>
    <mergeCell ref="M15:O15"/>
    <mergeCell ref="M16:O16"/>
    <mergeCell ref="P17:R17"/>
    <mergeCell ref="G12:I12"/>
    <mergeCell ref="G13:I13"/>
    <mergeCell ref="M12:O12"/>
    <mergeCell ref="J13:L13"/>
    <mergeCell ref="M13:O13"/>
    <mergeCell ref="G11:I11"/>
    <mergeCell ref="G14:I14"/>
    <mergeCell ref="G15:I15"/>
    <mergeCell ref="J14:L14"/>
    <mergeCell ref="J15:L15"/>
    <mergeCell ref="J12:L12"/>
    <mergeCell ref="J16:L16"/>
    <mergeCell ref="G16:I16"/>
    <mergeCell ref="A14:C14"/>
    <mergeCell ref="A16:C16"/>
    <mergeCell ref="A15:C15"/>
    <mergeCell ref="D8:F8"/>
    <mergeCell ref="D9:F9"/>
    <mergeCell ref="D12:F12"/>
    <mergeCell ref="A12:C12"/>
    <mergeCell ref="D14:F14"/>
    <mergeCell ref="D13:F13"/>
    <mergeCell ref="A13:C13"/>
    <mergeCell ref="D15:F15"/>
    <mergeCell ref="AB12:AD12"/>
    <mergeCell ref="AB13:AD13"/>
    <mergeCell ref="AB17:AD17"/>
    <mergeCell ref="AB18:AD18"/>
    <mergeCell ref="V15:X15"/>
    <mergeCell ref="Y15:AA15"/>
    <mergeCell ref="AB19:AD19"/>
    <mergeCell ref="Y19:AA19"/>
    <mergeCell ref="Y20:AA20"/>
    <mergeCell ref="Y21:AA21"/>
    <mergeCell ref="V21:X21"/>
    <mergeCell ref="V20:X20"/>
    <mergeCell ref="V22:X22"/>
    <mergeCell ref="Y13:AA13"/>
    <mergeCell ref="V12:X12"/>
    <mergeCell ref="V13:X13"/>
    <mergeCell ref="Y8:AA8"/>
    <mergeCell ref="Y14:AA14"/>
    <mergeCell ref="AB16:AD16"/>
    <mergeCell ref="V18:X18"/>
    <mergeCell ref="AB20:AD20"/>
    <mergeCell ref="Y16:AA16"/>
    <mergeCell ref="V19:X19"/>
    <mergeCell ref="V14:X14"/>
    <mergeCell ref="V6:X6"/>
    <mergeCell ref="V7:X7"/>
    <mergeCell ref="V4:X4"/>
    <mergeCell ref="S3:U3"/>
    <mergeCell ref="S4:U4"/>
    <mergeCell ref="S6:U6"/>
    <mergeCell ref="S7:U7"/>
    <mergeCell ref="S5:U5"/>
    <mergeCell ref="P4:R4"/>
    <mergeCell ref="P6:R6"/>
    <mergeCell ref="P5:R5"/>
    <mergeCell ref="P10:R10"/>
    <mergeCell ref="P9:R9"/>
    <mergeCell ref="P12:R12"/>
    <mergeCell ref="P13:R13"/>
    <mergeCell ref="S9:U9"/>
    <mergeCell ref="S8:U8"/>
    <mergeCell ref="S13:U13"/>
    <mergeCell ref="S12:U12"/>
    <mergeCell ref="S14:U14"/>
    <mergeCell ref="S15:U15"/>
    <mergeCell ref="S10:U10"/>
    <mergeCell ref="Y6:AA6"/>
    <mergeCell ref="Y7:AA7"/>
    <mergeCell ref="V5:X5"/>
    <mergeCell ref="Y5:AA5"/>
    <mergeCell ref="P7:R7"/>
    <mergeCell ref="P8:R8"/>
    <mergeCell ref="V17:X17"/>
    <mergeCell ref="V16:X16"/>
    <mergeCell ref="S16:U16"/>
    <mergeCell ref="P16:R16"/>
    <mergeCell ref="P18:R18"/>
    <mergeCell ref="S17:U17"/>
    <mergeCell ref="S18:U18"/>
    <mergeCell ref="Y17:AA17"/>
    <mergeCell ref="Y18:AA18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4.43" defaultRowHeight="15.0"/>
  <cols>
    <col customWidth="1" min="1" max="54" width="8.71"/>
  </cols>
  <sheetData>
    <row r="1">
      <c r="A1" s="1" t="s">
        <v>0</v>
      </c>
      <c r="D1" s="2" t="s">
        <v>1</v>
      </c>
      <c r="G1" s="3" t="s">
        <v>2</v>
      </c>
      <c r="J1" s="3" t="s">
        <v>3</v>
      </c>
      <c r="M1" s="1" t="s">
        <v>4</v>
      </c>
      <c r="P1" s="1" t="s">
        <v>5</v>
      </c>
      <c r="S1" s="1" t="s">
        <v>6</v>
      </c>
      <c r="V1" s="1" t="s">
        <v>7</v>
      </c>
      <c r="Y1" s="1" t="s">
        <v>8</v>
      </c>
      <c r="AB1" s="1" t="s">
        <v>9</v>
      </c>
      <c r="AE1" s="1" t="s">
        <v>10</v>
      </c>
      <c r="AH1" s="3" t="s">
        <v>11</v>
      </c>
      <c r="AK1" s="3" t="s">
        <v>12</v>
      </c>
      <c r="AN1" s="1" t="s">
        <v>13</v>
      </c>
      <c r="AQ1" s="3" t="s">
        <v>14</v>
      </c>
      <c r="AT1" s="3" t="s">
        <v>15</v>
      </c>
      <c r="AW1" s="3" t="s">
        <v>16</v>
      </c>
      <c r="AZ1" s="3" t="s">
        <v>17</v>
      </c>
    </row>
    <row r="2">
      <c r="A2" s="4" t="s">
        <v>28</v>
      </c>
      <c r="D2" s="5">
        <v>2017.0</v>
      </c>
      <c r="G2" s="4">
        <v>9.0</v>
      </c>
      <c r="J2" s="4">
        <v>4.479058E9</v>
      </c>
      <c r="M2" s="4" t="s">
        <v>20</v>
      </c>
      <c r="P2" s="6">
        <v>0.1457</v>
      </c>
      <c r="S2" s="7">
        <v>111488.0</v>
      </c>
      <c r="V2" s="4">
        <f t="shared" ref="V2:V11" si="1">J2-J3</f>
        <v>115487000</v>
      </c>
      <c r="Y2" s="4" t="s">
        <v>20</v>
      </c>
      <c r="AB2" s="6">
        <v>0.1298</v>
      </c>
      <c r="AE2" s="4">
        <f>1000*2518370</f>
        <v>2518370000</v>
      </c>
      <c r="AH2" s="4">
        <f>1000*(186267+188095)</f>
        <v>374362000</v>
      </c>
      <c r="AK2" s="4">
        <f>1000*(60238+905786+23793)</f>
        <v>989817000</v>
      </c>
      <c r="AN2" s="4">
        <f>1000*1798</f>
        <v>1798000</v>
      </c>
      <c r="AQ2" s="9"/>
      <c r="AT2" s="9"/>
      <c r="AW2" s="9"/>
      <c r="AZ2" s="9">
        <v>18.0</v>
      </c>
    </row>
    <row r="3">
      <c r="D3" s="10">
        <v>2016.0</v>
      </c>
      <c r="J3" s="4">
        <v>4.363571E9</v>
      </c>
      <c r="V3" s="4">
        <f t="shared" si="1"/>
        <v>186793000</v>
      </c>
    </row>
    <row r="4">
      <c r="D4" s="5">
        <v>2015.0</v>
      </c>
      <c r="J4" s="4">
        <v>4.176778E9</v>
      </c>
      <c r="V4" s="4">
        <f t="shared" si="1"/>
        <v>311731000</v>
      </c>
    </row>
    <row r="5">
      <c r="D5" s="10">
        <v>2014.0</v>
      </c>
      <c r="J5" s="4">
        <v>3.865047E9</v>
      </c>
      <c r="V5" s="4">
        <f t="shared" si="1"/>
        <v>311732000</v>
      </c>
    </row>
    <row r="6">
      <c r="D6" s="5">
        <v>2013.0</v>
      </c>
      <c r="J6" s="4">
        <v>3.553315E9</v>
      </c>
      <c r="V6" s="4">
        <f t="shared" si="1"/>
        <v>121845000</v>
      </c>
    </row>
    <row r="7">
      <c r="D7" s="10">
        <v>2012.0</v>
      </c>
      <c r="J7" s="4">
        <v>3.43147E9</v>
      </c>
      <c r="V7" s="4">
        <f t="shared" si="1"/>
        <v>314707000</v>
      </c>
    </row>
    <row r="8">
      <c r="D8" s="10">
        <v>2011.0</v>
      </c>
      <c r="J8" s="4">
        <v>3.116763E9</v>
      </c>
      <c r="V8" s="4">
        <f t="shared" si="1"/>
        <v>281775000</v>
      </c>
    </row>
    <row r="9">
      <c r="D9" s="5">
        <v>2010.0</v>
      </c>
      <c r="J9" s="4">
        <v>2.834988E9</v>
      </c>
      <c r="V9" s="4">
        <f t="shared" si="1"/>
        <v>213800000</v>
      </c>
    </row>
    <row r="10">
      <c r="D10" s="10">
        <v>2009.0</v>
      </c>
      <c r="J10" s="4">
        <v>2.621188E9</v>
      </c>
      <c r="V10" s="4">
        <f t="shared" si="1"/>
        <v>207382000</v>
      </c>
    </row>
    <row r="11">
      <c r="D11" s="10">
        <v>2008.0</v>
      </c>
      <c r="J11" s="4">
        <v>2.413806E9</v>
      </c>
      <c r="V11" s="4">
        <f t="shared" si="1"/>
        <v>320585000</v>
      </c>
    </row>
    <row r="12">
      <c r="D12" s="10">
        <v>2007.0</v>
      </c>
      <c r="J12" s="4">
        <v>2.093221E9</v>
      </c>
    </row>
    <row r="13">
      <c r="D13" s="10"/>
    </row>
    <row r="19">
      <c r="C19" s="17" t="s">
        <v>42</v>
      </c>
    </row>
    <row r="20">
      <c r="C20" s="13" t="s">
        <v>43</v>
      </c>
    </row>
    <row r="21" ht="15.75" customHeight="1">
      <c r="C21" s="17" t="s">
        <v>44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6">
    <mergeCell ref="D5:F5"/>
    <mergeCell ref="D6:F6"/>
    <mergeCell ref="J3:L3"/>
    <mergeCell ref="J4:L4"/>
    <mergeCell ref="J5:L5"/>
    <mergeCell ref="J6:L6"/>
    <mergeCell ref="D7:F7"/>
    <mergeCell ref="D8:F8"/>
    <mergeCell ref="J10:L10"/>
    <mergeCell ref="J11:L11"/>
    <mergeCell ref="J12:L12"/>
    <mergeCell ref="J7:L7"/>
    <mergeCell ref="J8:L8"/>
    <mergeCell ref="J9:L9"/>
    <mergeCell ref="D1:F1"/>
    <mergeCell ref="D9:F9"/>
    <mergeCell ref="D10:F10"/>
    <mergeCell ref="D11:F11"/>
    <mergeCell ref="D12:F12"/>
    <mergeCell ref="D13:F13"/>
    <mergeCell ref="D2:F2"/>
    <mergeCell ref="Y2:AA2"/>
    <mergeCell ref="G2:I2"/>
    <mergeCell ref="M2:O2"/>
    <mergeCell ref="P2:R2"/>
    <mergeCell ref="S2:U2"/>
    <mergeCell ref="J2:L2"/>
    <mergeCell ref="V2:X2"/>
    <mergeCell ref="AB2:AD2"/>
    <mergeCell ref="AN2:AP2"/>
    <mergeCell ref="AK2:AM2"/>
    <mergeCell ref="AH2:AJ2"/>
    <mergeCell ref="AT2:AV2"/>
    <mergeCell ref="AW2:AY2"/>
    <mergeCell ref="AZ2:BB2"/>
    <mergeCell ref="AQ2:AS2"/>
    <mergeCell ref="AE2:AG2"/>
    <mergeCell ref="AQ1:AS1"/>
    <mergeCell ref="AN1:AP1"/>
    <mergeCell ref="AW1:AY1"/>
    <mergeCell ref="AZ1:BB1"/>
    <mergeCell ref="AT1:AV1"/>
    <mergeCell ref="AH1:AJ1"/>
    <mergeCell ref="AK1:AM1"/>
    <mergeCell ref="AB1:AD1"/>
    <mergeCell ref="AE1:AG1"/>
    <mergeCell ref="A2:C2"/>
    <mergeCell ref="A1:C1"/>
    <mergeCell ref="G1:I1"/>
    <mergeCell ref="J1:L1"/>
    <mergeCell ref="M1:O1"/>
    <mergeCell ref="P1:R1"/>
    <mergeCell ref="S1:U1"/>
    <mergeCell ref="D3:F3"/>
    <mergeCell ref="D4:F4"/>
    <mergeCell ref="V8:X8"/>
    <mergeCell ref="V9:X9"/>
    <mergeCell ref="V10:X10"/>
    <mergeCell ref="V11:X11"/>
    <mergeCell ref="V7:X7"/>
    <mergeCell ref="V1:X1"/>
    <mergeCell ref="Y1:AA1"/>
    <mergeCell ref="V3:X3"/>
    <mergeCell ref="V4:X4"/>
    <mergeCell ref="V5:X5"/>
    <mergeCell ref="V6:X6"/>
  </mergeCells>
  <hyperlinks>
    <hyperlink r:id="rId1" ref="C20"/>
  </hyperlinks>
  <printOptions/>
  <pageMargins bottom="0.75" footer="0.0" header="0.0" left="0.7" right="0.7" top="0.75"/>
  <pageSetup orientation="landscape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4.43" defaultRowHeight="15.0"/>
  <cols>
    <col customWidth="1" min="1" max="54" width="8.71"/>
  </cols>
  <sheetData>
    <row r="1">
      <c r="A1" s="1" t="s">
        <v>0</v>
      </c>
      <c r="D1" s="2" t="s">
        <v>1</v>
      </c>
      <c r="G1" s="3" t="s">
        <v>2</v>
      </c>
      <c r="J1" s="3" t="s">
        <v>3</v>
      </c>
      <c r="M1" s="1" t="s">
        <v>4</v>
      </c>
      <c r="P1" s="1" t="s">
        <v>5</v>
      </c>
      <c r="S1" s="1" t="s">
        <v>6</v>
      </c>
      <c r="V1" s="1" t="s">
        <v>7</v>
      </c>
      <c r="Y1" s="1" t="s">
        <v>8</v>
      </c>
      <c r="AB1" s="1" t="s">
        <v>9</v>
      </c>
      <c r="AE1" s="1" t="s">
        <v>10</v>
      </c>
      <c r="AH1" s="3" t="s">
        <v>11</v>
      </c>
      <c r="AK1" s="3" t="s">
        <v>12</v>
      </c>
      <c r="AN1" s="1" t="s">
        <v>13</v>
      </c>
      <c r="AQ1" s="3" t="s">
        <v>14</v>
      </c>
      <c r="AT1" s="3" t="s">
        <v>15</v>
      </c>
      <c r="AW1" s="3" t="s">
        <v>16</v>
      </c>
      <c r="AZ1" s="3" t="s">
        <v>17</v>
      </c>
    </row>
    <row r="2">
      <c r="A2" s="4" t="s">
        <v>29</v>
      </c>
      <c r="D2" s="5">
        <v>2017.0</v>
      </c>
      <c r="G2" s="4">
        <v>10.0</v>
      </c>
      <c r="J2" s="5">
        <v>4.50535E9</v>
      </c>
      <c r="K2" s="4"/>
      <c r="L2" s="4"/>
      <c r="M2" s="4" t="s">
        <v>20</v>
      </c>
      <c r="P2" s="6">
        <v>0.143</v>
      </c>
      <c r="S2" s="7">
        <v>102330.0</v>
      </c>
      <c r="V2" s="4">
        <f t="shared" ref="V2:V6" si="1">J2-J3</f>
        <v>202210000</v>
      </c>
      <c r="Y2" s="4" t="s">
        <v>20</v>
      </c>
      <c r="AB2" s="6">
        <v>0.09</v>
      </c>
      <c r="AE2" s="4">
        <f>1000*2072339</f>
        <v>2072339000</v>
      </c>
      <c r="AH2" s="4">
        <f>1000*357907</f>
        <v>357907000</v>
      </c>
      <c r="AK2" s="4">
        <f>1000*(993257+279798)</f>
        <v>1273055000</v>
      </c>
      <c r="AN2" s="4">
        <f>1000*2512</f>
        <v>2512000</v>
      </c>
      <c r="AQ2" s="9"/>
      <c r="AT2" s="9"/>
      <c r="AW2" s="9"/>
      <c r="AZ2" s="9">
        <v>27.0</v>
      </c>
    </row>
    <row r="3">
      <c r="D3" s="10">
        <v>2016.0</v>
      </c>
      <c r="J3" s="4">
        <v>4.30314E9</v>
      </c>
      <c r="V3" s="4">
        <f t="shared" si="1"/>
        <v>169191000</v>
      </c>
    </row>
    <row r="4">
      <c r="D4" s="5">
        <v>2015.0</v>
      </c>
      <c r="J4" s="4">
        <v>4.133949E9</v>
      </c>
      <c r="V4" s="4">
        <f t="shared" si="1"/>
        <v>350844000</v>
      </c>
    </row>
    <row r="5">
      <c r="D5" s="10">
        <v>2014.0</v>
      </c>
      <c r="J5" s="4">
        <v>3.783105E9</v>
      </c>
      <c r="V5" s="4">
        <f t="shared" si="1"/>
        <v>134610000</v>
      </c>
    </row>
    <row r="6">
      <c r="D6" s="5">
        <v>2013.0</v>
      </c>
      <c r="J6" s="4">
        <v>3.648495E9</v>
      </c>
      <c r="V6" s="4">
        <f t="shared" si="1"/>
        <v>179144000</v>
      </c>
    </row>
    <row r="7">
      <c r="D7" s="10">
        <v>2012.0</v>
      </c>
      <c r="J7" s="4">
        <v>3.469351E9</v>
      </c>
    </row>
    <row r="12">
      <c r="D12" s="17"/>
      <c r="E12" s="17"/>
      <c r="F12" s="17"/>
      <c r="G12" s="13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">
    <mergeCell ref="D4:F4"/>
    <mergeCell ref="D5:F5"/>
    <mergeCell ref="D7:F7"/>
    <mergeCell ref="G1:I1"/>
    <mergeCell ref="G2:I2"/>
    <mergeCell ref="J3:L3"/>
    <mergeCell ref="J4:L4"/>
    <mergeCell ref="J5:L5"/>
    <mergeCell ref="D3:F3"/>
    <mergeCell ref="D6:F6"/>
    <mergeCell ref="AW1:AY1"/>
    <mergeCell ref="AZ1:BB1"/>
    <mergeCell ref="AT1:AV1"/>
    <mergeCell ref="AQ1:AS1"/>
    <mergeCell ref="AN1:AP1"/>
    <mergeCell ref="AB2:AD2"/>
    <mergeCell ref="AE2:AG2"/>
    <mergeCell ref="AH1:AJ1"/>
    <mergeCell ref="AK1:AM1"/>
    <mergeCell ref="AB1:AD1"/>
    <mergeCell ref="AE1:AG1"/>
    <mergeCell ref="Y2:AA2"/>
    <mergeCell ref="Y1:AA1"/>
    <mergeCell ref="AN2:AP2"/>
    <mergeCell ref="AK2:AM2"/>
    <mergeCell ref="AH2:AJ2"/>
    <mergeCell ref="AT2:AV2"/>
    <mergeCell ref="AW2:AY2"/>
    <mergeCell ref="AZ2:BB2"/>
    <mergeCell ref="AQ2:AS2"/>
    <mergeCell ref="M2:O2"/>
    <mergeCell ref="P2:R2"/>
    <mergeCell ref="V3:X3"/>
    <mergeCell ref="V4:X4"/>
    <mergeCell ref="V5:X5"/>
    <mergeCell ref="V6:X6"/>
    <mergeCell ref="V2:X2"/>
    <mergeCell ref="S1:U1"/>
    <mergeCell ref="V1:X1"/>
    <mergeCell ref="A1:C1"/>
    <mergeCell ref="J1:L1"/>
    <mergeCell ref="M1:O1"/>
    <mergeCell ref="P1:R1"/>
    <mergeCell ref="D1:F1"/>
    <mergeCell ref="A2:C2"/>
    <mergeCell ref="S2:U2"/>
    <mergeCell ref="D2:F2"/>
    <mergeCell ref="J6:L6"/>
    <mergeCell ref="J7:L7"/>
  </mergeCells>
  <hyperlinks>
    <hyperlink r:id="rId1" ref="G12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41B47"/>
    <pageSetUpPr/>
  </sheetPr>
  <sheetViews>
    <sheetView workbookViewId="0"/>
  </sheetViews>
  <sheetFormatPr customHeight="1" defaultColWidth="14.43" defaultRowHeight="15.0"/>
  <cols>
    <col customWidth="1" min="1" max="54" width="8.71"/>
  </cols>
  <sheetData>
    <row r="1">
      <c r="A1" s="1" t="s">
        <v>0</v>
      </c>
      <c r="D1" s="2" t="s">
        <v>1</v>
      </c>
      <c r="G1" s="3" t="s">
        <v>2</v>
      </c>
      <c r="J1" s="3" t="s">
        <v>3</v>
      </c>
      <c r="M1" s="1" t="s">
        <v>4</v>
      </c>
      <c r="P1" s="1" t="s">
        <v>5</v>
      </c>
      <c r="S1" s="1" t="s">
        <v>6</v>
      </c>
      <c r="V1" s="1" t="s">
        <v>7</v>
      </c>
      <c r="Y1" s="1" t="s">
        <v>8</v>
      </c>
      <c r="AB1" s="1" t="s">
        <v>9</v>
      </c>
      <c r="AE1" s="1" t="s">
        <v>10</v>
      </c>
      <c r="AH1" s="3" t="s">
        <v>11</v>
      </c>
      <c r="AK1" s="3" t="s">
        <v>12</v>
      </c>
      <c r="AN1" s="1" t="s">
        <v>13</v>
      </c>
      <c r="AQ1" s="3" t="s">
        <v>14</v>
      </c>
      <c r="AT1" s="3" t="s">
        <v>15</v>
      </c>
      <c r="AW1" s="3" t="s">
        <v>16</v>
      </c>
      <c r="AZ1" s="3" t="s">
        <v>17</v>
      </c>
    </row>
    <row r="2">
      <c r="A2" s="4" t="s">
        <v>19</v>
      </c>
      <c r="D2" s="5">
        <v>2017.0</v>
      </c>
      <c r="G2" s="4">
        <v>1.0</v>
      </c>
      <c r="J2" s="4">
        <v>2.1217202581E10</v>
      </c>
      <c r="M2" s="4">
        <v>63.0</v>
      </c>
      <c r="P2" s="6">
        <v>0.141</v>
      </c>
      <c r="S2" s="7">
        <v>525506.0</v>
      </c>
      <c r="V2" s="4">
        <f t="shared" ref="V2:V3" si="1">J2-J3</f>
        <v>85293581</v>
      </c>
      <c r="Y2" s="8">
        <v>0.68</v>
      </c>
      <c r="AB2" s="6">
        <v>0.129</v>
      </c>
      <c r="AE2" s="4">
        <f>12110*(1*10^6)</f>
        <v>12110000000</v>
      </c>
      <c r="AH2" s="4">
        <f>690*10^6</f>
        <v>690000000</v>
      </c>
      <c r="AK2" s="4">
        <f>5628*10^6</f>
        <v>5628000000</v>
      </c>
      <c r="AN2" s="4">
        <f>65*10^6</f>
        <v>65000000</v>
      </c>
      <c r="AQ2" s="9"/>
      <c r="AT2" s="9"/>
      <c r="AW2" s="9"/>
      <c r="AZ2" s="9">
        <v>57.0</v>
      </c>
    </row>
    <row r="3">
      <c r="D3" s="10">
        <v>2016.0</v>
      </c>
      <c r="J3" s="4">
        <f>(21131909*1000)</f>
        <v>21131909000</v>
      </c>
      <c r="V3" s="10">
        <f t="shared" si="1"/>
        <v>1301990000</v>
      </c>
    </row>
    <row r="4">
      <c r="D4" s="5">
        <v>2015.0</v>
      </c>
      <c r="J4" s="4">
        <f>(19829919*1000)</f>
        <v>19829919000</v>
      </c>
      <c r="V4" s="12">
        <f t="shared" ref="V4:V49" si="2">J3-J4</f>
        <v>1301990000</v>
      </c>
    </row>
    <row r="5">
      <c r="D5" s="10">
        <v>2014.0</v>
      </c>
      <c r="J5" s="4">
        <f>18559745*1000</f>
        <v>18559745000</v>
      </c>
      <c r="V5" s="12">
        <f t="shared" si="2"/>
        <v>1270174000</v>
      </c>
    </row>
    <row r="6">
      <c r="D6" s="5">
        <v>2013.0</v>
      </c>
      <c r="J6" s="4">
        <f>17546233*1000</f>
        <v>17546233000</v>
      </c>
      <c r="V6" s="12">
        <f t="shared" si="2"/>
        <v>1013512000</v>
      </c>
    </row>
    <row r="7">
      <c r="D7" s="10">
        <v>2012.0</v>
      </c>
      <c r="J7" s="4">
        <f>17055828*1000</f>
        <v>17055828000</v>
      </c>
      <c r="V7" s="12">
        <f t="shared" si="2"/>
        <v>490405000</v>
      </c>
    </row>
    <row r="8">
      <c r="D8" s="10">
        <v>2011.0</v>
      </c>
      <c r="J8" s="4">
        <f>(16127117*1000)</f>
        <v>16127117000</v>
      </c>
      <c r="V8" s="12">
        <f t="shared" si="2"/>
        <v>928711000</v>
      </c>
    </row>
    <row r="9">
      <c r="D9" s="10">
        <v>2010.0</v>
      </c>
      <c r="J9" s="4">
        <f>(14846918*1000)</f>
        <v>14846918000</v>
      </c>
      <c r="V9" s="12">
        <f t="shared" si="2"/>
        <v>1280199000</v>
      </c>
    </row>
    <row r="10">
      <c r="D10" s="10">
        <v>2009.0</v>
      </c>
      <c r="J10" s="4">
        <f>14411*1000000</f>
        <v>14411000000</v>
      </c>
      <c r="V10" s="12">
        <f t="shared" si="2"/>
        <v>435918000</v>
      </c>
    </row>
    <row r="11">
      <c r="D11" s="10">
        <v>2008.0</v>
      </c>
      <c r="J11" s="4">
        <f>14532*1000000</f>
        <v>14532000000</v>
      </c>
      <c r="V11" s="12">
        <f t="shared" si="2"/>
        <v>-121000000</v>
      </c>
    </row>
    <row r="12">
      <c r="D12" s="10">
        <v>2007.0</v>
      </c>
      <c r="J12" s="4">
        <f>14307*1000000</f>
        <v>14307000000</v>
      </c>
      <c r="V12" s="12">
        <f t="shared" si="2"/>
        <v>225000000</v>
      </c>
    </row>
    <row r="13">
      <c r="D13" s="10">
        <v>2006.0</v>
      </c>
      <c r="J13" s="4">
        <f>12268*1000000</f>
        <v>12268000000</v>
      </c>
      <c r="V13" s="12">
        <f t="shared" si="2"/>
        <v>2039000000</v>
      </c>
    </row>
    <row r="14">
      <c r="D14" s="10">
        <v>2005.0</v>
      </c>
      <c r="J14" s="4">
        <f>11756*1000000</f>
        <v>11756000000</v>
      </c>
      <c r="V14" s="12">
        <f t="shared" si="2"/>
        <v>512000000</v>
      </c>
    </row>
    <row r="15">
      <c r="D15" s="10">
        <v>2004.0</v>
      </c>
      <c r="J15" s="4">
        <f>10454*1000000</f>
        <v>10454000000</v>
      </c>
      <c r="V15" s="12">
        <f t="shared" si="2"/>
        <v>1302000000</v>
      </c>
    </row>
    <row r="16">
      <c r="D16" s="10">
        <v>2003.0</v>
      </c>
      <c r="J16" s="4">
        <f>9*1000000000</f>
        <v>9000000000</v>
      </c>
      <c r="V16" s="12">
        <f t="shared" si="2"/>
        <v>1454000000</v>
      </c>
    </row>
    <row r="17">
      <c r="D17" s="10">
        <v>2002.0</v>
      </c>
      <c r="J17" s="4">
        <f>8.2*1000000000</f>
        <v>8200000000</v>
      </c>
      <c r="V17" s="12">
        <f t="shared" si="2"/>
        <v>800000000</v>
      </c>
    </row>
    <row r="18">
      <c r="D18" s="10">
        <v>2001.0</v>
      </c>
      <c r="J18" s="4">
        <f>7.5*1000000000</f>
        <v>7500000000</v>
      </c>
      <c r="V18" s="12">
        <f t="shared" si="2"/>
        <v>700000000</v>
      </c>
    </row>
    <row r="19">
      <c r="D19" s="10">
        <v>2000.0</v>
      </c>
      <c r="J19" s="4">
        <f>6889509*1000</f>
        <v>6889509000</v>
      </c>
      <c r="V19" s="12">
        <f t="shared" si="2"/>
        <v>610491000</v>
      </c>
    </row>
    <row r="20">
      <c r="D20" s="10">
        <v>1999.0</v>
      </c>
      <c r="J20" s="4">
        <f>6410978*1000</f>
        <v>6410978000</v>
      </c>
      <c r="V20" s="12">
        <f t="shared" si="2"/>
        <v>478531000</v>
      </c>
    </row>
    <row r="21" ht="15.75" customHeight="1">
      <c r="D21" s="10">
        <v>1998.0</v>
      </c>
      <c r="J21" s="4">
        <f>5925509*1000</f>
        <v>5925509000</v>
      </c>
      <c r="V21" s="12">
        <f t="shared" si="2"/>
        <v>485469000</v>
      </c>
    </row>
    <row r="22" ht="15.75" customHeight="1">
      <c r="D22" s="10">
        <v>1997.0</v>
      </c>
      <c r="J22" s="4">
        <f>5596242*1000</f>
        <v>5596242000</v>
      </c>
      <c r="V22" s="12">
        <f t="shared" si="2"/>
        <v>329267000</v>
      </c>
    </row>
    <row r="23" ht="15.75" customHeight="1">
      <c r="D23" s="10">
        <v>1996.0</v>
      </c>
      <c r="J23" s="4">
        <f>4808478*1000</f>
        <v>4808478000</v>
      </c>
      <c r="V23" s="12">
        <f t="shared" si="2"/>
        <v>787764000</v>
      </c>
    </row>
    <row r="24" ht="15.75" customHeight="1">
      <c r="D24" s="10">
        <v>1995.0</v>
      </c>
      <c r="J24" s="4">
        <f>4568558*1000</f>
        <v>4568558000</v>
      </c>
      <c r="V24" s="12">
        <f t="shared" si="2"/>
        <v>239920000</v>
      </c>
    </row>
    <row r="25" ht="15.75" customHeight="1">
      <c r="D25" s="10">
        <v>1994.0</v>
      </c>
      <c r="J25" s="4">
        <f>1000*4083662</f>
        <v>4083662000</v>
      </c>
      <c r="V25" s="12">
        <f t="shared" si="2"/>
        <v>484896000</v>
      </c>
    </row>
    <row r="26" ht="15.75" customHeight="1">
      <c r="D26" s="10">
        <v>1993.0</v>
      </c>
      <c r="J26" s="4">
        <f>3795883*1000</f>
        <v>3795883000</v>
      </c>
      <c r="V26" s="12">
        <f t="shared" si="2"/>
        <v>287779000</v>
      </c>
    </row>
    <row r="27" ht="15.75" customHeight="1">
      <c r="D27" s="10">
        <v>1992.0</v>
      </c>
      <c r="J27" s="4">
        <f>1000*3324482</f>
        <v>3324482000</v>
      </c>
      <c r="V27" s="12">
        <f t="shared" si="2"/>
        <v>471401000</v>
      </c>
    </row>
    <row r="28" ht="15.75" customHeight="1">
      <c r="D28" s="10">
        <v>1991.0</v>
      </c>
      <c r="J28" s="4">
        <f>2970159*1000</f>
        <v>2970159000</v>
      </c>
      <c r="V28" s="12">
        <f t="shared" si="2"/>
        <v>354323000</v>
      </c>
    </row>
    <row r="29" ht="15.75" customHeight="1">
      <c r="D29" s="10">
        <v>1990.0</v>
      </c>
      <c r="J29" s="4">
        <f>2267115*1000</f>
        <v>2267115000</v>
      </c>
      <c r="V29" s="12">
        <f t="shared" si="2"/>
        <v>703044000</v>
      </c>
    </row>
    <row r="30" ht="15.75" customHeight="1">
      <c r="D30" s="10">
        <f t="shared" ref="D30:D49" si="3">D29-1</f>
        <v>1989</v>
      </c>
      <c r="J30" s="4">
        <f>2093927*1000</f>
        <v>2093927000</v>
      </c>
      <c r="V30" s="12">
        <f t="shared" si="2"/>
        <v>173188000</v>
      </c>
    </row>
    <row r="31" ht="15.75" customHeight="1">
      <c r="D31" s="10">
        <f t="shared" si="3"/>
        <v>1988</v>
      </c>
      <c r="J31" s="4">
        <f>1731531*1000</f>
        <v>1731531000</v>
      </c>
      <c r="V31" s="12">
        <f t="shared" si="2"/>
        <v>362396000</v>
      </c>
    </row>
    <row r="32" ht="15.75" customHeight="1">
      <c r="D32" s="10">
        <f t="shared" si="3"/>
        <v>1987</v>
      </c>
      <c r="J32" s="4">
        <f>1000*1600575</f>
        <v>1600575000</v>
      </c>
      <c r="V32" s="12">
        <f t="shared" si="2"/>
        <v>130956000</v>
      </c>
    </row>
    <row r="33" ht="15.75" customHeight="1">
      <c r="D33" s="10">
        <f t="shared" si="3"/>
        <v>1986</v>
      </c>
      <c r="J33" s="4">
        <f>1000*1512352</f>
        <v>1512352000</v>
      </c>
      <c r="V33" s="12">
        <f t="shared" si="2"/>
        <v>88223000</v>
      </c>
    </row>
    <row r="34" ht="15.75" customHeight="1">
      <c r="D34" s="10">
        <f t="shared" si="3"/>
        <v>1985</v>
      </c>
      <c r="J34" s="4">
        <f>1406746*1000</f>
        <v>1406746000</v>
      </c>
      <c r="V34" s="12">
        <f t="shared" si="2"/>
        <v>105606000</v>
      </c>
    </row>
    <row r="35" ht="15.75" customHeight="1">
      <c r="D35" s="10">
        <f t="shared" si="3"/>
        <v>1984</v>
      </c>
      <c r="J35" s="4">
        <f>1000*1335027</f>
        <v>1335027000</v>
      </c>
      <c r="V35" s="12">
        <f t="shared" si="2"/>
        <v>71719000</v>
      </c>
    </row>
    <row r="36" ht="15.75" customHeight="1">
      <c r="D36" s="10">
        <f t="shared" si="3"/>
        <v>1983</v>
      </c>
      <c r="J36" s="4">
        <f>1000*1274545</f>
        <v>1274545000</v>
      </c>
      <c r="V36" s="12">
        <f t="shared" si="2"/>
        <v>60482000</v>
      </c>
    </row>
    <row r="37" ht="15.75" customHeight="1">
      <c r="D37" s="10">
        <f t="shared" si="3"/>
        <v>1982</v>
      </c>
      <c r="J37" s="4">
        <f>1000*1165643</f>
        <v>1165643000</v>
      </c>
      <c r="V37" s="12">
        <f t="shared" si="2"/>
        <v>108902000</v>
      </c>
    </row>
    <row r="38" ht="15.75" customHeight="1">
      <c r="D38" s="10">
        <f t="shared" si="3"/>
        <v>1981</v>
      </c>
      <c r="J38" s="4">
        <f>1087242797</f>
        <v>1087242797</v>
      </c>
      <c r="V38" s="12">
        <f t="shared" si="2"/>
        <v>78400203</v>
      </c>
    </row>
    <row r="39" ht="15.75" customHeight="1">
      <c r="D39" s="10">
        <f t="shared" si="3"/>
        <v>1980</v>
      </c>
      <c r="J39" s="5">
        <v>1.032126147E9</v>
      </c>
      <c r="V39" s="12">
        <f t="shared" si="2"/>
        <v>55116650</v>
      </c>
    </row>
    <row r="40" ht="15.75" customHeight="1">
      <c r="D40" s="10">
        <f t="shared" si="3"/>
        <v>1979</v>
      </c>
      <c r="J40" s="4">
        <f>1000*842783</f>
        <v>842783000</v>
      </c>
      <c r="V40" s="12">
        <f t="shared" si="2"/>
        <v>189343147</v>
      </c>
    </row>
    <row r="41" ht="15.75" customHeight="1">
      <c r="D41" s="10">
        <f t="shared" si="3"/>
        <v>1978</v>
      </c>
      <c r="J41" s="4">
        <f>707.5*1000000</f>
        <v>707500000</v>
      </c>
      <c r="V41" s="12">
        <f t="shared" si="2"/>
        <v>135283000</v>
      </c>
    </row>
    <row r="42" ht="15.75" customHeight="1">
      <c r="D42" s="10">
        <f t="shared" si="3"/>
        <v>1977</v>
      </c>
      <c r="J42" s="4">
        <f>1000000*521.9</f>
        <v>521900000</v>
      </c>
      <c r="V42" s="12">
        <f t="shared" si="2"/>
        <v>185600000</v>
      </c>
    </row>
    <row r="43" ht="15.75" customHeight="1">
      <c r="D43" s="10">
        <f t="shared" si="3"/>
        <v>1976</v>
      </c>
      <c r="J43" s="4">
        <f>1000000*341.5</f>
        <v>341500000</v>
      </c>
      <c r="V43" s="12">
        <f t="shared" si="2"/>
        <v>180400000</v>
      </c>
    </row>
    <row r="44" ht="15.75" customHeight="1">
      <c r="D44" s="10">
        <f t="shared" si="3"/>
        <v>1975</v>
      </c>
      <c r="J44" s="4">
        <f>1000000*270.5</f>
        <v>270500000</v>
      </c>
      <c r="V44" s="12">
        <f t="shared" si="2"/>
        <v>71000000</v>
      </c>
    </row>
    <row r="45" ht="15.75" customHeight="1">
      <c r="D45" s="10">
        <f t="shared" si="3"/>
        <v>1974</v>
      </c>
      <c r="J45" s="4">
        <f>198.6*1000000</f>
        <v>198600000</v>
      </c>
      <c r="V45" s="12">
        <f t="shared" si="2"/>
        <v>71900000</v>
      </c>
    </row>
    <row r="46" ht="15.75" customHeight="1">
      <c r="D46" s="10">
        <f t="shared" si="3"/>
        <v>1973</v>
      </c>
      <c r="J46" s="5">
        <v>1.60204829E8</v>
      </c>
      <c r="V46" s="12">
        <f t="shared" si="2"/>
        <v>38395171</v>
      </c>
    </row>
    <row r="47" ht="15.75" customHeight="1">
      <c r="D47" s="10">
        <f t="shared" si="3"/>
        <v>1972</v>
      </c>
      <c r="J47" s="5">
        <v>9.3456667E7</v>
      </c>
      <c r="V47" s="12">
        <f t="shared" si="2"/>
        <v>66748162</v>
      </c>
    </row>
    <row r="48" ht="15.75" customHeight="1">
      <c r="D48" s="10">
        <f t="shared" si="3"/>
        <v>1971</v>
      </c>
      <c r="J48" s="5">
        <v>5.88E7</v>
      </c>
      <c r="V48" s="12">
        <f t="shared" si="2"/>
        <v>34656667</v>
      </c>
    </row>
    <row r="49" ht="15.75" customHeight="1">
      <c r="D49" s="10">
        <f t="shared" si="3"/>
        <v>1970</v>
      </c>
      <c r="J49" s="5">
        <v>2.91672E7</v>
      </c>
      <c r="V49" s="12">
        <f t="shared" si="2"/>
        <v>29632800</v>
      </c>
    </row>
    <row r="50" ht="15.75" customHeight="1">
      <c r="V50" s="12"/>
    </row>
    <row r="51" ht="15.75" customHeight="1">
      <c r="V51" s="12"/>
    </row>
    <row r="52" ht="15.75" customHeight="1">
      <c r="V52" s="12"/>
    </row>
    <row r="53" ht="15.75" customHeight="1">
      <c r="V53" s="12"/>
    </row>
    <row r="54" ht="15.75" customHeight="1">
      <c r="V54" s="12"/>
    </row>
    <row r="55" ht="15.75" customHeight="1">
      <c r="V55" s="12"/>
    </row>
    <row r="56" ht="15.75" customHeight="1">
      <c r="V56" s="12"/>
    </row>
    <row r="57" ht="15.75" customHeight="1">
      <c r="V57" s="12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1">
    <mergeCell ref="AH2:AJ2"/>
    <mergeCell ref="AK2:AM2"/>
    <mergeCell ref="AT2:AV2"/>
    <mergeCell ref="AW2:AY2"/>
    <mergeCell ref="AN2:AP2"/>
    <mergeCell ref="AQ2:AS2"/>
    <mergeCell ref="AZ2:BB2"/>
    <mergeCell ref="AQ1:AS1"/>
    <mergeCell ref="AN1:AP1"/>
    <mergeCell ref="AT1:AV1"/>
    <mergeCell ref="AW1:AY1"/>
    <mergeCell ref="AZ1:BB1"/>
    <mergeCell ref="G1:I1"/>
    <mergeCell ref="D1:F1"/>
    <mergeCell ref="A1:C1"/>
    <mergeCell ref="J1:L1"/>
    <mergeCell ref="M1:O1"/>
    <mergeCell ref="P1:R1"/>
    <mergeCell ref="V1:X1"/>
    <mergeCell ref="Y1:AA1"/>
    <mergeCell ref="AB2:AD2"/>
    <mergeCell ref="AB1:AD1"/>
    <mergeCell ref="AE1:AG1"/>
    <mergeCell ref="AH1:AJ1"/>
    <mergeCell ref="AK1:AM1"/>
    <mergeCell ref="AE2:AG2"/>
    <mergeCell ref="S1:U1"/>
    <mergeCell ref="P2:R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9:F39"/>
    <mergeCell ref="D40:F40"/>
    <mergeCell ref="D41:F41"/>
    <mergeCell ref="D42:F42"/>
    <mergeCell ref="D43:F43"/>
    <mergeCell ref="D44:F44"/>
    <mergeCell ref="D37:F37"/>
    <mergeCell ref="D45:F45"/>
    <mergeCell ref="D46:F46"/>
    <mergeCell ref="D47:F47"/>
    <mergeCell ref="D48:F48"/>
    <mergeCell ref="D49:F49"/>
    <mergeCell ref="D38:F38"/>
    <mergeCell ref="D15:F15"/>
    <mergeCell ref="D16:F16"/>
    <mergeCell ref="D11:F11"/>
    <mergeCell ref="D17:F17"/>
    <mergeCell ref="D18:F18"/>
    <mergeCell ref="D19:F19"/>
    <mergeCell ref="D20:F20"/>
    <mergeCell ref="D21:F21"/>
    <mergeCell ref="D22:F22"/>
    <mergeCell ref="J23:L23"/>
    <mergeCell ref="J24:L24"/>
    <mergeCell ref="J25:L25"/>
    <mergeCell ref="J26:L26"/>
    <mergeCell ref="J27:L27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9:L39"/>
    <mergeCell ref="J40:L40"/>
    <mergeCell ref="J41:L41"/>
    <mergeCell ref="J42:L42"/>
    <mergeCell ref="J43:L43"/>
    <mergeCell ref="J44:L44"/>
    <mergeCell ref="J37:L37"/>
    <mergeCell ref="J45:L45"/>
    <mergeCell ref="J46:L46"/>
    <mergeCell ref="J47:L47"/>
    <mergeCell ref="J48:L48"/>
    <mergeCell ref="J49:L49"/>
    <mergeCell ref="J38:L38"/>
    <mergeCell ref="J14:L14"/>
    <mergeCell ref="J15:L15"/>
    <mergeCell ref="J13:L13"/>
    <mergeCell ref="J17:L17"/>
    <mergeCell ref="J18:L18"/>
    <mergeCell ref="J19:L19"/>
    <mergeCell ref="J20:L20"/>
    <mergeCell ref="J21:L21"/>
    <mergeCell ref="J22:L22"/>
    <mergeCell ref="J16:L16"/>
    <mergeCell ref="Y2:AA2"/>
    <mergeCell ref="V2:X2"/>
    <mergeCell ref="V3:X3"/>
    <mergeCell ref="D9:F9"/>
    <mergeCell ref="J9:L9"/>
    <mergeCell ref="J10:L10"/>
    <mergeCell ref="J11:L11"/>
    <mergeCell ref="D7:F7"/>
    <mergeCell ref="D8:F8"/>
    <mergeCell ref="J6:L6"/>
    <mergeCell ref="J7:L7"/>
    <mergeCell ref="J8:L8"/>
    <mergeCell ref="J5:L5"/>
    <mergeCell ref="S2:U2"/>
    <mergeCell ref="G2:I2"/>
    <mergeCell ref="J2:L2"/>
    <mergeCell ref="M2:O2"/>
    <mergeCell ref="J3:L3"/>
    <mergeCell ref="J4:L4"/>
    <mergeCell ref="D10:F10"/>
    <mergeCell ref="D3:F3"/>
    <mergeCell ref="D4:F4"/>
    <mergeCell ref="D5:F5"/>
    <mergeCell ref="D6:F6"/>
    <mergeCell ref="A2:C2"/>
    <mergeCell ref="D2:F2"/>
    <mergeCell ref="V12:X12"/>
    <mergeCell ref="V13:X13"/>
    <mergeCell ref="V14:X14"/>
    <mergeCell ref="V15:X15"/>
    <mergeCell ref="D13:F13"/>
    <mergeCell ref="D14:F14"/>
    <mergeCell ref="D12:F12"/>
    <mergeCell ref="J12:L12"/>
    <mergeCell ref="V11:X11"/>
    <mergeCell ref="V16:X16"/>
    <mergeCell ref="V17:X17"/>
    <mergeCell ref="V18:X18"/>
    <mergeCell ref="V19:X19"/>
    <mergeCell ref="V20:X20"/>
    <mergeCell ref="V21:X21"/>
    <mergeCell ref="V22:X22"/>
    <mergeCell ref="V5:X5"/>
    <mergeCell ref="V6:X6"/>
    <mergeCell ref="V10:X10"/>
    <mergeCell ref="V7:X7"/>
    <mergeCell ref="V8:X8"/>
    <mergeCell ref="V9:X9"/>
    <mergeCell ref="V4:X4"/>
    <mergeCell ref="V46:X46"/>
    <mergeCell ref="V47:X47"/>
    <mergeCell ref="V48:X48"/>
    <mergeCell ref="V49:X49"/>
    <mergeCell ref="V45:X45"/>
    <mergeCell ref="V50:X50"/>
    <mergeCell ref="V51:X51"/>
    <mergeCell ref="V52:X52"/>
    <mergeCell ref="V53:X53"/>
    <mergeCell ref="V54:X54"/>
    <mergeCell ref="V55:X55"/>
    <mergeCell ref="V38:X38"/>
    <mergeCell ref="V39:X39"/>
    <mergeCell ref="V40:X40"/>
    <mergeCell ref="V41:X41"/>
    <mergeCell ref="V42:X42"/>
    <mergeCell ref="V43:X43"/>
    <mergeCell ref="V44:X44"/>
    <mergeCell ref="V56:X56"/>
    <mergeCell ref="V57:X57"/>
    <mergeCell ref="V58:X58"/>
    <mergeCell ref="V59:X59"/>
    <mergeCell ref="V60:X60"/>
    <mergeCell ref="V61:X61"/>
    <mergeCell ref="V62:X62"/>
    <mergeCell ref="V66:X66"/>
    <mergeCell ref="V67:X67"/>
    <mergeCell ref="V72:X72"/>
    <mergeCell ref="V71:X71"/>
    <mergeCell ref="V63:X63"/>
    <mergeCell ref="V69:X69"/>
    <mergeCell ref="V70:X70"/>
    <mergeCell ref="V64:X64"/>
    <mergeCell ref="V73:X73"/>
    <mergeCell ref="V65:X65"/>
    <mergeCell ref="V68:X68"/>
    <mergeCell ref="V23:X23"/>
    <mergeCell ref="V24:X24"/>
    <mergeCell ref="V25:X25"/>
    <mergeCell ref="V26:X26"/>
    <mergeCell ref="V27:X27"/>
    <mergeCell ref="V28:X28"/>
    <mergeCell ref="V29:X29"/>
    <mergeCell ref="V31:X31"/>
    <mergeCell ref="V32:X32"/>
    <mergeCell ref="V33:X33"/>
    <mergeCell ref="V34:X34"/>
    <mergeCell ref="V35:X35"/>
    <mergeCell ref="V36:X36"/>
    <mergeCell ref="V37:X37"/>
    <mergeCell ref="V30:X3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54" width="8.71"/>
  </cols>
  <sheetData>
    <row r="1">
      <c r="A1" s="1" t="s">
        <v>0</v>
      </c>
      <c r="D1" s="2" t="s">
        <v>1</v>
      </c>
      <c r="G1" s="3" t="s">
        <v>2</v>
      </c>
      <c r="J1" s="3" t="s">
        <v>3</v>
      </c>
      <c r="M1" s="1" t="s">
        <v>4</v>
      </c>
      <c r="P1" s="1" t="s">
        <v>5</v>
      </c>
      <c r="S1" s="1" t="s">
        <v>6</v>
      </c>
      <c r="V1" s="1" t="s">
        <v>7</v>
      </c>
      <c r="Y1" s="1" t="s">
        <v>8</v>
      </c>
      <c r="AB1" s="1" t="s">
        <v>9</v>
      </c>
      <c r="AE1" s="1" t="s">
        <v>10</v>
      </c>
      <c r="AH1" s="3" t="s">
        <v>11</v>
      </c>
      <c r="AK1" s="3" t="s">
        <v>12</v>
      </c>
      <c r="AN1" s="1" t="s">
        <v>13</v>
      </c>
      <c r="AQ1" s="3" t="s">
        <v>14</v>
      </c>
      <c r="AT1" s="3" t="s">
        <v>15</v>
      </c>
      <c r="AW1" s="3" t="s">
        <v>16</v>
      </c>
      <c r="AZ1" s="3" t="s">
        <v>17</v>
      </c>
    </row>
    <row r="2">
      <c r="A2" s="4" t="s">
        <v>18</v>
      </c>
      <c r="D2" s="5">
        <v>2017.0</v>
      </c>
      <c r="G2" s="4">
        <v>2.0</v>
      </c>
      <c r="J2" s="4">
        <v>1.5753575263E10</v>
      </c>
      <c r="M2" s="4" t="s">
        <v>20</v>
      </c>
      <c r="P2" s="6">
        <v>0.1469</v>
      </c>
      <c r="S2" s="7">
        <v>547210.0</v>
      </c>
      <c r="V2" s="4">
        <f>(17048510-14996218)</f>
        <v>2052292</v>
      </c>
      <c r="Y2" s="4" t="s">
        <v>20</v>
      </c>
      <c r="AB2" s="6">
        <v>0.1407</v>
      </c>
      <c r="AE2" s="4">
        <f>1000*9569275</f>
        <v>9569275000</v>
      </c>
      <c r="AH2" s="4">
        <f>1000*143590</f>
        <v>143590000</v>
      </c>
      <c r="AK2" s="4">
        <f>1000*3852158</f>
        <v>3852158000</v>
      </c>
      <c r="AN2" s="4">
        <f>35162*1000</f>
        <v>35162000</v>
      </c>
      <c r="AQ2" s="9"/>
      <c r="AT2" s="9"/>
      <c r="AW2" s="9"/>
      <c r="AZ2" s="9">
        <v>55.0</v>
      </c>
    </row>
    <row r="3">
      <c r="D3" s="10">
        <v>2016.0</v>
      </c>
      <c r="J3" s="11">
        <v>1.8408278E10</v>
      </c>
    </row>
    <row r="4">
      <c r="D4" s="5">
        <v>2015.0</v>
      </c>
      <c r="J4" s="11">
        <v>1.6802916E10</v>
      </c>
    </row>
    <row r="5">
      <c r="D5" s="10">
        <v>2014.0</v>
      </c>
      <c r="J5" s="11">
        <v>1.5120392E10</v>
      </c>
    </row>
    <row r="6">
      <c r="D6" s="5">
        <v>2013.0</v>
      </c>
      <c r="J6" s="11">
        <v>1.4823048E10</v>
      </c>
    </row>
    <row r="7">
      <c r="D7" s="10">
        <v>2012.0</v>
      </c>
      <c r="J7" s="11">
        <v>1.4577571E10</v>
      </c>
    </row>
    <row r="13">
      <c r="B13" s="13" t="s">
        <v>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D2:F2"/>
    <mergeCell ref="M2:O2"/>
    <mergeCell ref="P1:R1"/>
    <mergeCell ref="S1:U1"/>
    <mergeCell ref="D3:F3"/>
    <mergeCell ref="D4:F4"/>
    <mergeCell ref="D5:F5"/>
    <mergeCell ref="D6:F6"/>
    <mergeCell ref="D7:F7"/>
    <mergeCell ref="AW1:AY1"/>
    <mergeCell ref="AZ1:BB1"/>
    <mergeCell ref="AT1:AV1"/>
    <mergeCell ref="AQ1:AS1"/>
    <mergeCell ref="AN1:AP1"/>
    <mergeCell ref="V1:X1"/>
    <mergeCell ref="Y1:AA1"/>
    <mergeCell ref="A1:C1"/>
    <mergeCell ref="G1:I1"/>
    <mergeCell ref="J1:L1"/>
    <mergeCell ref="M1:O1"/>
    <mergeCell ref="D1:F1"/>
    <mergeCell ref="AH2:AJ2"/>
    <mergeCell ref="AB2:AD2"/>
    <mergeCell ref="AE2:AG2"/>
    <mergeCell ref="AH1:AJ1"/>
    <mergeCell ref="AK1:AM1"/>
    <mergeCell ref="AB1:AD1"/>
    <mergeCell ref="AE1:AG1"/>
    <mergeCell ref="V2:X2"/>
    <mergeCell ref="Y2:AA2"/>
    <mergeCell ref="G2:I2"/>
    <mergeCell ref="J2:L2"/>
    <mergeCell ref="AN2:AP2"/>
    <mergeCell ref="AK2:AM2"/>
    <mergeCell ref="AT2:AV2"/>
    <mergeCell ref="AW2:AY2"/>
    <mergeCell ref="AZ2:BB2"/>
    <mergeCell ref="AQ2:AS2"/>
    <mergeCell ref="A2:C2"/>
    <mergeCell ref="P2:R2"/>
    <mergeCell ref="S2:U2"/>
  </mergeCells>
  <hyperlinks>
    <hyperlink r:id="rId1" ref="B13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54" width="8.71"/>
  </cols>
  <sheetData>
    <row r="1">
      <c r="A1" s="1" t="s">
        <v>0</v>
      </c>
      <c r="D1" s="2" t="s">
        <v>1</v>
      </c>
      <c r="G1" s="3" t="s">
        <v>2</v>
      </c>
      <c r="J1" s="3" t="s">
        <v>3</v>
      </c>
      <c r="M1" s="1" t="s">
        <v>4</v>
      </c>
      <c r="P1" s="1" t="s">
        <v>5</v>
      </c>
      <c r="S1" s="1" t="s">
        <v>6</v>
      </c>
      <c r="V1" s="1" t="s">
        <v>7</v>
      </c>
      <c r="Y1" s="1" t="s">
        <v>8</v>
      </c>
      <c r="AB1" s="1" t="s">
        <v>9</v>
      </c>
      <c r="AE1" s="1" t="s">
        <v>10</v>
      </c>
      <c r="AH1" s="3" t="s">
        <v>11</v>
      </c>
      <c r="AK1" s="3" t="s">
        <v>12</v>
      </c>
      <c r="AN1" s="1" t="s">
        <v>13</v>
      </c>
      <c r="AQ1" s="3" t="s">
        <v>14</v>
      </c>
      <c r="AT1" s="3" t="s">
        <v>15</v>
      </c>
      <c r="AW1" s="3" t="s">
        <v>16</v>
      </c>
      <c r="AZ1" s="3" t="s">
        <v>17</v>
      </c>
    </row>
    <row r="2">
      <c r="A2" s="4" t="s">
        <v>22</v>
      </c>
      <c r="D2" s="5">
        <v>2018.0</v>
      </c>
      <c r="J2" s="4">
        <v>1.6140473E10</v>
      </c>
    </row>
    <row r="3">
      <c r="D3" s="10">
        <v>2017.0</v>
      </c>
      <c r="G3" s="4">
        <v>3.0</v>
      </c>
      <c r="J3" s="4">
        <v>1.5390457E10</v>
      </c>
      <c r="M3" s="4" t="s">
        <v>20</v>
      </c>
      <c r="P3" s="6">
        <v>0.0884</v>
      </c>
      <c r="S3" s="7">
        <v>370348.0</v>
      </c>
      <c r="V3" s="4">
        <f>1000*(1373971-1281996)</f>
        <v>91975000</v>
      </c>
      <c r="Y3" s="6">
        <v>0.841</v>
      </c>
      <c r="AB3" s="6">
        <v>0.1102</v>
      </c>
      <c r="AE3" s="4">
        <f>1000*7959489</f>
        <v>7959489000</v>
      </c>
      <c r="AH3" s="4">
        <f>1000*996818</f>
        <v>996818000</v>
      </c>
      <c r="AK3" s="4">
        <f>1000*4337661</f>
        <v>4337661000</v>
      </c>
      <c r="AN3" s="4">
        <f>1000*25477</f>
        <v>25477000</v>
      </c>
      <c r="AQ3" s="9"/>
      <c r="AT3" s="9"/>
      <c r="AW3" s="9"/>
      <c r="AZ3" s="9">
        <v>101.0</v>
      </c>
    </row>
    <row r="4">
      <c r="D4" s="5">
        <v>2016.0</v>
      </c>
      <c r="J4" s="4">
        <v>1.481161E10</v>
      </c>
    </row>
    <row r="5">
      <c r="D5" s="10">
        <v>2015.0</v>
      </c>
      <c r="J5" s="4">
        <v>1.4275305E10</v>
      </c>
    </row>
    <row r="6">
      <c r="D6" s="5">
        <v>2014.0</v>
      </c>
      <c r="J6" s="4">
        <v>1.4043906E10</v>
      </c>
    </row>
    <row r="7">
      <c r="D7" s="10">
        <v>2013.0</v>
      </c>
      <c r="J7" s="4">
        <v>1.311645E10</v>
      </c>
    </row>
    <row r="8">
      <c r="D8" s="5">
        <v>2012.0</v>
      </c>
      <c r="J8" s="4">
        <v>1.2185257E10</v>
      </c>
    </row>
    <row r="9">
      <c r="D9" s="10">
        <v>2011.0</v>
      </c>
      <c r="J9" s="4">
        <v>1.1249622E10</v>
      </c>
    </row>
    <row r="10">
      <c r="D10" s="5">
        <v>2010.0</v>
      </c>
      <c r="J10" s="4">
        <v>1.079911E10</v>
      </c>
    </row>
    <row r="11">
      <c r="D11" s="10">
        <v>2009.0</v>
      </c>
      <c r="J11" s="4">
        <v>1.0163548E10</v>
      </c>
    </row>
    <row r="12">
      <c r="B12" s="13" t="s">
        <v>31</v>
      </c>
      <c r="D12" s="5">
        <v>2008.0</v>
      </c>
      <c r="J12" s="4">
        <v>4.62368E9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5">
    <mergeCell ref="AH1:AJ1"/>
    <mergeCell ref="AK1:AM1"/>
    <mergeCell ref="AB1:AD1"/>
    <mergeCell ref="AE1:AG1"/>
    <mergeCell ref="AQ1:AS1"/>
    <mergeCell ref="AN1:AP1"/>
    <mergeCell ref="AH3:AJ3"/>
    <mergeCell ref="AN3:AP3"/>
    <mergeCell ref="AK3:AM3"/>
    <mergeCell ref="AT3:AV3"/>
    <mergeCell ref="AW3:AY3"/>
    <mergeCell ref="AZ3:BB3"/>
    <mergeCell ref="AQ3:AS3"/>
    <mergeCell ref="AB3:AD3"/>
    <mergeCell ref="AE3:AG3"/>
    <mergeCell ref="V3:X3"/>
    <mergeCell ref="Y3:AA3"/>
    <mergeCell ref="V1:X1"/>
    <mergeCell ref="Y1:AA1"/>
    <mergeCell ref="AZ1:BB1"/>
    <mergeCell ref="J7:L7"/>
    <mergeCell ref="J8:L8"/>
    <mergeCell ref="G3:I3"/>
    <mergeCell ref="J3:L3"/>
    <mergeCell ref="J10:L10"/>
    <mergeCell ref="J4:L4"/>
    <mergeCell ref="J5:L5"/>
    <mergeCell ref="J6:L6"/>
    <mergeCell ref="J9:L9"/>
    <mergeCell ref="D14:F14"/>
    <mergeCell ref="D15:F15"/>
    <mergeCell ref="D20:F20"/>
    <mergeCell ref="D21:F21"/>
    <mergeCell ref="D17:F17"/>
    <mergeCell ref="D18:F18"/>
    <mergeCell ref="D16:F16"/>
    <mergeCell ref="D19:F19"/>
    <mergeCell ref="D10:F10"/>
    <mergeCell ref="D11:F11"/>
    <mergeCell ref="D7:F7"/>
    <mergeCell ref="D8:F8"/>
    <mergeCell ref="D9:F9"/>
    <mergeCell ref="D12:F12"/>
    <mergeCell ref="D13:F13"/>
    <mergeCell ref="D6:F6"/>
    <mergeCell ref="D3:F3"/>
    <mergeCell ref="D4:F4"/>
    <mergeCell ref="D5:F5"/>
    <mergeCell ref="P3:R3"/>
    <mergeCell ref="S3:U3"/>
    <mergeCell ref="M3:O3"/>
    <mergeCell ref="A2:C2"/>
    <mergeCell ref="AW1:AY1"/>
    <mergeCell ref="AT1:AV1"/>
    <mergeCell ref="G1:I1"/>
    <mergeCell ref="D1:F1"/>
    <mergeCell ref="D2:F2"/>
    <mergeCell ref="J2:L2"/>
    <mergeCell ref="A1:C1"/>
    <mergeCell ref="J1:L1"/>
    <mergeCell ref="M1:O1"/>
    <mergeCell ref="P1:R1"/>
    <mergeCell ref="S1:U1"/>
    <mergeCell ref="J11:L11"/>
    <mergeCell ref="J12:L12"/>
  </mergeCells>
  <hyperlinks>
    <hyperlink r:id="rId1" ref="B12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54" width="8.71"/>
  </cols>
  <sheetData>
    <row r="1">
      <c r="A1" s="1" t="s">
        <v>0</v>
      </c>
      <c r="D1" s="2" t="s">
        <v>1</v>
      </c>
      <c r="G1" s="3" t="s">
        <v>2</v>
      </c>
      <c r="J1" s="3" t="s">
        <v>3</v>
      </c>
      <c r="M1" s="1" t="s">
        <v>4</v>
      </c>
      <c r="P1" s="1" t="s">
        <v>5</v>
      </c>
      <c r="S1" s="1" t="s">
        <v>6</v>
      </c>
      <c r="V1" s="1" t="s">
        <v>7</v>
      </c>
      <c r="Y1" s="1" t="s">
        <v>8</v>
      </c>
      <c r="AB1" s="1" t="s">
        <v>9</v>
      </c>
      <c r="AE1" s="1" t="s">
        <v>10</v>
      </c>
      <c r="AH1" s="3" t="s">
        <v>11</v>
      </c>
      <c r="AK1" s="3" t="s">
        <v>12</v>
      </c>
      <c r="AN1" s="1" t="s">
        <v>13</v>
      </c>
      <c r="AQ1" s="3" t="s">
        <v>14</v>
      </c>
      <c r="AT1" s="3" t="s">
        <v>15</v>
      </c>
      <c r="AW1" s="3" t="s">
        <v>16</v>
      </c>
      <c r="AZ1" s="3" t="s">
        <v>17</v>
      </c>
    </row>
    <row r="2">
      <c r="A2" s="4" t="s">
        <v>23</v>
      </c>
      <c r="D2" s="5">
        <v>2017.0</v>
      </c>
      <c r="G2" s="4">
        <v>4.0</v>
      </c>
      <c r="J2" s="16">
        <v>1.5628546E10</v>
      </c>
      <c r="M2" s="4" t="s">
        <v>20</v>
      </c>
      <c r="P2" s="6">
        <v>0.07</v>
      </c>
      <c r="S2" s="7">
        <v>309705.0</v>
      </c>
      <c r="V2" s="4">
        <f>1000*(1049061-920458)</f>
        <v>128603000</v>
      </c>
      <c r="Y2" s="4" t="s">
        <v>20</v>
      </c>
      <c r="AB2" s="6">
        <v>0.105</v>
      </c>
      <c r="AE2" s="4">
        <f>1000*7726486</f>
        <v>7726486000</v>
      </c>
      <c r="AH2" s="4">
        <f>1000*1220311</f>
        <v>1220311000</v>
      </c>
      <c r="AK2" s="4">
        <f>1000*4096373</f>
        <v>4096373000</v>
      </c>
      <c r="AN2" s="4">
        <f>1000*19692</f>
        <v>19692000</v>
      </c>
      <c r="AQ2" s="9"/>
      <c r="AT2" s="9"/>
      <c r="AW2" s="9"/>
      <c r="AZ2" s="9">
        <v>97.0</v>
      </c>
    </row>
    <row r="3">
      <c r="D3" s="10">
        <v>2016.0</v>
      </c>
      <c r="J3" s="11">
        <v>1.3920261E10</v>
      </c>
    </row>
    <row r="4">
      <c r="D4" s="5">
        <v>2015.0</v>
      </c>
      <c r="J4" s="11">
        <v>1.110323E10</v>
      </c>
    </row>
    <row r="5">
      <c r="D5" s="10">
        <v>2014.0</v>
      </c>
      <c r="J5" s="11">
        <v>9.993749E9</v>
      </c>
    </row>
    <row r="6">
      <c r="D6" s="5">
        <v>2013.0</v>
      </c>
      <c r="J6" s="11">
        <v>9.183698E9</v>
      </c>
    </row>
    <row r="7">
      <c r="D7" s="10">
        <v>2012.0</v>
      </c>
      <c r="J7" s="17">
        <v>8.1909E9</v>
      </c>
    </row>
    <row r="8">
      <c r="D8" s="10">
        <v>2011.0</v>
      </c>
    </row>
    <row r="13">
      <c r="B13" s="13" t="s">
        <v>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2">
    <mergeCell ref="D3:F3"/>
    <mergeCell ref="G2:I2"/>
    <mergeCell ref="P1:R1"/>
    <mergeCell ref="S1:U1"/>
    <mergeCell ref="D4:F4"/>
    <mergeCell ref="D5:F5"/>
    <mergeCell ref="D6:F6"/>
    <mergeCell ref="D7:F7"/>
    <mergeCell ref="D8:F8"/>
    <mergeCell ref="S2:U2"/>
    <mergeCell ref="AW1:AY1"/>
    <mergeCell ref="AZ1:BB1"/>
    <mergeCell ref="AT1:AV1"/>
    <mergeCell ref="AQ1:AS1"/>
    <mergeCell ref="AN1:AP1"/>
    <mergeCell ref="V1:X1"/>
    <mergeCell ref="Y1:AA1"/>
    <mergeCell ref="A1:C1"/>
    <mergeCell ref="G1:I1"/>
    <mergeCell ref="J1:L1"/>
    <mergeCell ref="M1:O1"/>
    <mergeCell ref="D1:F1"/>
    <mergeCell ref="AH2:AJ2"/>
    <mergeCell ref="AB2:AD2"/>
    <mergeCell ref="AE2:AG2"/>
    <mergeCell ref="AH1:AJ1"/>
    <mergeCell ref="AK1:AM1"/>
    <mergeCell ref="AB1:AD1"/>
    <mergeCell ref="AE1:AG1"/>
    <mergeCell ref="V2:X2"/>
    <mergeCell ref="Y2:AA2"/>
    <mergeCell ref="D2:F2"/>
    <mergeCell ref="J2:L2"/>
    <mergeCell ref="AN2:AP2"/>
    <mergeCell ref="AK2:AM2"/>
    <mergeCell ref="AT2:AV2"/>
    <mergeCell ref="AW2:AY2"/>
    <mergeCell ref="AZ2:BB2"/>
    <mergeCell ref="AQ2:AS2"/>
    <mergeCell ref="A2:C2"/>
    <mergeCell ref="M2:O2"/>
    <mergeCell ref="P2:R2"/>
  </mergeCells>
  <hyperlinks>
    <hyperlink r:id="rId1" ref="B13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8.0"/>
    <col customWidth="1" min="11" max="11" width="7.0"/>
    <col customWidth="1" min="12" max="12" width="5.71"/>
    <col customWidth="1" min="13" max="54" width="8.71"/>
  </cols>
  <sheetData>
    <row r="1">
      <c r="A1" s="1" t="s">
        <v>0</v>
      </c>
      <c r="D1" s="2" t="s">
        <v>1</v>
      </c>
      <c r="G1" s="3" t="s">
        <v>2</v>
      </c>
      <c r="J1" s="3" t="s">
        <v>3</v>
      </c>
      <c r="M1" s="1" t="s">
        <v>4</v>
      </c>
      <c r="P1" s="1" t="s">
        <v>5</v>
      </c>
      <c r="S1" s="1" t="s">
        <v>6</v>
      </c>
      <c r="V1" s="1" t="s">
        <v>7</v>
      </c>
      <c r="Y1" s="1" t="s">
        <v>8</v>
      </c>
      <c r="AB1" s="1" t="s">
        <v>9</v>
      </c>
      <c r="AE1" s="1" t="s">
        <v>10</v>
      </c>
      <c r="AH1" s="3" t="s">
        <v>11</v>
      </c>
      <c r="AK1" s="3" t="s">
        <v>12</v>
      </c>
      <c r="AN1" s="1" t="s">
        <v>13</v>
      </c>
      <c r="AQ1" s="3" t="s">
        <v>14</v>
      </c>
      <c r="AT1" s="3" t="s">
        <v>15</v>
      </c>
      <c r="AW1" s="3" t="s">
        <v>16</v>
      </c>
      <c r="AZ1" s="3" t="s">
        <v>17</v>
      </c>
    </row>
    <row r="2">
      <c r="A2" s="4" t="s">
        <v>24</v>
      </c>
      <c r="D2" s="5">
        <v>2017.0</v>
      </c>
      <c r="G2" s="4">
        <v>5.0</v>
      </c>
      <c r="J2" s="4">
        <v>9.86975E9</v>
      </c>
      <c r="M2" s="4" t="s">
        <v>20</v>
      </c>
      <c r="P2" s="6">
        <v>0.066</v>
      </c>
      <c r="S2" s="7">
        <v>230394.0</v>
      </c>
      <c r="V2" s="14">
        <f t="shared" ref="V2:V12" si="1">J2-J3</f>
        <v>347002000</v>
      </c>
      <c r="Y2" s="4" t="s">
        <v>20</v>
      </c>
      <c r="AB2" s="6">
        <v>0.08</v>
      </c>
      <c r="AE2" s="4">
        <f>1000*4400651</f>
        <v>4400651000</v>
      </c>
      <c r="AH2" s="4">
        <f>1000*101446</f>
        <v>101446000</v>
      </c>
      <c r="AK2" s="4">
        <f>1000*(2579863+122265)</f>
        <v>2702128000</v>
      </c>
      <c r="AN2" s="4">
        <f>1000*23961</f>
        <v>23961000</v>
      </c>
      <c r="AQ2" s="9"/>
      <c r="AT2" s="9"/>
      <c r="AW2" s="9"/>
      <c r="AZ2" s="9">
        <v>54.0</v>
      </c>
    </row>
    <row r="3">
      <c r="D3" s="10">
        <v>2016.0</v>
      </c>
      <c r="J3" s="4">
        <v>9.522748E9</v>
      </c>
      <c r="V3" s="14">
        <f t="shared" si="1"/>
        <v>805319000</v>
      </c>
    </row>
    <row r="4">
      <c r="D4" s="5">
        <v>2015.0</v>
      </c>
      <c r="J4" s="4">
        <v>8.717429E9</v>
      </c>
      <c r="V4" s="14">
        <f t="shared" si="1"/>
        <v>2200309000</v>
      </c>
    </row>
    <row r="5">
      <c r="D5" s="10">
        <v>2014.0</v>
      </c>
      <c r="J5" s="4">
        <v>6.51712E9</v>
      </c>
      <c r="V5" s="14">
        <f t="shared" si="1"/>
        <v>387681000</v>
      </c>
    </row>
    <row r="6">
      <c r="D6" s="5">
        <v>2013.0</v>
      </c>
      <c r="J6" s="4">
        <v>6.129439E9</v>
      </c>
      <c r="V6" s="14">
        <f t="shared" si="1"/>
        <v>242756000</v>
      </c>
    </row>
    <row r="7">
      <c r="D7" s="10">
        <v>2012.0</v>
      </c>
      <c r="J7" s="4">
        <v>5.886683E9</v>
      </c>
      <c r="V7" s="14">
        <f t="shared" si="1"/>
        <v>427737000</v>
      </c>
    </row>
    <row r="8">
      <c r="D8" s="5">
        <v>2011.0</v>
      </c>
      <c r="J8" s="4">
        <v>5.458946E9</v>
      </c>
      <c r="V8" s="14">
        <f t="shared" si="1"/>
        <v>385937000</v>
      </c>
    </row>
    <row r="9">
      <c r="D9" s="10">
        <v>2010.0</v>
      </c>
      <c r="J9" s="4">
        <v>5.073009E9</v>
      </c>
      <c r="V9" s="14">
        <f t="shared" si="1"/>
        <v>400206000</v>
      </c>
    </row>
    <row r="10">
      <c r="D10" s="5">
        <v>2009.0</v>
      </c>
      <c r="J10" s="4">
        <v>4.672803E9</v>
      </c>
      <c r="V10" s="14">
        <f t="shared" si="1"/>
        <v>148277000</v>
      </c>
    </row>
    <row r="11">
      <c r="D11" s="10">
        <v>2008.0</v>
      </c>
      <c r="J11" s="4">
        <v>4.524526E9</v>
      </c>
      <c r="V11" s="14">
        <f t="shared" si="1"/>
        <v>226387000</v>
      </c>
    </row>
    <row r="12">
      <c r="D12" s="5">
        <v>2007.0</v>
      </c>
      <c r="J12" s="4">
        <v>4.298139E9</v>
      </c>
      <c r="V12" s="14">
        <f t="shared" si="1"/>
        <v>513951000</v>
      </c>
    </row>
    <row r="13">
      <c r="D13" s="10">
        <v>2006.0</v>
      </c>
      <c r="J13" s="4">
        <v>3.784188E9</v>
      </c>
    </row>
    <row r="16">
      <c r="B16" s="17" t="s">
        <v>32</v>
      </c>
    </row>
    <row r="17">
      <c r="B17" s="13" t="s">
        <v>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8">
    <mergeCell ref="D5:F5"/>
    <mergeCell ref="D6:F6"/>
    <mergeCell ref="J3:L3"/>
    <mergeCell ref="J4:L4"/>
    <mergeCell ref="J5:L5"/>
    <mergeCell ref="J6:L6"/>
    <mergeCell ref="D1:F1"/>
    <mergeCell ref="D9:F9"/>
    <mergeCell ref="D10:F10"/>
    <mergeCell ref="D11:F11"/>
    <mergeCell ref="D12:F12"/>
    <mergeCell ref="D13:F13"/>
    <mergeCell ref="D2:F2"/>
    <mergeCell ref="J8:L8"/>
    <mergeCell ref="J9:L9"/>
    <mergeCell ref="D7:F7"/>
    <mergeCell ref="D8:F8"/>
    <mergeCell ref="J10:L10"/>
    <mergeCell ref="J11:L11"/>
    <mergeCell ref="J12:L12"/>
    <mergeCell ref="J13:L13"/>
    <mergeCell ref="J7:L7"/>
    <mergeCell ref="Y2:AA2"/>
    <mergeCell ref="G2:I2"/>
    <mergeCell ref="M2:O2"/>
    <mergeCell ref="P2:R2"/>
    <mergeCell ref="S2:U2"/>
    <mergeCell ref="J2:L2"/>
    <mergeCell ref="V2:X2"/>
    <mergeCell ref="AB2:AD2"/>
    <mergeCell ref="AN2:AP2"/>
    <mergeCell ref="AK2:AM2"/>
    <mergeCell ref="AH2:AJ2"/>
    <mergeCell ref="AT2:AV2"/>
    <mergeCell ref="AW2:AY2"/>
    <mergeCell ref="AZ2:BB2"/>
    <mergeCell ref="AQ2:AS2"/>
    <mergeCell ref="AE2:AG2"/>
    <mergeCell ref="AQ1:AS1"/>
    <mergeCell ref="AN1:AP1"/>
    <mergeCell ref="AW1:AY1"/>
    <mergeCell ref="AZ1:BB1"/>
    <mergeCell ref="AT1:AV1"/>
    <mergeCell ref="AH1:AJ1"/>
    <mergeCell ref="AK1:AM1"/>
    <mergeCell ref="AB1:AD1"/>
    <mergeCell ref="AE1:AG1"/>
    <mergeCell ref="A2:C2"/>
    <mergeCell ref="A1:C1"/>
    <mergeCell ref="G1:I1"/>
    <mergeCell ref="J1:L1"/>
    <mergeCell ref="M1:O1"/>
    <mergeCell ref="P1:R1"/>
    <mergeCell ref="S1:U1"/>
    <mergeCell ref="D3:F3"/>
    <mergeCell ref="D4:F4"/>
    <mergeCell ref="V8:X8"/>
    <mergeCell ref="V9:X9"/>
    <mergeCell ref="V10:X10"/>
    <mergeCell ref="V11:X11"/>
    <mergeCell ref="V12:X12"/>
    <mergeCell ref="V7:X7"/>
    <mergeCell ref="V1:X1"/>
    <mergeCell ref="Y1:AA1"/>
    <mergeCell ref="V3:X3"/>
    <mergeCell ref="V4:X4"/>
    <mergeCell ref="V5:X5"/>
    <mergeCell ref="V6:X6"/>
  </mergeCells>
  <hyperlinks>
    <hyperlink r:id="rId1" ref="B17"/>
  </hyperlinks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4.43" defaultRowHeight="15.0"/>
  <cols>
    <col customWidth="1" min="1" max="54" width="8.71"/>
  </cols>
  <sheetData>
    <row r="1">
      <c r="A1" s="1" t="s">
        <v>0</v>
      </c>
      <c r="D1" s="2" t="s">
        <v>1</v>
      </c>
      <c r="G1" s="3" t="s">
        <v>2</v>
      </c>
      <c r="J1" s="3" t="s">
        <v>3</v>
      </c>
      <c r="M1" s="1" t="s">
        <v>4</v>
      </c>
      <c r="P1" s="1" t="s">
        <v>5</v>
      </c>
      <c r="S1" s="1" t="s">
        <v>6</v>
      </c>
      <c r="V1" s="1" t="s">
        <v>7</v>
      </c>
      <c r="Y1" s="1" t="s">
        <v>8</v>
      </c>
      <c r="AB1" s="1" t="s">
        <v>9</v>
      </c>
      <c r="AE1" s="1" t="s">
        <v>10</v>
      </c>
      <c r="AH1" s="3" t="s">
        <v>11</v>
      </c>
      <c r="AK1" s="3" t="s">
        <v>12</v>
      </c>
      <c r="AN1" s="1" t="s">
        <v>13</v>
      </c>
      <c r="AQ1" s="3" t="s">
        <v>14</v>
      </c>
      <c r="AT1" s="3" t="s">
        <v>15</v>
      </c>
      <c r="AW1" s="3" t="s">
        <v>16</v>
      </c>
      <c r="AZ1" s="3" t="s">
        <v>17</v>
      </c>
    </row>
    <row r="2">
      <c r="A2" s="4" t="s">
        <v>25</v>
      </c>
      <c r="D2" s="5">
        <v>2017.0</v>
      </c>
      <c r="G2" s="4">
        <v>6.0</v>
      </c>
      <c r="J2" s="4">
        <v>5.785295944E9</v>
      </c>
      <c r="M2" s="4" t="s">
        <v>20</v>
      </c>
      <c r="P2" s="6">
        <v>0.0663</v>
      </c>
      <c r="S2" s="7">
        <v>123422.0</v>
      </c>
      <c r="V2" s="4">
        <f t="shared" ref="V2:V10" si="1">J2-J3</f>
        <v>217109944</v>
      </c>
      <c r="Y2" s="4" t="s">
        <v>20</v>
      </c>
      <c r="AB2" s="6">
        <v>0.1371</v>
      </c>
      <c r="AE2" s="4">
        <f>625629*1000</f>
        <v>625629000</v>
      </c>
      <c r="AH2" s="4">
        <f>2701562*1000</f>
        <v>2701562000</v>
      </c>
      <c r="AK2" s="4">
        <f>1611600*1000</f>
        <v>1611600000</v>
      </c>
      <c r="AN2" s="4">
        <f>1000*8756</f>
        <v>8756000</v>
      </c>
      <c r="AQ2" s="9"/>
      <c r="AT2" s="9"/>
      <c r="AW2" s="9"/>
      <c r="AZ2" s="9">
        <v>41.0</v>
      </c>
    </row>
    <row r="3">
      <c r="D3" s="10">
        <v>2016.0</v>
      </c>
      <c r="J3" s="4">
        <v>5.568186E9</v>
      </c>
      <c r="V3" s="4">
        <f t="shared" si="1"/>
        <v>125612000</v>
      </c>
    </row>
    <row r="4">
      <c r="D4" s="5">
        <v>2015.0</v>
      </c>
      <c r="J4" s="4">
        <v>5.442574E9</v>
      </c>
      <c r="V4" s="4">
        <f t="shared" si="1"/>
        <v>354322000</v>
      </c>
    </row>
    <row r="5">
      <c r="D5" s="10">
        <v>2014.0</v>
      </c>
      <c r="J5" s="4">
        <v>5.088252E9</v>
      </c>
      <c r="V5" s="4">
        <f t="shared" si="1"/>
        <v>390333000</v>
      </c>
    </row>
    <row r="6">
      <c r="D6" s="5">
        <v>2013.0</v>
      </c>
      <c r="J6" s="4">
        <v>4.697919E9</v>
      </c>
      <c r="V6" s="4">
        <f t="shared" si="1"/>
        <v>495904000</v>
      </c>
    </row>
    <row r="7">
      <c r="D7" s="10">
        <v>2012.0</v>
      </c>
      <c r="J7" s="4">
        <v>4.202015E9</v>
      </c>
      <c r="V7" s="4">
        <f t="shared" si="1"/>
        <v>385105000</v>
      </c>
    </row>
    <row r="8">
      <c r="D8" s="5">
        <v>2011.0</v>
      </c>
      <c r="J8" s="4">
        <v>3.81691E9</v>
      </c>
      <c r="V8" s="4">
        <f t="shared" si="1"/>
        <v>250105000</v>
      </c>
    </row>
    <row r="9">
      <c r="D9" s="10">
        <v>2010.0</v>
      </c>
      <c r="J9" s="4">
        <v>3.566805E9</v>
      </c>
      <c r="V9" s="4">
        <f t="shared" si="1"/>
        <v>432597000</v>
      </c>
    </row>
    <row r="10">
      <c r="D10" s="5">
        <v>2009.0</v>
      </c>
      <c r="J10" s="4">
        <v>3.134208E9</v>
      </c>
      <c r="V10" s="4">
        <f t="shared" si="1"/>
        <v>264684000</v>
      </c>
    </row>
    <row r="11">
      <c r="D11" s="10">
        <v>2008.0</v>
      </c>
      <c r="J11" s="4">
        <v>2.869524E9</v>
      </c>
    </row>
    <row r="12">
      <c r="D12" s="5"/>
    </row>
    <row r="13">
      <c r="D13" s="10"/>
    </row>
    <row r="14">
      <c r="D14" s="5"/>
    </row>
    <row r="15">
      <c r="D15" s="10"/>
    </row>
    <row r="16">
      <c r="D16" s="5"/>
    </row>
    <row r="17">
      <c r="D17" s="10"/>
    </row>
    <row r="18">
      <c r="E18" s="17" t="s">
        <v>32</v>
      </c>
    </row>
    <row r="19">
      <c r="E19" s="13" t="s">
        <v>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8">
    <mergeCell ref="D1:F1"/>
    <mergeCell ref="D2:F2"/>
    <mergeCell ref="V2:X2"/>
    <mergeCell ref="V1:X1"/>
    <mergeCell ref="Y2:AA2"/>
    <mergeCell ref="A2:C2"/>
    <mergeCell ref="M2:O2"/>
    <mergeCell ref="P2:R2"/>
    <mergeCell ref="S2:U2"/>
    <mergeCell ref="A1:C1"/>
    <mergeCell ref="S1:U1"/>
    <mergeCell ref="Y1:AA1"/>
    <mergeCell ref="D16:F16"/>
    <mergeCell ref="D17:F17"/>
    <mergeCell ref="D9:F9"/>
    <mergeCell ref="D10:F10"/>
    <mergeCell ref="D11:F11"/>
    <mergeCell ref="D12:F12"/>
    <mergeCell ref="D13:F13"/>
    <mergeCell ref="AT2:AV2"/>
    <mergeCell ref="AQ2:AS2"/>
    <mergeCell ref="AW1:AY1"/>
    <mergeCell ref="AZ1:BB1"/>
    <mergeCell ref="AT1:AV1"/>
    <mergeCell ref="AQ1:AS1"/>
    <mergeCell ref="J2:L2"/>
    <mergeCell ref="J1:L1"/>
    <mergeCell ref="J5:L5"/>
    <mergeCell ref="J6:L6"/>
    <mergeCell ref="J7:L7"/>
    <mergeCell ref="J8:L8"/>
    <mergeCell ref="J9:L9"/>
    <mergeCell ref="M1:O1"/>
    <mergeCell ref="P1:R1"/>
    <mergeCell ref="G2:I2"/>
    <mergeCell ref="G1:I1"/>
    <mergeCell ref="AB2:AD2"/>
    <mergeCell ref="AE2:AG2"/>
    <mergeCell ref="AH1:AJ1"/>
    <mergeCell ref="AK1:AM1"/>
    <mergeCell ref="AB1:AD1"/>
    <mergeCell ref="AE1:AG1"/>
    <mergeCell ref="AN1:AP1"/>
    <mergeCell ref="D3:F3"/>
    <mergeCell ref="D4:F4"/>
    <mergeCell ref="J3:L3"/>
    <mergeCell ref="J4:L4"/>
    <mergeCell ref="D14:F14"/>
    <mergeCell ref="D15:F15"/>
    <mergeCell ref="AN2:AP2"/>
    <mergeCell ref="AK2:AM2"/>
    <mergeCell ref="AH2:AJ2"/>
    <mergeCell ref="AW2:AY2"/>
    <mergeCell ref="AZ2:BB2"/>
    <mergeCell ref="D5:F5"/>
    <mergeCell ref="D6:F6"/>
    <mergeCell ref="D7:F7"/>
    <mergeCell ref="D8:F8"/>
    <mergeCell ref="V7:X7"/>
    <mergeCell ref="V8:X8"/>
    <mergeCell ref="V9:X9"/>
    <mergeCell ref="V10:X10"/>
    <mergeCell ref="V3:X3"/>
    <mergeCell ref="V4:X4"/>
    <mergeCell ref="V5:X5"/>
    <mergeCell ref="V6:X6"/>
    <mergeCell ref="J10:L10"/>
    <mergeCell ref="J11:L11"/>
  </mergeCells>
  <hyperlinks>
    <hyperlink r:id="rId1" ref="E19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4.43" defaultRowHeight="15.0"/>
  <cols>
    <col customWidth="1" min="1" max="54" width="8.71"/>
  </cols>
  <sheetData>
    <row r="1">
      <c r="A1" s="1" t="s">
        <v>0</v>
      </c>
      <c r="D1" s="2" t="s">
        <v>1</v>
      </c>
      <c r="G1" s="3" t="s">
        <v>2</v>
      </c>
      <c r="J1" s="3" t="s">
        <v>3</v>
      </c>
      <c r="M1" s="1" t="s">
        <v>4</v>
      </c>
      <c r="P1" s="1" t="s">
        <v>5</v>
      </c>
      <c r="S1" s="1" t="s">
        <v>6</v>
      </c>
      <c r="V1" s="1" t="s">
        <v>7</v>
      </c>
      <c r="Y1" s="1" t="s">
        <v>8</v>
      </c>
      <c r="AB1" s="1" t="s">
        <v>9</v>
      </c>
      <c r="AE1" s="1" t="s">
        <v>10</v>
      </c>
      <c r="AH1" s="3" t="s">
        <v>11</v>
      </c>
      <c r="AK1" s="3" t="s">
        <v>12</v>
      </c>
      <c r="AN1" s="1" t="s">
        <v>13</v>
      </c>
      <c r="AQ1" s="3" t="s">
        <v>14</v>
      </c>
      <c r="AT1" s="3" t="s">
        <v>15</v>
      </c>
      <c r="AW1" s="3" t="s">
        <v>16</v>
      </c>
      <c r="AZ1" s="3" t="s">
        <v>17</v>
      </c>
    </row>
    <row r="2">
      <c r="A2" s="4" t="s">
        <v>26</v>
      </c>
      <c r="D2" s="5">
        <v>2017.0</v>
      </c>
      <c r="G2" s="4">
        <v>7.0</v>
      </c>
      <c r="J2" s="4">
        <v>5.194032E9</v>
      </c>
      <c r="M2" s="4" t="s">
        <v>20</v>
      </c>
      <c r="P2" s="6">
        <v>0.07</v>
      </c>
      <c r="S2" s="4">
        <v>138738.0</v>
      </c>
      <c r="V2" s="4">
        <f t="shared" ref="V2:V12" si="1">J2-J3</f>
        <v>97202000</v>
      </c>
      <c r="Y2" s="4" t="s">
        <v>20</v>
      </c>
      <c r="AB2" s="6">
        <v>0.137</v>
      </c>
      <c r="AE2" s="4">
        <f>1960604570</f>
        <v>1960604570</v>
      </c>
      <c r="AH2" s="4">
        <v>4.27861163E8</v>
      </c>
      <c r="AK2" s="4">
        <v>1.191919438E9</v>
      </c>
      <c r="AN2" s="4">
        <f>1000*14938</f>
        <v>14938000</v>
      </c>
      <c r="AQ2" s="9"/>
      <c r="AT2" s="9"/>
      <c r="AW2" s="9"/>
      <c r="AZ2" s="9">
        <v>66.0</v>
      </c>
    </row>
    <row r="3">
      <c r="D3" s="10">
        <v>2016.0</v>
      </c>
      <c r="J3" s="4">
        <v>5.09683E9</v>
      </c>
      <c r="V3" s="4">
        <f t="shared" si="1"/>
        <v>321340000</v>
      </c>
    </row>
    <row r="4">
      <c r="D4" s="5">
        <v>2015.0</v>
      </c>
      <c r="J4" s="4">
        <v>4.77549E9</v>
      </c>
      <c r="V4" s="4">
        <f t="shared" si="1"/>
        <v>445854000</v>
      </c>
    </row>
    <row r="5">
      <c r="D5" s="10">
        <v>2014.0</v>
      </c>
      <c r="J5" s="4">
        <v>4.329636E9</v>
      </c>
      <c r="V5" s="4">
        <f t="shared" si="1"/>
        <v>373921000</v>
      </c>
    </row>
    <row r="6">
      <c r="D6" s="5">
        <v>2013.0</v>
      </c>
      <c r="J6" s="4">
        <v>3.955715E9</v>
      </c>
      <c r="V6" s="4">
        <f t="shared" si="1"/>
        <v>1481793000</v>
      </c>
    </row>
    <row r="7">
      <c r="D7" s="10">
        <v>2012.0</v>
      </c>
      <c r="J7" s="4">
        <v>2.473922E9</v>
      </c>
      <c r="V7" s="4">
        <f t="shared" si="1"/>
        <v>139949000</v>
      </c>
    </row>
    <row r="8">
      <c r="D8" s="10">
        <v>2011.0</v>
      </c>
      <c r="J8" s="4">
        <v>2.333973E9</v>
      </c>
      <c r="V8" s="4">
        <f t="shared" si="1"/>
        <v>189472000</v>
      </c>
    </row>
    <row r="9">
      <c r="D9" s="5">
        <v>2010.0</v>
      </c>
      <c r="J9" s="4">
        <v>2.144501E9</v>
      </c>
      <c r="V9" s="4">
        <f t="shared" si="1"/>
        <v>96101000</v>
      </c>
    </row>
    <row r="10">
      <c r="D10" s="10">
        <v>2009.0</v>
      </c>
      <c r="J10" s="4">
        <v>2.0484E9</v>
      </c>
      <c r="V10" s="4">
        <f t="shared" si="1"/>
        <v>146640000</v>
      </c>
    </row>
    <row r="11">
      <c r="D11" s="10">
        <v>2008.0</v>
      </c>
      <c r="J11" s="4">
        <v>1.90176E9</v>
      </c>
      <c r="V11" s="4">
        <f t="shared" si="1"/>
        <v>147507000</v>
      </c>
    </row>
    <row r="12">
      <c r="D12" s="5">
        <v>2007.0</v>
      </c>
      <c r="J12" s="4">
        <v>1.754253E9</v>
      </c>
      <c r="V12" s="4">
        <f t="shared" si="1"/>
        <v>198281000</v>
      </c>
    </row>
    <row r="13">
      <c r="D13" s="10">
        <v>2006.0</v>
      </c>
      <c r="J13" s="4">
        <v>1.555972E9</v>
      </c>
    </row>
    <row r="21" ht="15.75" customHeight="1">
      <c r="B21" s="17" t="s">
        <v>36</v>
      </c>
    </row>
    <row r="22" ht="15.75" customHeight="1">
      <c r="B22" s="13" t="s">
        <v>37</v>
      </c>
    </row>
    <row r="23" ht="15.75" customHeight="1">
      <c r="B23" s="17" t="s">
        <v>41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8">
    <mergeCell ref="D5:F5"/>
    <mergeCell ref="D6:F6"/>
    <mergeCell ref="J3:L3"/>
    <mergeCell ref="J4:L4"/>
    <mergeCell ref="J5:L5"/>
    <mergeCell ref="J6:L6"/>
    <mergeCell ref="D1:F1"/>
    <mergeCell ref="D9:F9"/>
    <mergeCell ref="D10:F10"/>
    <mergeCell ref="D11:F11"/>
    <mergeCell ref="D12:F12"/>
    <mergeCell ref="D13:F13"/>
    <mergeCell ref="D2:F2"/>
    <mergeCell ref="J8:L8"/>
    <mergeCell ref="J9:L9"/>
    <mergeCell ref="D7:F7"/>
    <mergeCell ref="D8:F8"/>
    <mergeCell ref="J10:L10"/>
    <mergeCell ref="J11:L11"/>
    <mergeCell ref="J12:L12"/>
    <mergeCell ref="J13:L13"/>
    <mergeCell ref="J7:L7"/>
    <mergeCell ref="Y2:AA2"/>
    <mergeCell ref="G2:I2"/>
    <mergeCell ref="M2:O2"/>
    <mergeCell ref="P2:R2"/>
    <mergeCell ref="S2:U2"/>
    <mergeCell ref="J2:L2"/>
    <mergeCell ref="V2:X2"/>
    <mergeCell ref="AB2:AD2"/>
    <mergeCell ref="AN2:AP2"/>
    <mergeCell ref="AK2:AM2"/>
    <mergeCell ref="AH2:AJ2"/>
    <mergeCell ref="AT2:AV2"/>
    <mergeCell ref="AW2:AY2"/>
    <mergeCell ref="AZ2:BB2"/>
    <mergeCell ref="AQ2:AS2"/>
    <mergeCell ref="AE2:AG2"/>
    <mergeCell ref="AQ1:AS1"/>
    <mergeCell ref="AN1:AP1"/>
    <mergeCell ref="AW1:AY1"/>
    <mergeCell ref="AZ1:BB1"/>
    <mergeCell ref="AT1:AV1"/>
    <mergeCell ref="AH1:AJ1"/>
    <mergeCell ref="AK1:AM1"/>
    <mergeCell ref="AB1:AD1"/>
    <mergeCell ref="AE1:AG1"/>
    <mergeCell ref="A2:C2"/>
    <mergeCell ref="A1:C1"/>
    <mergeCell ref="G1:I1"/>
    <mergeCell ref="J1:L1"/>
    <mergeCell ref="M1:O1"/>
    <mergeCell ref="P1:R1"/>
    <mergeCell ref="S1:U1"/>
    <mergeCell ref="D3:F3"/>
    <mergeCell ref="D4:F4"/>
    <mergeCell ref="V8:X8"/>
    <mergeCell ref="V9:X9"/>
    <mergeCell ref="V10:X10"/>
    <mergeCell ref="V11:X11"/>
    <mergeCell ref="V12:X12"/>
    <mergeCell ref="V7:X7"/>
    <mergeCell ref="V1:X1"/>
    <mergeCell ref="Y1:AA1"/>
    <mergeCell ref="V3:X3"/>
    <mergeCell ref="V4:X4"/>
    <mergeCell ref="V5:X5"/>
    <mergeCell ref="V6:X6"/>
  </mergeCells>
  <hyperlinks>
    <hyperlink r:id="rId1" ref="B22"/>
  </hyperlinks>
  <printOptions/>
  <pageMargins bottom="0.75" footer="0.0" header="0.0" left="0.7" right="0.7" top="0.75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4.43" defaultRowHeight="15.0"/>
  <cols>
    <col customWidth="1" min="1" max="54" width="8.71"/>
  </cols>
  <sheetData>
    <row r="1">
      <c r="A1" s="1" t="s">
        <v>0</v>
      </c>
      <c r="D1" s="2" t="s">
        <v>1</v>
      </c>
      <c r="G1" s="3" t="s">
        <v>2</v>
      </c>
      <c r="J1" s="3" t="s">
        <v>3</v>
      </c>
      <c r="M1" s="1" t="s">
        <v>4</v>
      </c>
      <c r="P1" s="1" t="s">
        <v>5</v>
      </c>
      <c r="S1" s="1" t="s">
        <v>6</v>
      </c>
      <c r="V1" s="1" t="s">
        <v>7</v>
      </c>
      <c r="Y1" s="1" t="s">
        <v>8</v>
      </c>
      <c r="AB1" s="1" t="s">
        <v>9</v>
      </c>
      <c r="AE1" s="1" t="s">
        <v>10</v>
      </c>
      <c r="AH1" s="3" t="s">
        <v>11</v>
      </c>
      <c r="AK1" s="3" t="s">
        <v>12</v>
      </c>
      <c r="AN1" s="1" t="s">
        <v>13</v>
      </c>
      <c r="AQ1" s="3" t="s">
        <v>14</v>
      </c>
      <c r="AT1" s="3" t="s">
        <v>15</v>
      </c>
      <c r="AW1" s="3" t="s">
        <v>16</v>
      </c>
      <c r="AZ1" s="3" t="s">
        <v>17</v>
      </c>
    </row>
    <row r="2">
      <c r="A2" s="4" t="s">
        <v>27</v>
      </c>
      <c r="D2" s="5">
        <v>2017.0</v>
      </c>
      <c r="G2" s="4">
        <v>8.0</v>
      </c>
      <c r="J2" s="4">
        <v>5.453476611E9</v>
      </c>
      <c r="M2" s="4" t="s">
        <v>20</v>
      </c>
      <c r="P2" s="6">
        <v>0.122</v>
      </c>
      <c r="S2" s="7">
        <v>86242.0</v>
      </c>
      <c r="V2" s="4">
        <f t="shared" ref="V2:V11" si="1">J2-J3</f>
        <v>416299020</v>
      </c>
      <c r="Y2" s="4" t="s">
        <v>20</v>
      </c>
      <c r="AB2" s="6">
        <v>0.1253</v>
      </c>
      <c r="AE2" s="4">
        <v>3.80456105E8</v>
      </c>
      <c r="AH2" s="4">
        <v>2.701346272E9</v>
      </c>
      <c r="AK2" s="4">
        <v>1.601283714E9</v>
      </c>
      <c r="AN2" s="4">
        <v>3.8295485E7</v>
      </c>
      <c r="AQ2" s="9"/>
      <c r="AT2" s="9"/>
      <c r="AW2" s="9"/>
      <c r="AZ2" s="9">
        <v>3.0</v>
      </c>
    </row>
    <row r="3">
      <c r="D3" s="10">
        <v>2016.0</v>
      </c>
      <c r="J3" s="4">
        <v>5.037177591E9</v>
      </c>
      <c r="V3" s="4">
        <f t="shared" si="1"/>
        <v>283187124</v>
      </c>
    </row>
    <row r="4">
      <c r="D4" s="5">
        <v>2015.0</v>
      </c>
      <c r="J4" s="4">
        <v>4.753990467E9</v>
      </c>
      <c r="V4" s="4">
        <f t="shared" si="1"/>
        <v>326100102</v>
      </c>
    </row>
    <row r="5">
      <c r="D5" s="10">
        <v>2014.0</v>
      </c>
      <c r="J5" s="4">
        <v>4.427890365E9</v>
      </c>
      <c r="V5" s="4">
        <f t="shared" si="1"/>
        <v>263677842</v>
      </c>
    </row>
    <row r="6">
      <c r="D6" s="5">
        <v>2013.0</v>
      </c>
      <c r="J6" s="4">
        <v>4.164212523E9</v>
      </c>
      <c r="V6" s="4">
        <f t="shared" si="1"/>
        <v>201688090</v>
      </c>
    </row>
    <row r="7">
      <c r="D7" s="10">
        <v>2012.0</v>
      </c>
      <c r="J7" s="4">
        <v>3.962524433E9</v>
      </c>
      <c r="V7" s="4">
        <f t="shared" si="1"/>
        <v>406756851</v>
      </c>
    </row>
    <row r="8">
      <c r="D8" s="10">
        <v>2011.0</v>
      </c>
      <c r="J8" s="4">
        <v>3.555767582E9</v>
      </c>
      <c r="V8" s="4">
        <f t="shared" si="1"/>
        <v>339731608</v>
      </c>
    </row>
    <row r="9">
      <c r="D9" s="5">
        <v>2010.0</v>
      </c>
      <c r="J9" s="4">
        <v>3.216035974E9</v>
      </c>
      <c r="V9" s="4">
        <f t="shared" si="1"/>
        <v>363905114</v>
      </c>
    </row>
    <row r="10">
      <c r="D10" s="10">
        <v>2009.0</v>
      </c>
      <c r="J10" s="4">
        <v>2.85213086E9</v>
      </c>
      <c r="V10" s="4">
        <f t="shared" si="1"/>
        <v>341514381</v>
      </c>
    </row>
    <row r="11">
      <c r="D11" s="10">
        <v>2008.0</v>
      </c>
      <c r="J11" s="4">
        <v>2.510616479E9</v>
      </c>
      <c r="V11" s="4">
        <f t="shared" si="1"/>
        <v>245670590</v>
      </c>
    </row>
    <row r="12">
      <c r="D12" s="5">
        <v>2007.0</v>
      </c>
      <c r="J12" s="4">
        <v>2.264945889E9</v>
      </c>
    </row>
    <row r="13">
      <c r="D13" s="10"/>
    </row>
    <row r="14">
      <c r="D14" s="10"/>
    </row>
    <row r="15">
      <c r="D15" s="5"/>
    </row>
    <row r="16">
      <c r="D16" s="10"/>
    </row>
    <row r="17">
      <c r="D17" s="10"/>
    </row>
    <row r="21" ht="15.75" customHeight="1"/>
    <row r="22" ht="15.75" customHeight="1"/>
    <row r="23" ht="15.75" customHeight="1"/>
    <row r="24" ht="15.75" customHeight="1">
      <c r="C24" s="17" t="s">
        <v>38</v>
      </c>
    </row>
    <row r="25" ht="15.75" customHeight="1">
      <c r="C25" s="13" t="s">
        <v>39</v>
      </c>
    </row>
    <row r="26" ht="15.75" customHeight="1">
      <c r="C26" s="17" t="s">
        <v>40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AB2:AD2"/>
    <mergeCell ref="AE2:AG2"/>
    <mergeCell ref="AN2:AP2"/>
    <mergeCell ref="AK2:AM2"/>
    <mergeCell ref="AH2:AJ2"/>
    <mergeCell ref="AT2:AV2"/>
    <mergeCell ref="AW2:AY2"/>
    <mergeCell ref="AZ2:BB2"/>
    <mergeCell ref="AQ2:AS2"/>
    <mergeCell ref="G1:I1"/>
    <mergeCell ref="G2:I2"/>
    <mergeCell ref="M2:O2"/>
    <mergeCell ref="P2:R2"/>
    <mergeCell ref="J1:L1"/>
    <mergeCell ref="J2:L2"/>
    <mergeCell ref="A1:C1"/>
    <mergeCell ref="M1:O1"/>
    <mergeCell ref="P1:R1"/>
    <mergeCell ref="S1:U1"/>
    <mergeCell ref="D1:F1"/>
    <mergeCell ref="A2:C2"/>
    <mergeCell ref="S2:U2"/>
    <mergeCell ref="V5:X5"/>
    <mergeCell ref="V6:X6"/>
    <mergeCell ref="V7:X7"/>
    <mergeCell ref="V2:X2"/>
    <mergeCell ref="V1:X1"/>
    <mergeCell ref="Y1:AA1"/>
    <mergeCell ref="V3:X3"/>
    <mergeCell ref="V4:X4"/>
    <mergeCell ref="Y2:AA2"/>
    <mergeCell ref="D16:F16"/>
    <mergeCell ref="D17:F17"/>
    <mergeCell ref="D2:F2"/>
    <mergeCell ref="D3:F3"/>
    <mergeCell ref="D4:F4"/>
    <mergeCell ref="D5:F5"/>
    <mergeCell ref="D6:F6"/>
    <mergeCell ref="D7:F7"/>
    <mergeCell ref="D8:F8"/>
    <mergeCell ref="AQ1:AS1"/>
    <mergeCell ref="AN1:AP1"/>
    <mergeCell ref="AW1:AY1"/>
    <mergeCell ref="AZ1:BB1"/>
    <mergeCell ref="AT1:AV1"/>
    <mergeCell ref="AH1:AJ1"/>
    <mergeCell ref="AK1:AM1"/>
    <mergeCell ref="AB1:AD1"/>
    <mergeCell ref="AE1:AG1"/>
    <mergeCell ref="D9:F9"/>
    <mergeCell ref="D10:F10"/>
    <mergeCell ref="D11:F11"/>
    <mergeCell ref="D12:F12"/>
    <mergeCell ref="D13:F13"/>
    <mergeCell ref="D14:F14"/>
    <mergeCell ref="D15:F15"/>
    <mergeCell ref="V8:X8"/>
    <mergeCell ref="V9:X9"/>
    <mergeCell ref="V10:X10"/>
    <mergeCell ref="V11:X11"/>
    <mergeCell ref="J7:L7"/>
    <mergeCell ref="J8:L8"/>
    <mergeCell ref="J10:L10"/>
    <mergeCell ref="J11:L11"/>
    <mergeCell ref="J12:L12"/>
    <mergeCell ref="J3:L3"/>
    <mergeCell ref="J4:L4"/>
    <mergeCell ref="J5:L5"/>
    <mergeCell ref="J6:L6"/>
    <mergeCell ref="J9:L9"/>
  </mergeCells>
  <hyperlinks>
    <hyperlink r:id="rId1" ref="C25"/>
  </hyperlinks>
  <printOptions/>
  <pageMargins bottom="0.75" footer="0.0" header="0.0" left="0.7" right="0.7" top="0.75"/>
  <pageSetup orientation="landscape"/>
  <drawing r:id="rId2"/>
</worksheet>
</file>