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175"/>
  </bookViews>
  <sheets>
    <sheet name="计算书本P84" sheetId="3" r:id="rId1"/>
    <sheet name="Sheet4" sheetId="4" r:id="rId2"/>
    <sheet name="Sheet5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<sst xmlns="http://schemas.openxmlformats.org/spreadsheetml/2006/main" count="480" uniqueCount="389">
  <si>
    <t>项        目</t>
  </si>
  <si>
    <t>符号</t>
  </si>
  <si>
    <t>单位</t>
  </si>
  <si>
    <t>计算公式或来源</t>
  </si>
  <si>
    <t>数  据</t>
  </si>
  <si>
    <t>备注</t>
  </si>
  <si>
    <t>原始数据</t>
  </si>
  <si>
    <t>煤油进口温度</t>
  </si>
  <si>
    <r>
      <rPr>
        <sz val="12"/>
        <rFont val="Times New Roman"/>
        <charset val="134"/>
      </rPr>
      <t>t'</t>
    </r>
    <r>
      <rPr>
        <vertAlign val="subscript"/>
        <sz val="12"/>
        <rFont val="Times New Roman"/>
        <charset val="134"/>
      </rPr>
      <t>1</t>
    </r>
  </si>
  <si>
    <t>℃</t>
  </si>
  <si>
    <t>由题意的原始数据</t>
  </si>
  <si>
    <t>走壳程</t>
  </si>
  <si>
    <t>煤油出口温度</t>
  </si>
  <si>
    <r>
      <rPr>
        <sz val="12"/>
        <rFont val="Times New Roman"/>
        <charset val="134"/>
      </rPr>
      <t>t"</t>
    </r>
    <r>
      <rPr>
        <vertAlign val="subscript"/>
        <sz val="12"/>
        <rFont val="Times New Roman"/>
        <charset val="134"/>
      </rPr>
      <t>1</t>
    </r>
  </si>
  <si>
    <t>冷却水进口温度</t>
  </si>
  <si>
    <r>
      <rPr>
        <sz val="12"/>
        <rFont val="Times New Roman"/>
        <charset val="134"/>
      </rPr>
      <t>t'</t>
    </r>
    <r>
      <rPr>
        <vertAlign val="subscript"/>
        <sz val="12"/>
        <rFont val="Times New Roman"/>
        <charset val="134"/>
      </rPr>
      <t>2</t>
    </r>
  </si>
  <si>
    <t>走管程</t>
  </si>
  <si>
    <t>冷却水出口温度</t>
  </si>
  <si>
    <r>
      <rPr>
        <sz val="12"/>
        <rFont val="Times New Roman"/>
        <charset val="134"/>
      </rPr>
      <t>t"</t>
    </r>
    <r>
      <rPr>
        <vertAlign val="subscript"/>
        <sz val="12"/>
        <rFont val="Times New Roman"/>
        <charset val="134"/>
      </rPr>
      <t>2</t>
    </r>
  </si>
  <si>
    <t>煤油的工作表压</t>
  </si>
  <si>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1</t>
    </r>
  </si>
  <si>
    <t>MPa</t>
  </si>
  <si>
    <t>冷却水的工作标压</t>
  </si>
  <si>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2</t>
    </r>
  </si>
  <si>
    <t>煤油流量</t>
  </si>
  <si>
    <r>
      <rPr>
        <sz val="12"/>
        <rFont val="Times New Roman"/>
        <charset val="134"/>
      </rPr>
      <t>M</t>
    </r>
    <r>
      <rPr>
        <vertAlign val="subscript"/>
        <sz val="12"/>
        <rFont val="Times New Roman"/>
        <charset val="134"/>
      </rPr>
      <t>1</t>
    </r>
  </si>
  <si>
    <t>kg/s</t>
  </si>
  <si>
    <t>流体的物性参数</t>
  </si>
  <si>
    <t>煤油定性温度</t>
  </si>
  <si>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m1</t>
    </r>
  </si>
  <si>
    <r>
      <rPr>
        <sz val="12"/>
        <rFont val="Times New Roman"/>
        <charset val="134"/>
      </rPr>
      <t>(t'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+t"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)/2</t>
    </r>
  </si>
  <si>
    <t>煤油比热</t>
  </si>
  <si>
    <r>
      <rPr>
        <sz val="12"/>
        <rFont val="Times New Roman"/>
        <charset val="134"/>
      </rPr>
      <t>c</t>
    </r>
    <r>
      <rPr>
        <vertAlign val="subscript"/>
        <sz val="12"/>
        <rFont val="Times New Roman"/>
        <charset val="134"/>
      </rPr>
      <t>p1</t>
    </r>
  </si>
  <si>
    <r>
      <rPr>
        <sz val="12"/>
        <rFont val="Times New Roman"/>
        <charset val="134"/>
      </rPr>
      <t>kJ/(kg·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>)</t>
    </r>
  </si>
  <si>
    <t>查物性表</t>
  </si>
  <si>
    <t>煤油密度</t>
  </si>
  <si>
    <r>
      <rPr>
        <sz val="12"/>
        <rFont val="宋体"/>
        <charset val="134"/>
      </rPr>
      <t>ρ</t>
    </r>
    <r>
      <rPr>
        <vertAlign val="subscript"/>
        <sz val="12"/>
        <rFont val="Times New Roman"/>
        <charset val="134"/>
      </rPr>
      <t>1</t>
    </r>
  </si>
  <si>
    <r>
      <rPr>
        <sz val="12"/>
        <rFont val="Times New Roman"/>
        <charset val="134"/>
      </rPr>
      <t>kg/m</t>
    </r>
    <r>
      <rPr>
        <vertAlign val="superscript"/>
        <sz val="12"/>
        <rFont val="Times New Roman"/>
        <charset val="134"/>
      </rPr>
      <t>3</t>
    </r>
  </si>
  <si>
    <t>煤油粘度</t>
  </si>
  <si>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1</t>
    </r>
  </si>
  <si>
    <t>kg/(m·s)</t>
  </si>
  <si>
    <t>煤油导热系数</t>
  </si>
  <si>
    <r>
      <rPr>
        <sz val="12"/>
        <rFont val="宋体"/>
        <charset val="134"/>
      </rPr>
      <t>λ</t>
    </r>
    <r>
      <rPr>
        <vertAlign val="subscript"/>
        <sz val="12"/>
        <rFont val="Times New Roman"/>
        <charset val="134"/>
      </rPr>
      <t>1</t>
    </r>
  </si>
  <si>
    <r>
      <rPr>
        <sz val="12"/>
        <rFont val="Times New Roman"/>
        <charset val="134"/>
      </rPr>
      <t>W/(m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·</t>
    </r>
    <r>
      <rPr>
        <sz val="12"/>
        <rFont val="宋体"/>
        <charset val="134"/>
      </rPr>
      <t>℃）</t>
    </r>
  </si>
  <si>
    <t>煤油普兰德系数</t>
  </si>
  <si>
    <r>
      <rPr>
        <sz val="12"/>
        <rFont val="宋体"/>
        <charset val="134"/>
      </rPr>
      <t>Pr</t>
    </r>
    <r>
      <rPr>
        <vertAlign val="subscript"/>
        <sz val="12"/>
        <rFont val="宋体"/>
        <charset val="134"/>
      </rPr>
      <t>1</t>
    </r>
  </si>
  <si>
    <t>—</t>
  </si>
  <si>
    <r>
      <rPr>
        <sz val="12"/>
        <rFont val="宋体"/>
        <charset val="134"/>
      </rPr>
      <t>Pr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=μ</t>
    </r>
    <r>
      <rPr>
        <vertAlign val="subscript"/>
        <sz val="12"/>
        <rFont val="宋体"/>
        <charset val="134"/>
      </rPr>
      <t>1</t>
    </r>
    <r>
      <rPr>
        <sz val="12"/>
        <rFont val="Times New Roman"/>
        <charset val="134"/>
      </rPr>
      <t>c</t>
    </r>
    <r>
      <rPr>
        <vertAlign val="subscript"/>
        <sz val="12"/>
        <rFont val="Times New Roman"/>
        <charset val="134"/>
      </rPr>
      <t>p1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λ</t>
    </r>
    <r>
      <rPr>
        <vertAlign val="subscript"/>
        <sz val="12"/>
        <rFont val="Times New Roman"/>
        <charset val="134"/>
      </rPr>
      <t>1</t>
    </r>
  </si>
  <si>
    <t>水的定性温度</t>
  </si>
  <si>
    <r>
      <rPr>
        <sz val="12"/>
        <rFont val="宋体"/>
        <charset val="134"/>
      </rPr>
      <t>t</t>
    </r>
    <r>
      <rPr>
        <vertAlign val="subscript"/>
        <sz val="12"/>
        <rFont val="宋体"/>
        <charset val="134"/>
      </rPr>
      <t>m2</t>
    </r>
  </si>
  <si>
    <r>
      <rPr>
        <sz val="12"/>
        <rFont val="宋体"/>
        <charset val="134"/>
      </rPr>
      <t>(t'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+t"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)/2</t>
    </r>
  </si>
  <si>
    <t>水的比热</t>
  </si>
  <si>
    <r>
      <rPr>
        <sz val="12"/>
        <rFont val="宋体"/>
        <charset val="134"/>
      </rPr>
      <t>c</t>
    </r>
    <r>
      <rPr>
        <vertAlign val="subscript"/>
        <sz val="12"/>
        <rFont val="宋体"/>
        <charset val="134"/>
      </rPr>
      <t>p2</t>
    </r>
  </si>
  <si>
    <t>水的密度</t>
  </si>
  <si>
    <r>
      <rPr>
        <sz val="12"/>
        <rFont val="宋体"/>
        <charset val="134"/>
      </rPr>
      <t>ρ</t>
    </r>
    <r>
      <rPr>
        <vertAlign val="subscript"/>
        <sz val="12"/>
        <rFont val="Times New Roman"/>
        <charset val="134"/>
      </rPr>
      <t>2</t>
    </r>
  </si>
  <si>
    <t>水的导热系数</t>
  </si>
  <si>
    <r>
      <rPr>
        <sz val="12"/>
        <rFont val="宋体"/>
        <charset val="134"/>
      </rPr>
      <t>λ</t>
    </r>
    <r>
      <rPr>
        <vertAlign val="subscript"/>
        <sz val="12"/>
        <rFont val="Times New Roman"/>
        <charset val="134"/>
      </rPr>
      <t>2</t>
    </r>
  </si>
  <si>
    <t>水的粘度</t>
  </si>
  <si>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2</t>
    </r>
  </si>
  <si>
    <t>水的普兰德系数</t>
  </si>
  <si>
    <r>
      <rPr>
        <sz val="12"/>
        <rFont val="宋体"/>
        <charset val="134"/>
      </rPr>
      <t>Pr</t>
    </r>
    <r>
      <rPr>
        <vertAlign val="subscript"/>
        <sz val="12"/>
        <rFont val="宋体"/>
        <charset val="134"/>
      </rPr>
      <t>2</t>
    </r>
  </si>
  <si>
    <r>
      <rPr>
        <sz val="12"/>
        <rFont val="宋体"/>
        <charset val="134"/>
      </rPr>
      <t>Pr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=μ</t>
    </r>
    <r>
      <rPr>
        <vertAlign val="subscript"/>
        <sz val="12"/>
        <rFont val="宋体"/>
        <charset val="134"/>
      </rPr>
      <t>2</t>
    </r>
    <r>
      <rPr>
        <sz val="12"/>
        <rFont val="Times New Roman"/>
        <charset val="134"/>
      </rPr>
      <t>c</t>
    </r>
    <r>
      <rPr>
        <vertAlign val="subscript"/>
        <sz val="12"/>
        <rFont val="Times New Roman"/>
        <charset val="134"/>
      </rPr>
      <t>p2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λ</t>
    </r>
    <r>
      <rPr>
        <vertAlign val="subscript"/>
        <sz val="12"/>
        <rFont val="Times New Roman"/>
        <charset val="134"/>
      </rPr>
      <t>2</t>
    </r>
  </si>
  <si>
    <t>传热量及平均温差</t>
  </si>
  <si>
    <t>热损失系数</t>
  </si>
  <si>
    <r>
      <rPr>
        <sz val="12"/>
        <rFont val="宋体"/>
        <charset val="134"/>
      </rPr>
      <t>η</t>
    </r>
    <r>
      <rPr>
        <vertAlign val="subscript"/>
        <sz val="12"/>
        <rFont val="Times New Roman"/>
        <charset val="134"/>
      </rPr>
      <t>L</t>
    </r>
  </si>
  <si>
    <t>一般在0.98-0.99选取</t>
  </si>
  <si>
    <t>传热量</t>
  </si>
  <si>
    <t>Q</t>
  </si>
  <si>
    <t>kW</t>
  </si>
  <si>
    <r>
      <rPr>
        <sz val="12"/>
        <rFont val="Times New Roman"/>
        <charset val="134"/>
      </rPr>
      <t>Q=M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c</t>
    </r>
    <r>
      <rPr>
        <vertAlign val="subscript"/>
        <sz val="12"/>
        <rFont val="Times New Roman"/>
        <charset val="134"/>
      </rPr>
      <t>p1</t>
    </r>
    <r>
      <rPr>
        <sz val="12"/>
        <rFont val="Times New Roman"/>
        <charset val="134"/>
      </rPr>
      <t>(t'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-t"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)</t>
    </r>
    <r>
      <rPr>
        <sz val="12"/>
        <rFont val="宋体"/>
        <charset val="134"/>
      </rPr>
      <t>η</t>
    </r>
    <r>
      <rPr>
        <vertAlign val="subscript"/>
        <sz val="12"/>
        <rFont val="Times New Roman"/>
        <charset val="134"/>
      </rPr>
      <t>L</t>
    </r>
  </si>
  <si>
    <t>冷却水量</t>
  </si>
  <si>
    <r>
      <rPr>
        <sz val="12"/>
        <rFont val="宋体"/>
        <charset val="134"/>
      </rPr>
      <t>M</t>
    </r>
    <r>
      <rPr>
        <vertAlign val="subscript"/>
        <sz val="12"/>
        <rFont val="宋体"/>
        <charset val="134"/>
      </rPr>
      <t>2</t>
    </r>
  </si>
  <si>
    <r>
      <rPr>
        <sz val="12"/>
        <rFont val="Times New Roman"/>
        <charset val="134"/>
      </rPr>
      <t>M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=Q/c</t>
    </r>
    <r>
      <rPr>
        <vertAlign val="subscript"/>
        <sz val="12"/>
        <rFont val="Times New Roman"/>
        <charset val="134"/>
      </rPr>
      <t>p2</t>
    </r>
    <r>
      <rPr>
        <sz val="12"/>
        <rFont val="Times New Roman"/>
        <charset val="134"/>
      </rPr>
      <t>(t"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-t'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)</t>
    </r>
  </si>
  <si>
    <t>逆流时的对数平均温差</t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</si>
  <si>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lm,c</t>
    </r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</si>
  <si>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1m,c</t>
    </r>
    <r>
      <rPr>
        <sz val="12"/>
        <rFont val="Times New Roman"/>
        <charset val="134"/>
      </rPr>
      <t>=(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max</t>
    </r>
    <r>
      <rPr>
        <sz val="12"/>
        <rFont val="Times New Roman"/>
        <charset val="134"/>
      </rPr>
      <t>-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min</t>
    </r>
    <r>
      <rPr>
        <sz val="12"/>
        <rFont val="Times New Roman"/>
        <charset val="134"/>
      </rPr>
      <t>)/ln(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max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min</t>
    </r>
    <r>
      <rPr>
        <sz val="12"/>
        <rFont val="Times New Roman"/>
        <charset val="134"/>
      </rPr>
      <t>)</t>
    </r>
  </si>
  <si>
    <r>
      <rPr>
        <sz val="12"/>
        <rFont val="宋体"/>
        <charset val="134"/>
      </rPr>
      <t>参数</t>
    </r>
    <r>
      <rPr>
        <sz val="12"/>
        <rFont val="Times New Roman"/>
        <charset val="134"/>
      </rPr>
      <t>P</t>
    </r>
    <r>
      <rPr>
        <sz val="12"/>
        <rFont val="宋体"/>
        <charset val="134"/>
      </rPr>
      <t>及</t>
    </r>
    <r>
      <rPr>
        <sz val="12"/>
        <rFont val="Times New Roman"/>
        <charset val="134"/>
      </rPr>
      <t>R</t>
    </r>
  </si>
  <si>
    <t>P</t>
  </si>
  <si>
    <r>
      <rPr>
        <sz val="12"/>
        <rFont val="Times New Roman"/>
        <charset val="134"/>
      </rPr>
      <t>(t"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-t'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)/(t'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-t'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)</t>
    </r>
  </si>
  <si>
    <t>R</t>
  </si>
  <si>
    <r>
      <rPr>
        <sz val="12"/>
        <rFont val="Times New Roman"/>
        <charset val="134"/>
      </rPr>
      <t>(t'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-t"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)/(t"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-t'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)</t>
    </r>
  </si>
  <si>
    <t>温差修正系数</t>
  </si>
  <si>
    <t>ψ</t>
  </si>
  <si>
    <t>最好大于0.85，符合&lt;2-4&gt;型</t>
  </si>
  <si>
    <t>选择交换器台数</t>
  </si>
  <si>
    <t>A</t>
  </si>
  <si>
    <t>选取两台&lt;1-2&gt;型</t>
  </si>
  <si>
    <t>单台壳程数</t>
  </si>
  <si>
    <t>N</t>
  </si>
  <si>
    <t>单台管程数</t>
  </si>
  <si>
    <t>M</t>
  </si>
  <si>
    <t>总壳程数</t>
  </si>
  <si>
    <r>
      <rPr>
        <sz val="12"/>
        <rFont val="宋体"/>
        <charset val="134"/>
      </rPr>
      <t>Z</t>
    </r>
    <r>
      <rPr>
        <vertAlign val="subscript"/>
        <sz val="12"/>
        <rFont val="宋体"/>
        <charset val="134"/>
      </rPr>
      <t>s</t>
    </r>
  </si>
  <si>
    <t>A*N</t>
  </si>
  <si>
    <t>总管程数</t>
  </si>
  <si>
    <r>
      <rPr>
        <sz val="12"/>
        <rFont val="宋体"/>
        <charset val="134"/>
      </rPr>
      <t>Z</t>
    </r>
    <r>
      <rPr>
        <vertAlign val="subscript"/>
        <sz val="12"/>
        <rFont val="宋体"/>
        <charset val="134"/>
      </rPr>
      <t>t</t>
    </r>
  </si>
  <si>
    <t>A*M</t>
  </si>
  <si>
    <t>有效平均温差</t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</si>
  <si>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m</t>
    </r>
  </si>
  <si>
    <r>
      <rPr>
        <sz val="12"/>
        <rFont val="宋体"/>
        <charset val="134"/>
      </rPr>
      <t>ψΔ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1m,c</t>
    </r>
  </si>
  <si>
    <t>估算传热面积及传热面结构</t>
  </si>
  <si>
    <t>初选传热系数</t>
  </si>
  <si>
    <t>K'</t>
  </si>
  <si>
    <t>查参考资料（P313页附录A1）</t>
  </si>
  <si>
    <t>估算传热面积</t>
  </si>
  <si>
    <t>F'</t>
  </si>
  <si>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2</t>
    </r>
  </si>
  <si>
    <r>
      <rPr>
        <sz val="12"/>
        <color rgb="FF0070C0"/>
        <rFont val="Times New Roman"/>
        <charset val="134"/>
      </rPr>
      <t>F'=Q/(K'</t>
    </r>
    <r>
      <rPr>
        <sz val="12"/>
        <color rgb="FF0070C0"/>
        <rFont val="宋体"/>
        <charset val="134"/>
      </rPr>
      <t>Δ</t>
    </r>
    <r>
      <rPr>
        <sz val="12"/>
        <color rgb="FF0070C0"/>
        <rFont val="Times New Roman"/>
        <charset val="134"/>
      </rPr>
      <t>t</t>
    </r>
    <r>
      <rPr>
        <vertAlign val="subscript"/>
        <sz val="12"/>
        <color rgb="FF0070C0"/>
        <rFont val="Times New Roman"/>
        <charset val="134"/>
      </rPr>
      <t>m</t>
    </r>
    <r>
      <rPr>
        <sz val="12"/>
        <color rgb="FF0070C0"/>
        <rFont val="Times New Roman"/>
        <charset val="134"/>
      </rPr>
      <t>)</t>
    </r>
    <r>
      <rPr>
        <sz val="12"/>
        <color rgb="FF0070C0"/>
        <rFont val="宋体"/>
        <charset val="134"/>
      </rPr>
      <t>，选取传热面以管子外表面为准</t>
    </r>
  </si>
  <si>
    <t>管子材料及规格</t>
  </si>
  <si>
    <t>根据标准，选用碳钢无缝钢管</t>
  </si>
  <si>
    <t>φ25×2.5</t>
  </si>
  <si>
    <t>管子外径</t>
  </si>
  <si>
    <r>
      <rPr>
        <sz val="12"/>
        <rFont val="宋体"/>
        <charset val="134"/>
      </rPr>
      <t>d</t>
    </r>
    <r>
      <rPr>
        <vertAlign val="subscript"/>
        <sz val="12"/>
        <rFont val="宋体"/>
        <charset val="134"/>
      </rPr>
      <t>0</t>
    </r>
  </si>
  <si>
    <t>mm</t>
  </si>
  <si>
    <t>管子壁厚</t>
  </si>
  <si>
    <t>δ</t>
  </si>
  <si>
    <t>管子内径</t>
  </si>
  <si>
    <r>
      <rPr>
        <sz val="12"/>
        <rFont val="宋体"/>
        <charset val="134"/>
      </rPr>
      <t>d</t>
    </r>
    <r>
      <rPr>
        <vertAlign val="subscript"/>
        <sz val="12"/>
        <rFont val="宋体"/>
        <charset val="134"/>
      </rPr>
      <t>i</t>
    </r>
  </si>
  <si>
    <r>
      <rPr>
        <sz val="12"/>
        <rFont val="宋体"/>
        <charset val="134"/>
      </rPr>
      <t>d</t>
    </r>
    <r>
      <rPr>
        <vertAlign val="subscript"/>
        <sz val="12"/>
        <rFont val="宋体"/>
        <charset val="134"/>
      </rPr>
      <t>0</t>
    </r>
    <r>
      <rPr>
        <sz val="12"/>
        <rFont val="宋体"/>
        <charset val="134"/>
      </rPr>
      <t>-2δ</t>
    </r>
  </si>
  <si>
    <r>
      <rPr>
        <sz val="12"/>
        <color rgb="FFFF0000"/>
        <rFont val="宋体"/>
        <charset val="134"/>
      </rPr>
      <t>管程内</t>
    </r>
    <r>
      <rPr>
        <sz val="12"/>
        <rFont val="宋体"/>
        <charset val="134"/>
      </rPr>
      <t>水的流速</t>
    </r>
  </si>
  <si>
    <r>
      <rPr>
        <sz val="12"/>
        <rFont val="宋体"/>
        <charset val="134"/>
      </rPr>
      <t>w</t>
    </r>
    <r>
      <rPr>
        <vertAlign val="subscript"/>
        <sz val="12"/>
        <rFont val="宋体"/>
        <charset val="134"/>
      </rPr>
      <t>2</t>
    </r>
  </si>
  <si>
    <t>m/s</t>
  </si>
  <si>
    <t>根据标准或参考资料选择管内流速</t>
  </si>
  <si>
    <t>管程所需流通截面</t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</si>
  <si>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t</t>
    </r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</si>
  <si>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t</t>
    </r>
    <r>
      <rPr>
        <sz val="12"/>
        <rFont val="Times New Roman"/>
        <charset val="134"/>
      </rPr>
      <t>=M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/(</t>
    </r>
    <r>
      <rPr>
        <sz val="12"/>
        <rFont val="宋体"/>
        <charset val="134"/>
      </rPr>
      <t>ρ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w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)</t>
    </r>
  </si>
  <si>
    <t>每程管数</t>
  </si>
  <si>
    <t>n</t>
  </si>
  <si>
    <t>根</t>
  </si>
  <si>
    <r>
      <rPr>
        <sz val="12"/>
        <color rgb="FF0070C0"/>
        <rFont val="宋体"/>
        <charset val="134"/>
      </rPr>
      <t>n=4At/(π</t>
    </r>
    <r>
      <rPr>
        <sz val="12"/>
        <color rgb="FF0070C0"/>
        <rFont val="Times New Roman"/>
        <charset val="134"/>
      </rPr>
      <t>di</t>
    </r>
    <r>
      <rPr>
        <vertAlign val="superscript"/>
        <sz val="12"/>
        <color rgb="FF0070C0"/>
        <rFont val="Times New Roman"/>
        <charset val="134"/>
      </rPr>
      <t>2</t>
    </r>
    <r>
      <rPr>
        <sz val="12"/>
        <color rgb="FF0070C0"/>
        <rFont val="Times New Roman"/>
        <charset val="134"/>
      </rPr>
      <t>)</t>
    </r>
    <r>
      <rPr>
        <sz val="12"/>
        <color rgb="FF0070C0"/>
        <rFont val="宋体"/>
        <charset val="134"/>
      </rPr>
      <t>，并圆整到整数</t>
    </r>
  </si>
  <si>
    <t>每根管长</t>
  </si>
  <si>
    <t>l</t>
  </si>
  <si>
    <t>m</t>
  </si>
  <si>
    <r>
      <rPr>
        <sz val="12"/>
        <color rgb="FF0070C0"/>
        <rFont val="宋体"/>
        <charset val="134"/>
      </rPr>
      <t>l=F'/nZ</t>
    </r>
    <r>
      <rPr>
        <vertAlign val="subscript"/>
        <sz val="12"/>
        <color rgb="FF0070C0"/>
        <rFont val="宋体"/>
        <charset val="134"/>
      </rPr>
      <t>t</t>
    </r>
    <r>
      <rPr>
        <sz val="12"/>
        <color rgb="FF0070C0"/>
        <rFont val="宋体"/>
        <charset val="134"/>
      </rPr>
      <t>π</t>
    </r>
    <r>
      <rPr>
        <sz val="12"/>
        <color rgb="FF0070C0"/>
        <rFont val="Times New Roman"/>
        <charset val="134"/>
      </rPr>
      <t>d</t>
    </r>
    <r>
      <rPr>
        <vertAlign val="subscript"/>
        <sz val="12"/>
        <color rgb="FF0070C0"/>
        <rFont val="Times New Roman"/>
        <charset val="134"/>
      </rPr>
      <t>0</t>
    </r>
    <r>
      <rPr>
        <vertAlign val="subscript"/>
        <sz val="12"/>
        <color rgb="FF0070C0"/>
        <rFont val="宋体"/>
        <charset val="134"/>
      </rPr>
      <t>，</t>
    </r>
    <r>
      <rPr>
        <sz val="12"/>
        <color rgb="FF0070C0"/>
        <rFont val="宋体"/>
        <charset val="134"/>
      </rPr>
      <t>根据标准取标准值</t>
    </r>
  </si>
  <si>
    <t>管子的排列方式</t>
  </si>
  <si>
    <t>选择</t>
  </si>
  <si>
    <t>等边三角形</t>
  </si>
  <si>
    <t>管中心距</t>
  </si>
  <si>
    <t>s</t>
  </si>
  <si>
    <t>由P45页表2.3设置</t>
  </si>
  <si>
    <t>分程隔板槽处管中心距</t>
  </si>
  <si>
    <r>
      <rPr>
        <sz val="12"/>
        <rFont val="Times New Roman"/>
        <charset val="134"/>
      </rPr>
      <t>l</t>
    </r>
    <r>
      <rPr>
        <vertAlign val="subscript"/>
        <sz val="12"/>
        <rFont val="Times New Roman"/>
        <charset val="134"/>
      </rPr>
      <t>E</t>
    </r>
  </si>
  <si>
    <t>平行于流向的管距</t>
  </si>
  <si>
    <r>
      <rPr>
        <sz val="12"/>
        <rFont val="Times New Roman"/>
        <charset val="134"/>
      </rPr>
      <t>s</t>
    </r>
    <r>
      <rPr>
        <vertAlign val="subscript"/>
        <sz val="12"/>
        <rFont val="Times New Roman"/>
        <charset val="134"/>
      </rPr>
      <t>p</t>
    </r>
  </si>
  <si>
    <r>
      <rPr>
        <sz val="12"/>
        <rFont val="Times New Roman"/>
        <charset val="134"/>
      </rPr>
      <t>s</t>
    </r>
    <r>
      <rPr>
        <vertAlign val="subscript"/>
        <sz val="12"/>
        <rFont val="Times New Roman"/>
        <charset val="134"/>
      </rPr>
      <t>p</t>
    </r>
    <r>
      <rPr>
        <sz val="12"/>
        <rFont val="Times New Roman"/>
        <charset val="134"/>
      </rPr>
      <t>=scos30</t>
    </r>
    <r>
      <rPr>
        <vertAlign val="superscript"/>
        <sz val="12"/>
        <rFont val="Times New Roman"/>
        <charset val="134"/>
      </rPr>
      <t>o</t>
    </r>
    <r>
      <rPr>
        <sz val="12"/>
        <rFont val="Times New Roman"/>
        <charset val="134"/>
      </rPr>
      <t>=s(3^(1/2))/2</t>
    </r>
  </si>
  <si>
    <t>垂直于流向的管距</t>
  </si>
  <si>
    <r>
      <rPr>
        <sz val="12"/>
        <rFont val="Times New Roman"/>
        <charset val="134"/>
      </rPr>
      <t>s</t>
    </r>
    <r>
      <rPr>
        <vertAlign val="subscript"/>
        <sz val="12"/>
        <rFont val="Times New Roman"/>
        <charset val="134"/>
      </rPr>
      <t>n</t>
    </r>
  </si>
  <si>
    <r>
      <rPr>
        <sz val="12"/>
        <rFont val="Times New Roman"/>
        <charset val="134"/>
      </rPr>
      <t>s</t>
    </r>
    <r>
      <rPr>
        <vertAlign val="subscript"/>
        <sz val="12"/>
        <rFont val="Times New Roman"/>
        <charset val="134"/>
      </rPr>
      <t>n</t>
    </r>
    <r>
      <rPr>
        <sz val="12"/>
        <rFont val="Times New Roman"/>
        <charset val="134"/>
      </rPr>
      <t>=ssin30</t>
    </r>
    <r>
      <rPr>
        <vertAlign val="superscript"/>
        <sz val="12"/>
        <rFont val="Times New Roman"/>
        <charset val="134"/>
      </rPr>
      <t>o</t>
    </r>
    <r>
      <rPr>
        <sz val="12"/>
        <rFont val="Times New Roman"/>
        <charset val="134"/>
      </rPr>
      <t>=s/2</t>
    </r>
  </si>
  <si>
    <t>拉杆直径</t>
  </si>
  <si>
    <t>由P50页说明设置</t>
  </si>
  <si>
    <t>作草图</t>
  </si>
  <si>
    <t>初步作出管子布置图</t>
  </si>
  <si>
    <t>见图2.48</t>
  </si>
  <si>
    <t>作草图所得数据</t>
  </si>
  <si>
    <t>六边形层数</t>
  </si>
  <si>
    <t>a</t>
  </si>
  <si>
    <t>在草图上数6变形的层数(沿圆桶数)</t>
  </si>
  <si>
    <t>一台管子数</t>
  </si>
  <si>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t</t>
    </r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</si>
  <si>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*n</t>
    </r>
  </si>
  <si>
    <t>一台拉杆数</t>
  </si>
  <si>
    <t>B</t>
  </si>
  <si>
    <t>通过草图可以估算壳题直径在400-700mm之间，再通过P51页的表2.7查数。上下各程设2根：从草图上数出每一程可排70根管子，除去2根拉杆，则每程排的管子正好是68跟，正好总管子数136根,则在上面设置一台的总管数为136。</t>
  </si>
  <si>
    <t>一台传热面积</t>
  </si>
  <si>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t</t>
    </r>
    <r>
      <rPr>
        <sz val="12"/>
        <rFont val="宋体"/>
        <charset val="134"/>
      </rPr>
      <t>π</t>
    </r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0</t>
    </r>
    <r>
      <rPr>
        <sz val="12"/>
        <rFont val="Times New Roman"/>
        <charset val="134"/>
      </rPr>
      <t>l</t>
    </r>
  </si>
  <si>
    <t>总的传热面积</t>
  </si>
  <si>
    <t>F"</t>
  </si>
  <si>
    <t>2台</t>
  </si>
  <si>
    <t>管束中心至最外层管中心距</t>
  </si>
  <si>
    <t>由图2.78量出或计算出</t>
  </si>
  <si>
    <t>管束外园直径</t>
  </si>
  <si>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L</t>
    </r>
  </si>
  <si>
    <r>
      <rPr>
        <sz val="12"/>
        <rFont val="宋体"/>
        <charset val="134"/>
      </rPr>
      <t>B*2+2r</t>
    </r>
    <r>
      <rPr>
        <vertAlign val="subscript"/>
        <sz val="12"/>
        <rFont val="宋体"/>
        <charset val="134"/>
      </rPr>
      <t>0</t>
    </r>
    <r>
      <rPr>
        <sz val="12"/>
        <rFont val="宋体"/>
        <charset val="134"/>
      </rPr>
      <t>=2B+d</t>
    </r>
    <r>
      <rPr>
        <vertAlign val="subscript"/>
        <sz val="12"/>
        <rFont val="宋体"/>
        <charset val="134"/>
      </rPr>
      <t>0</t>
    </r>
  </si>
  <si>
    <t>壳体内径</t>
  </si>
  <si>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s</t>
    </r>
  </si>
  <si>
    <r>
      <rPr>
        <sz val="12"/>
        <color rgb="FF0070C0"/>
        <rFont val="Times New Roman"/>
        <charset val="134"/>
      </rPr>
      <t>P46</t>
    </r>
    <r>
      <rPr>
        <sz val="12"/>
        <color rgb="FF0070C0"/>
        <rFont val="宋体"/>
        <charset val="134"/>
      </rPr>
      <t>页布管限定园：</t>
    </r>
    <r>
      <rPr>
        <sz val="12"/>
        <color rgb="FF0070C0"/>
        <rFont val="Times New Roman"/>
        <charset val="134"/>
      </rPr>
      <t>D</t>
    </r>
    <r>
      <rPr>
        <vertAlign val="subscript"/>
        <sz val="12"/>
        <color rgb="FF0070C0"/>
        <rFont val="Times New Roman"/>
        <charset val="134"/>
      </rPr>
      <t>s</t>
    </r>
    <r>
      <rPr>
        <sz val="12"/>
        <color rgb="FF0070C0"/>
        <rFont val="Times New Roman"/>
        <charset val="134"/>
      </rPr>
      <t>=D</t>
    </r>
    <r>
      <rPr>
        <vertAlign val="subscript"/>
        <sz val="12"/>
        <color rgb="FF0070C0"/>
        <rFont val="Times New Roman"/>
        <charset val="134"/>
      </rPr>
      <t>L</t>
    </r>
    <r>
      <rPr>
        <sz val="12"/>
        <color rgb="FF0070C0"/>
        <rFont val="Times New Roman"/>
        <charset val="134"/>
      </rPr>
      <t>+2b</t>
    </r>
    <r>
      <rPr>
        <vertAlign val="subscript"/>
        <sz val="12"/>
        <color rgb="FF0070C0"/>
        <rFont val="Times New Roman"/>
        <charset val="134"/>
      </rPr>
      <t>3</t>
    </r>
    <r>
      <rPr>
        <sz val="12"/>
        <color rgb="FF0070C0"/>
        <rFont val="宋体"/>
        <charset val="134"/>
      </rPr>
      <t>；按照国标规定取标准直径</t>
    </r>
  </si>
  <si>
    <r>
      <rPr>
        <sz val="12"/>
        <rFont val="Times New Roman"/>
        <charset val="134"/>
      </rPr>
      <t>b</t>
    </r>
    <r>
      <rPr>
        <vertAlign val="subscript"/>
        <sz val="12"/>
        <rFont val="Times New Roman"/>
        <charset val="134"/>
      </rPr>
      <t>3</t>
    </r>
  </si>
  <si>
    <r>
      <rPr>
        <sz val="12"/>
        <color rgb="FF0070C0"/>
        <rFont val="Times New Roman"/>
        <charset val="134"/>
      </rPr>
      <t>P46</t>
    </r>
    <r>
      <rPr>
        <sz val="12"/>
        <color rgb="FF0070C0"/>
        <rFont val="宋体"/>
        <charset val="134"/>
      </rPr>
      <t>页布管限定园：</t>
    </r>
    <r>
      <rPr>
        <sz val="12"/>
        <color rgb="FF0070C0"/>
        <rFont val="Times New Roman"/>
        <charset val="134"/>
      </rPr>
      <t>b3=0.25d0=0.25*25=6.25</t>
    </r>
    <r>
      <rPr>
        <sz val="12"/>
        <color rgb="FF0070C0"/>
        <rFont val="宋体"/>
        <charset val="134"/>
      </rPr>
      <t>，小于</t>
    </r>
    <r>
      <rPr>
        <sz val="12"/>
        <color rgb="FF0070C0"/>
        <rFont val="Times New Roman"/>
        <charset val="134"/>
      </rPr>
      <t>8mm,</t>
    </r>
    <r>
      <rPr>
        <sz val="12"/>
        <color rgb="FF0070C0"/>
        <rFont val="宋体"/>
        <charset val="134"/>
      </rPr>
      <t>故</t>
    </r>
    <r>
      <rPr>
        <sz val="12"/>
        <color rgb="FF0070C0"/>
        <rFont val="Times New Roman"/>
        <charset val="134"/>
      </rPr>
      <t>b3</t>
    </r>
    <r>
      <rPr>
        <sz val="12"/>
        <color rgb="FF0070C0"/>
        <rFont val="宋体"/>
        <charset val="134"/>
      </rPr>
      <t>取值</t>
    </r>
    <r>
      <rPr>
        <sz val="12"/>
        <color rgb="FF0070C0"/>
        <rFont val="Times New Roman"/>
        <charset val="134"/>
      </rPr>
      <t>8mm</t>
    </r>
  </si>
  <si>
    <t>长径比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</si>
  <si>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/D</t>
    </r>
    <r>
      <rPr>
        <vertAlign val="subscript"/>
        <sz val="12"/>
        <rFont val="宋体"/>
        <charset val="134"/>
      </rPr>
      <t>s</t>
    </r>
  </si>
  <si>
    <t>管程计算</t>
  </si>
  <si>
    <t>管程接管直径</t>
  </si>
  <si>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2</t>
    </r>
  </si>
  <si>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=1.13(M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ρ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w</t>
    </r>
    <r>
      <rPr>
        <vertAlign val="subscript"/>
        <sz val="12"/>
        <rFont val="宋体"/>
        <charset val="134"/>
      </rPr>
      <t>2</t>
    </r>
    <r>
      <rPr>
        <sz val="12"/>
        <rFont val="Times New Roman"/>
        <charset val="134"/>
      </rPr>
      <t>)</t>
    </r>
    <r>
      <rPr>
        <vertAlign val="superscript"/>
        <sz val="12"/>
        <rFont val="Times New Roman"/>
        <charset val="134"/>
      </rPr>
      <t>0.5</t>
    </r>
  </si>
  <si>
    <t>按钢管标准取值</t>
  </si>
  <si>
    <t>φ180×5</t>
  </si>
  <si>
    <t>管程雷诺数</t>
  </si>
  <si>
    <r>
      <rPr>
        <sz val="12"/>
        <rFont val="Times New Roman"/>
        <charset val="134"/>
      </rPr>
      <t>Re</t>
    </r>
    <r>
      <rPr>
        <vertAlign val="subscript"/>
        <sz val="12"/>
        <rFont val="Times New Roman"/>
        <charset val="134"/>
      </rPr>
      <t>2</t>
    </r>
  </si>
  <si>
    <r>
      <rPr>
        <sz val="12"/>
        <rFont val="Times New Roman"/>
        <charset val="134"/>
      </rPr>
      <t>Re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=w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ρ</t>
    </r>
    <r>
      <rPr>
        <vertAlign val="subscript"/>
        <sz val="12"/>
        <rFont val="宋体"/>
        <charset val="134"/>
      </rPr>
      <t>2</t>
    </r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i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μ</t>
    </r>
    <r>
      <rPr>
        <vertAlign val="subscript"/>
        <sz val="12"/>
        <rFont val="宋体"/>
        <charset val="134"/>
      </rPr>
      <t>2</t>
    </r>
  </si>
  <si>
    <t>管程换热系数</t>
  </si>
  <si>
    <r>
      <rPr>
        <sz val="12"/>
        <rFont val="宋体"/>
        <charset val="134"/>
      </rPr>
      <t>α</t>
    </r>
    <r>
      <rPr>
        <vertAlign val="subscript"/>
        <sz val="12"/>
        <rFont val="宋体"/>
        <charset val="134"/>
      </rPr>
      <t>2</t>
    </r>
  </si>
  <si>
    <r>
      <rPr>
        <sz val="12"/>
        <rFont val="宋体"/>
        <charset val="134"/>
      </rPr>
      <t>λ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/d</t>
    </r>
    <r>
      <rPr>
        <vertAlign val="subscript"/>
        <sz val="12"/>
        <rFont val="宋体"/>
        <charset val="134"/>
      </rPr>
      <t>i</t>
    </r>
    <r>
      <rPr>
        <sz val="12"/>
        <rFont val="宋体"/>
        <charset val="134"/>
      </rPr>
      <t>×0.023Re</t>
    </r>
    <r>
      <rPr>
        <vertAlign val="subscript"/>
        <sz val="12"/>
        <rFont val="宋体"/>
        <charset val="134"/>
      </rPr>
      <t>2</t>
    </r>
    <r>
      <rPr>
        <vertAlign val="superscript"/>
        <sz val="12"/>
        <rFont val="宋体"/>
        <charset val="134"/>
      </rPr>
      <t>0.8</t>
    </r>
    <r>
      <rPr>
        <sz val="12"/>
        <rFont val="宋体"/>
        <charset val="134"/>
      </rPr>
      <t>Pr</t>
    </r>
    <r>
      <rPr>
        <vertAlign val="subscript"/>
        <sz val="12"/>
        <rFont val="宋体"/>
        <charset val="134"/>
      </rPr>
      <t>2</t>
    </r>
    <r>
      <rPr>
        <vertAlign val="superscript"/>
        <sz val="12"/>
        <rFont val="宋体"/>
        <charset val="134"/>
      </rPr>
      <t>0.4</t>
    </r>
  </si>
  <si>
    <t>壳程结构及壳程计算</t>
  </si>
  <si>
    <t>折流板的形式</t>
  </si>
  <si>
    <t>选定</t>
  </si>
  <si>
    <t>弓形</t>
  </si>
  <si>
    <t>折流板缺口高度</t>
  </si>
  <si>
    <t>h</t>
  </si>
  <si>
    <r>
      <rPr>
        <sz val="12"/>
        <rFont val="Times New Roman"/>
        <charset val="134"/>
      </rPr>
      <t>P48</t>
    </r>
    <r>
      <rPr>
        <sz val="12"/>
        <rFont val="宋体"/>
        <charset val="134"/>
      </rPr>
      <t>页：</t>
    </r>
    <r>
      <rPr>
        <sz val="12"/>
        <rFont val="Times New Roman"/>
        <charset val="134"/>
      </rPr>
      <t>h=0.25D</t>
    </r>
    <r>
      <rPr>
        <vertAlign val="subscript"/>
        <sz val="12"/>
        <rFont val="Times New Roman"/>
        <charset val="134"/>
      </rPr>
      <t>s</t>
    </r>
  </si>
  <si>
    <t>折流板的圆心角</t>
  </si>
  <si>
    <t>度</t>
  </si>
  <si>
    <t>根据缺口高度h确定</t>
  </si>
  <si>
    <t>折流板间距</t>
  </si>
  <si>
    <r>
      <rPr>
        <sz val="12"/>
        <rFont val="Times New Roman"/>
        <charset val="134"/>
      </rPr>
      <t>l</t>
    </r>
    <r>
      <rPr>
        <vertAlign val="subscript"/>
        <sz val="12"/>
        <rFont val="Times New Roman"/>
        <charset val="134"/>
      </rPr>
      <t>s</t>
    </r>
  </si>
  <si>
    <r>
      <rPr>
        <sz val="12"/>
        <color rgb="FF0070C0"/>
        <rFont val="宋体"/>
        <charset val="134"/>
      </rPr>
      <t>P49页：一般，大于0.2D</t>
    </r>
    <r>
      <rPr>
        <vertAlign val="subscript"/>
        <sz val="12"/>
        <color rgb="FF0070C0"/>
        <rFont val="宋体"/>
        <charset val="134"/>
      </rPr>
      <t>s</t>
    </r>
    <r>
      <rPr>
        <sz val="12"/>
        <color rgb="FF0070C0"/>
        <rFont val="宋体"/>
        <charset val="134"/>
      </rPr>
      <t>，且大于0.05m；最大不超过表2.5的规定，且不超过圆筒内径D</t>
    </r>
    <r>
      <rPr>
        <vertAlign val="subscript"/>
        <sz val="12"/>
        <color rgb="FF0070C0"/>
        <rFont val="宋体"/>
        <charset val="134"/>
      </rPr>
      <t>s</t>
    </r>
    <r>
      <rPr>
        <sz val="12"/>
        <color rgb="FF0070C0"/>
        <rFont val="宋体"/>
        <charset val="134"/>
      </rPr>
      <t>;最后确定为0.1-0.5之间，并选取0.25</t>
    </r>
  </si>
  <si>
    <t>折流板数目</t>
  </si>
  <si>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b</t>
    </r>
  </si>
  <si>
    <t>块</t>
  </si>
  <si>
    <r>
      <rPr>
        <sz val="12"/>
        <rFont val="宋体"/>
        <charset val="134"/>
      </rPr>
      <t>l/l</t>
    </r>
    <r>
      <rPr>
        <vertAlign val="subscript"/>
        <sz val="12"/>
        <rFont val="宋体"/>
        <charset val="134"/>
      </rPr>
      <t>s</t>
    </r>
    <r>
      <rPr>
        <sz val="12"/>
        <rFont val="宋体"/>
        <charset val="134"/>
      </rPr>
      <t>-1</t>
    </r>
  </si>
  <si>
    <t>折流板上管孔数</t>
  </si>
  <si>
    <t>个</t>
  </si>
  <si>
    <t>由图2.78数出</t>
  </si>
  <si>
    <t>折流板上管孔直径</t>
  </si>
  <si>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H</t>
    </r>
  </si>
  <si>
    <t>由国标并结合管子外径，选取稍微比管子外径大</t>
  </si>
  <si>
    <t>通过折流板上管子数</t>
  </si>
  <si>
    <t>由图2.78数出；根据管孔数减去拉杆数</t>
  </si>
  <si>
    <t>折流板缺口处管数</t>
  </si>
  <si>
    <t>折流板直径</t>
  </si>
  <si>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b</t>
    </r>
  </si>
  <si>
    <t>由国标并结合壳体内径，选取稍微比壳体内径小</t>
  </si>
  <si>
    <t>折流板缺口面积</t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</si>
  <si>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wg</t>
    </r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</si>
  <si>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wg</t>
    </r>
    <r>
      <rPr>
        <sz val="12"/>
        <rFont val="Times New Roman"/>
        <charset val="134"/>
      </rPr>
      <t>=D</t>
    </r>
    <r>
      <rPr>
        <vertAlign val="subscript"/>
        <sz val="12"/>
        <rFont val="Times New Roman"/>
        <charset val="134"/>
      </rPr>
      <t>s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[0.5</t>
    </r>
    <r>
      <rPr>
        <sz val="12"/>
        <rFont val="宋体"/>
        <charset val="134"/>
      </rPr>
      <t>θ</t>
    </r>
    <r>
      <rPr>
        <sz val="12"/>
        <rFont val="Times New Roman"/>
        <charset val="134"/>
      </rPr>
      <t>-(1-2h/D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)sin</t>
    </r>
    <r>
      <rPr>
        <sz val="12"/>
        <rFont val="宋体"/>
        <charset val="134"/>
      </rPr>
      <t>θ</t>
    </r>
    <r>
      <rPr>
        <sz val="12"/>
        <rFont val="Times New Roman"/>
        <charset val="134"/>
      </rPr>
      <t>/2]/4</t>
    </r>
  </si>
  <si>
    <t>sinθ/2</t>
  </si>
  <si>
    <t>错流区内管数占总管数的百分数</t>
  </si>
  <si>
    <r>
      <rPr>
        <sz val="12"/>
        <rFont val="Times New Roman"/>
        <charset val="134"/>
      </rPr>
      <t>F</t>
    </r>
    <r>
      <rPr>
        <vertAlign val="subscript"/>
        <sz val="12"/>
        <rFont val="Times New Roman"/>
        <charset val="134"/>
      </rPr>
      <t>c</t>
    </r>
  </si>
  <si>
    <r>
      <rPr>
        <sz val="12"/>
        <rFont val="Times New Roman"/>
        <charset val="134"/>
      </rPr>
      <t>F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={</t>
    </r>
    <r>
      <rPr>
        <sz val="12"/>
        <rFont val="宋体"/>
        <charset val="134"/>
      </rPr>
      <t>π</t>
    </r>
    <r>
      <rPr>
        <sz val="12"/>
        <rFont val="Times New Roman"/>
        <charset val="134"/>
      </rPr>
      <t>+2((D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-2h)/D</t>
    </r>
    <r>
      <rPr>
        <vertAlign val="subscript"/>
        <sz val="12"/>
        <rFont val="Times New Roman"/>
        <charset val="134"/>
      </rPr>
      <t>L</t>
    </r>
    <r>
      <rPr>
        <sz val="12"/>
        <rFont val="Times New Roman"/>
        <charset val="134"/>
      </rPr>
      <t>)sin[arccos((D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-2h)/D</t>
    </r>
    <r>
      <rPr>
        <vertAlign val="subscript"/>
        <sz val="12"/>
        <rFont val="Times New Roman"/>
        <charset val="134"/>
      </rPr>
      <t>L</t>
    </r>
    <r>
      <rPr>
        <sz val="12"/>
        <rFont val="Times New Roman"/>
        <charset val="134"/>
      </rPr>
      <t>)]-2arccos((D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-2h)/D</t>
    </r>
    <r>
      <rPr>
        <vertAlign val="subscript"/>
        <sz val="12"/>
        <rFont val="Times New Roman"/>
        <charset val="134"/>
      </rPr>
      <t>L</t>
    </r>
    <r>
      <rPr>
        <sz val="12"/>
        <rFont val="Times New Roman"/>
        <charset val="134"/>
      </rPr>
      <t>)}/</t>
    </r>
    <r>
      <rPr>
        <sz val="12"/>
        <rFont val="宋体"/>
        <charset val="134"/>
      </rPr>
      <t>π</t>
    </r>
  </si>
  <si>
    <r>
      <rPr>
        <sz val="12"/>
        <rFont val="Times New Roman"/>
        <charset val="134"/>
      </rPr>
      <t>(D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-2h)/D</t>
    </r>
    <r>
      <rPr>
        <vertAlign val="subscript"/>
        <sz val="12"/>
        <rFont val="Times New Roman"/>
        <charset val="134"/>
      </rPr>
      <t>L</t>
    </r>
  </si>
  <si>
    <r>
      <rPr>
        <sz val="12"/>
        <color rgb="FF0070C0"/>
        <rFont val="宋体"/>
        <charset val="134"/>
      </rPr>
      <t>将上式值代入</t>
    </r>
    <r>
      <rPr>
        <sz val="12"/>
        <rFont val="Times New Roman"/>
        <charset val="134"/>
      </rPr>
      <t>arccos((D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-2h)/D</t>
    </r>
    <r>
      <rPr>
        <vertAlign val="subscript"/>
        <sz val="12"/>
        <rFont val="Times New Roman"/>
        <charset val="134"/>
      </rPr>
      <t>L</t>
    </r>
    <r>
      <rPr>
        <sz val="12"/>
        <rFont val="Times New Roman"/>
        <charset val="134"/>
      </rPr>
      <t>)</t>
    </r>
    <r>
      <rPr>
        <sz val="12"/>
        <rFont val="宋体"/>
        <charset val="134"/>
      </rPr>
      <t>，得：</t>
    </r>
  </si>
  <si>
    <t>缺口处管子所占面积</t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</si>
  <si>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wt</t>
    </r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</si>
  <si>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wt</t>
    </r>
    <r>
      <rPr>
        <sz val="12"/>
        <rFont val="Times New Roman"/>
        <charset val="134"/>
      </rPr>
      <t>=</t>
    </r>
    <r>
      <rPr>
        <sz val="12"/>
        <rFont val="宋体"/>
        <charset val="134"/>
      </rPr>
      <t>π</t>
    </r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o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(n</t>
    </r>
    <r>
      <rPr>
        <vertAlign val="subscript"/>
        <sz val="12"/>
        <rFont val="Times New Roman"/>
        <charset val="134"/>
      </rPr>
      <t>t</t>
    </r>
    <r>
      <rPr>
        <sz val="12"/>
        <rFont val="Times New Roman"/>
        <charset val="134"/>
      </rPr>
      <t>+B)(1-F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)/8</t>
    </r>
  </si>
  <si>
    <t>流体在缺口处流通面积</t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</si>
  <si>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b</t>
    </r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</si>
  <si>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=A</t>
    </r>
    <r>
      <rPr>
        <vertAlign val="subscript"/>
        <sz val="12"/>
        <rFont val="Times New Roman"/>
        <charset val="134"/>
      </rPr>
      <t>wg</t>
    </r>
    <r>
      <rPr>
        <sz val="12"/>
        <rFont val="Times New Roman"/>
        <charset val="134"/>
      </rPr>
      <t>-A</t>
    </r>
    <r>
      <rPr>
        <vertAlign val="subscript"/>
        <sz val="12"/>
        <rFont val="Times New Roman"/>
        <charset val="134"/>
      </rPr>
      <t>wt</t>
    </r>
  </si>
  <si>
    <t>流体在两折流板间错流流通截面积</t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</si>
  <si>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c</t>
    </r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</si>
  <si>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=l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[D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-D</t>
    </r>
    <r>
      <rPr>
        <vertAlign val="subscript"/>
        <sz val="12"/>
        <rFont val="Times New Roman"/>
        <charset val="134"/>
      </rPr>
      <t>L</t>
    </r>
    <r>
      <rPr>
        <sz val="12"/>
        <rFont val="Times New Roman"/>
        <charset val="134"/>
      </rPr>
      <t>+(D</t>
    </r>
    <r>
      <rPr>
        <vertAlign val="subscript"/>
        <sz val="12"/>
        <rFont val="Times New Roman"/>
        <charset val="134"/>
      </rPr>
      <t>L</t>
    </r>
    <r>
      <rPr>
        <sz val="12"/>
        <rFont val="Times New Roman"/>
        <charset val="134"/>
      </rPr>
      <t>-d</t>
    </r>
    <r>
      <rPr>
        <vertAlign val="subscript"/>
        <sz val="12"/>
        <rFont val="Times New Roman"/>
        <charset val="134"/>
      </rPr>
      <t>o</t>
    </r>
    <r>
      <rPr>
        <sz val="12"/>
        <rFont val="Times New Roman"/>
        <charset val="134"/>
      </rPr>
      <t>)(s-d</t>
    </r>
    <r>
      <rPr>
        <vertAlign val="subscript"/>
        <sz val="12"/>
        <rFont val="Times New Roman"/>
        <charset val="134"/>
      </rPr>
      <t>o</t>
    </r>
    <r>
      <rPr>
        <sz val="12"/>
        <rFont val="Times New Roman"/>
        <charset val="134"/>
      </rPr>
      <t>)/s]</t>
    </r>
  </si>
  <si>
    <t>壳程流通截面积</t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</si>
  <si>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s</t>
    </r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</si>
  <si>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=(A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)</t>
    </r>
    <r>
      <rPr>
        <vertAlign val="superscript"/>
        <sz val="12"/>
        <rFont val="Times New Roman"/>
        <charset val="134"/>
      </rPr>
      <t>0.5</t>
    </r>
  </si>
  <si>
    <t>壳程接管直径</t>
  </si>
  <si>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1</t>
    </r>
  </si>
  <si>
    <r>
      <rPr>
        <sz val="12"/>
        <color rgb="FF0070C0"/>
        <rFont val="宋体"/>
        <charset val="134"/>
      </rPr>
      <t>D</t>
    </r>
    <r>
      <rPr>
        <vertAlign val="subscript"/>
        <sz val="12"/>
        <color rgb="FF0070C0"/>
        <rFont val="宋体"/>
        <charset val="134"/>
      </rPr>
      <t>1</t>
    </r>
    <r>
      <rPr>
        <sz val="12"/>
        <color rgb="FF0070C0"/>
        <rFont val="宋体"/>
        <charset val="134"/>
      </rPr>
      <t>=(4A</t>
    </r>
    <r>
      <rPr>
        <vertAlign val="subscript"/>
        <sz val="12"/>
        <color rgb="FF0070C0"/>
        <rFont val="宋体"/>
        <charset val="134"/>
      </rPr>
      <t>s</t>
    </r>
    <r>
      <rPr>
        <sz val="12"/>
        <color rgb="FF0070C0"/>
        <rFont val="宋体"/>
        <charset val="134"/>
      </rPr>
      <t>/π)</t>
    </r>
    <r>
      <rPr>
        <vertAlign val="superscript"/>
        <sz val="12"/>
        <color rgb="FF0070C0"/>
        <rFont val="宋体"/>
        <charset val="134"/>
      </rPr>
      <t>0.5</t>
    </r>
    <r>
      <rPr>
        <sz val="12"/>
        <color rgb="FF0070C0"/>
        <rFont val="宋体"/>
        <charset val="134"/>
      </rPr>
      <t>,并由钢管标准选相近规格</t>
    </r>
  </si>
  <si>
    <t>φ203×6</t>
  </si>
  <si>
    <r>
      <rPr>
        <sz val="12"/>
        <rFont val="宋体"/>
        <charset val="134"/>
      </rPr>
      <t>D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=(4A</t>
    </r>
    <r>
      <rPr>
        <vertAlign val="subscript"/>
        <sz val="12"/>
        <rFont val="宋体"/>
        <charset val="134"/>
      </rPr>
      <t>s</t>
    </r>
    <r>
      <rPr>
        <sz val="12"/>
        <rFont val="宋体"/>
        <charset val="134"/>
      </rPr>
      <t>/π)</t>
    </r>
    <r>
      <rPr>
        <vertAlign val="superscript"/>
        <sz val="12"/>
        <rFont val="宋体"/>
        <charset val="134"/>
      </rPr>
      <t>0.5</t>
    </r>
  </si>
  <si>
    <t>错流区管排数</t>
  </si>
  <si>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c</t>
    </r>
  </si>
  <si>
    <t>排</t>
  </si>
  <si>
    <t>由图2.48数出</t>
  </si>
  <si>
    <t>每一缺口内的有效错流管排数</t>
  </si>
  <si>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cw</t>
    </r>
  </si>
  <si>
    <r>
      <rPr>
        <sz val="12"/>
        <rFont val="宋体"/>
        <charset val="134"/>
      </rPr>
      <t>P61页：N</t>
    </r>
    <r>
      <rPr>
        <vertAlign val="subscript"/>
        <sz val="12"/>
        <rFont val="宋体"/>
        <charset val="134"/>
      </rPr>
      <t>cw</t>
    </r>
    <r>
      <rPr>
        <sz val="12"/>
        <rFont val="宋体"/>
        <charset val="134"/>
      </rPr>
      <t>=0.8h/s</t>
    </r>
    <r>
      <rPr>
        <vertAlign val="subscript"/>
        <sz val="12"/>
        <rFont val="宋体"/>
        <charset val="134"/>
      </rPr>
      <t>p</t>
    </r>
  </si>
  <si>
    <t>旁流通道数</t>
  </si>
  <si>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E</t>
    </r>
  </si>
  <si>
    <t>P62页：指管程的分程隔板所占的通道数(由于只有一个分程隔板，所以只有1个通道)</t>
  </si>
  <si>
    <t>旁通挡板数</t>
  </si>
  <si>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ss</t>
    </r>
  </si>
  <si>
    <t>对</t>
  </si>
  <si>
    <t>自选（隔板将管子分为上下两个流程，所以是对），如P52页</t>
  </si>
  <si>
    <t>错流面积中旁流面积所占分数</t>
  </si>
  <si>
    <r>
      <rPr>
        <sz val="12"/>
        <rFont val="Times New Roman"/>
        <charset val="134"/>
      </rPr>
      <t>F</t>
    </r>
    <r>
      <rPr>
        <vertAlign val="subscript"/>
        <sz val="12"/>
        <rFont val="Times New Roman"/>
        <charset val="134"/>
      </rPr>
      <t>bp</t>
    </r>
  </si>
  <si>
    <r>
      <rPr>
        <sz val="12"/>
        <rFont val="Times New Roman"/>
        <charset val="134"/>
      </rPr>
      <t>P62</t>
    </r>
    <r>
      <rPr>
        <sz val="12"/>
        <rFont val="宋体"/>
        <charset val="134"/>
      </rPr>
      <t>页（由于有</t>
    </r>
    <r>
      <rPr>
        <sz val="12"/>
        <rFont val="Times New Roman"/>
        <charset val="134"/>
      </rPr>
      <t>E</t>
    </r>
    <r>
      <rPr>
        <sz val="12"/>
        <rFont val="宋体"/>
        <charset val="134"/>
      </rPr>
      <t>路旁通存在）：</t>
    </r>
    <r>
      <rPr>
        <sz val="12"/>
        <rFont val="Times New Roman"/>
        <charset val="134"/>
      </rPr>
      <t>F</t>
    </r>
    <r>
      <rPr>
        <vertAlign val="subscript"/>
        <sz val="12"/>
        <rFont val="Times New Roman"/>
        <charset val="134"/>
      </rPr>
      <t>bp</t>
    </r>
    <r>
      <rPr>
        <sz val="12"/>
        <rFont val="Times New Roman"/>
        <charset val="134"/>
      </rPr>
      <t>=[D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-D</t>
    </r>
    <r>
      <rPr>
        <vertAlign val="subscript"/>
        <sz val="12"/>
        <rFont val="Times New Roman"/>
        <charset val="134"/>
      </rPr>
      <t>L</t>
    </r>
    <r>
      <rPr>
        <sz val="12"/>
        <rFont val="Times New Roman"/>
        <charset val="134"/>
      </rPr>
      <t>+0.5N</t>
    </r>
    <r>
      <rPr>
        <vertAlign val="subscript"/>
        <sz val="12"/>
        <rFont val="Times New Roman"/>
        <charset val="134"/>
      </rPr>
      <t>E</t>
    </r>
    <r>
      <rPr>
        <sz val="12"/>
        <rFont val="Times New Roman"/>
        <charset val="134"/>
      </rPr>
      <t>l</t>
    </r>
    <r>
      <rPr>
        <vertAlign val="subscript"/>
        <sz val="12"/>
        <rFont val="Times New Roman"/>
        <charset val="134"/>
      </rPr>
      <t>E</t>
    </r>
    <r>
      <rPr>
        <sz val="12"/>
        <rFont val="Times New Roman"/>
        <charset val="134"/>
      </rPr>
      <t>]l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/A</t>
    </r>
    <r>
      <rPr>
        <vertAlign val="subscript"/>
        <sz val="12"/>
        <rFont val="Times New Roman"/>
        <charset val="134"/>
      </rPr>
      <t>c</t>
    </r>
  </si>
  <si>
    <t>一块折流板上管子和管孔间泄露面积</t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</si>
  <si>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tb</t>
    </r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</si>
  <si>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tb</t>
    </r>
    <r>
      <rPr>
        <sz val="12"/>
        <rFont val="Times New Roman"/>
        <charset val="134"/>
      </rPr>
      <t>=</t>
    </r>
    <r>
      <rPr>
        <sz val="12"/>
        <rFont val="宋体"/>
        <charset val="134"/>
      </rPr>
      <t>π</t>
    </r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o</t>
    </r>
    <r>
      <rPr>
        <sz val="12"/>
        <rFont val="Times New Roman"/>
        <charset val="134"/>
      </rPr>
      <t>(d</t>
    </r>
    <r>
      <rPr>
        <vertAlign val="subscript"/>
        <sz val="12"/>
        <rFont val="Times New Roman"/>
        <charset val="134"/>
      </rPr>
      <t>H</t>
    </r>
    <r>
      <rPr>
        <sz val="12"/>
        <rFont val="Times New Roman"/>
        <charset val="134"/>
      </rPr>
      <t>-d</t>
    </r>
    <r>
      <rPr>
        <vertAlign val="subscript"/>
        <sz val="12"/>
        <rFont val="Times New Roman"/>
        <charset val="134"/>
      </rPr>
      <t>o</t>
    </r>
    <r>
      <rPr>
        <sz val="12"/>
        <rFont val="Times New Roman"/>
        <charset val="134"/>
      </rPr>
      <t>)(1+F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)n</t>
    </r>
    <r>
      <rPr>
        <vertAlign val="subscript"/>
        <sz val="12"/>
        <rFont val="Times New Roman"/>
        <charset val="134"/>
      </rPr>
      <t>t</t>
    </r>
    <r>
      <rPr>
        <sz val="12"/>
        <rFont val="Times New Roman"/>
        <charset val="134"/>
      </rPr>
      <t>/2</t>
    </r>
  </si>
  <si>
    <t>折流板外缘与壳体内壁之间泄露面积</t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</si>
  <si>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sb</t>
    </r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</si>
  <si>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sb</t>
    </r>
    <r>
      <rPr>
        <sz val="12"/>
        <rFont val="Times New Roman"/>
        <charset val="134"/>
      </rPr>
      <t>=D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(D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-D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)[</t>
    </r>
    <r>
      <rPr>
        <sz val="12"/>
        <rFont val="宋体"/>
        <charset val="134"/>
      </rPr>
      <t>π</t>
    </r>
    <r>
      <rPr>
        <sz val="12"/>
        <rFont val="Times New Roman"/>
        <charset val="134"/>
      </rPr>
      <t>-arccos(1-2h/D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)]/2</t>
    </r>
  </si>
  <si>
    <r>
      <rPr>
        <sz val="12"/>
        <rFont val="Times New Roman"/>
        <charset val="134"/>
      </rPr>
      <t>1-2h/D</t>
    </r>
    <r>
      <rPr>
        <vertAlign val="subscript"/>
        <sz val="12"/>
        <rFont val="Times New Roman"/>
        <charset val="134"/>
      </rPr>
      <t>s</t>
    </r>
  </si>
  <si>
    <r>
      <rPr>
        <sz val="12"/>
        <color rgb="FF0070C0"/>
        <rFont val="宋体"/>
        <charset val="134"/>
      </rPr>
      <t>将上式值代入</t>
    </r>
    <r>
      <rPr>
        <sz val="12"/>
        <color rgb="FF0070C0"/>
        <rFont val="Times New Roman"/>
        <charset val="134"/>
      </rPr>
      <t>arccos(1-2h/D</t>
    </r>
    <r>
      <rPr>
        <vertAlign val="subscript"/>
        <sz val="12"/>
        <color rgb="FF0070C0"/>
        <rFont val="Times New Roman"/>
        <charset val="134"/>
      </rPr>
      <t>s</t>
    </r>
    <r>
      <rPr>
        <sz val="12"/>
        <color rgb="FF0070C0"/>
        <rFont val="Times New Roman"/>
        <charset val="134"/>
      </rPr>
      <t>)</t>
    </r>
    <r>
      <rPr>
        <sz val="12"/>
        <color rgb="FF0070C0"/>
        <rFont val="宋体"/>
        <charset val="134"/>
      </rPr>
      <t>，得：</t>
    </r>
  </si>
  <si>
    <t>壳程雷诺数</t>
  </si>
  <si>
    <r>
      <rPr>
        <sz val="12"/>
        <rFont val="Times New Roman"/>
        <charset val="134"/>
      </rPr>
      <t>Re</t>
    </r>
    <r>
      <rPr>
        <vertAlign val="subscript"/>
        <sz val="12"/>
        <rFont val="Times New Roman"/>
        <charset val="134"/>
      </rPr>
      <t>1</t>
    </r>
  </si>
  <si>
    <r>
      <rPr>
        <sz val="12"/>
        <rFont val="Times New Roman"/>
        <charset val="134"/>
      </rPr>
      <t>Re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=M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o</t>
    </r>
    <r>
      <rPr>
        <sz val="12"/>
        <rFont val="Times New Roman"/>
        <charset val="134"/>
      </rPr>
      <t>/(</t>
    </r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)</t>
    </r>
  </si>
  <si>
    <t>理想管数传热因子</t>
  </si>
  <si>
    <r>
      <rPr>
        <sz val="12"/>
        <rFont val="Times New Roman"/>
        <charset val="134"/>
      </rPr>
      <t>j</t>
    </r>
    <r>
      <rPr>
        <vertAlign val="subscript"/>
        <sz val="12"/>
        <rFont val="Times New Roman"/>
        <charset val="134"/>
      </rPr>
      <t>H</t>
    </r>
  </si>
  <si>
    <r>
      <rPr>
        <sz val="12"/>
        <rFont val="宋体"/>
        <charset val="134"/>
      </rPr>
      <t>查</t>
    </r>
    <r>
      <rPr>
        <sz val="12"/>
        <rFont val="Times New Roman"/>
        <charset val="134"/>
      </rPr>
      <t>P67</t>
    </r>
    <r>
      <rPr>
        <sz val="12"/>
        <rFont val="宋体"/>
        <charset val="134"/>
      </rPr>
      <t>页图2.29</t>
    </r>
  </si>
  <si>
    <t>折流板缺口校正因子</t>
  </si>
  <si>
    <r>
      <rPr>
        <sz val="12"/>
        <rFont val="Times New Roman"/>
        <charset val="134"/>
      </rPr>
      <t>j</t>
    </r>
    <r>
      <rPr>
        <vertAlign val="subscript"/>
        <sz val="12"/>
        <rFont val="Times New Roman"/>
        <charset val="134"/>
      </rPr>
      <t>c</t>
    </r>
  </si>
  <si>
    <r>
      <rPr>
        <sz val="12"/>
        <rFont val="宋体"/>
        <charset val="134"/>
      </rPr>
      <t>查</t>
    </r>
    <r>
      <rPr>
        <sz val="12"/>
        <rFont val="Times New Roman"/>
        <charset val="134"/>
      </rPr>
      <t>P67</t>
    </r>
    <r>
      <rPr>
        <sz val="12"/>
        <rFont val="宋体"/>
        <charset val="134"/>
      </rPr>
      <t>页图2.30</t>
    </r>
  </si>
  <si>
    <t>折流板泄露校正因子</t>
  </si>
  <si>
    <r>
      <rPr>
        <sz val="12"/>
        <rFont val="Times New Roman"/>
        <charset val="134"/>
      </rPr>
      <t>j</t>
    </r>
    <r>
      <rPr>
        <vertAlign val="subscript"/>
        <sz val="12"/>
        <rFont val="Times New Roman"/>
        <charset val="134"/>
      </rPr>
      <t>1</t>
    </r>
  </si>
  <si>
    <r>
      <rPr>
        <sz val="12"/>
        <color rgb="FF0070C0"/>
        <rFont val="宋体"/>
        <charset val="134"/>
      </rPr>
      <t>由下面两项，查</t>
    </r>
    <r>
      <rPr>
        <sz val="12"/>
        <color rgb="FF0070C0"/>
        <rFont val="Times New Roman"/>
        <charset val="134"/>
      </rPr>
      <t>P68</t>
    </r>
    <r>
      <rPr>
        <sz val="12"/>
        <color rgb="FF0070C0"/>
        <rFont val="宋体"/>
        <charset val="134"/>
      </rPr>
      <t>页图2.31</t>
    </r>
  </si>
  <si>
    <r>
      <rPr>
        <sz val="12"/>
        <rFont val="Times New Roman"/>
        <charset val="134"/>
      </rPr>
      <t>(A</t>
    </r>
    <r>
      <rPr>
        <vertAlign val="subscript"/>
        <sz val="12"/>
        <rFont val="Times New Roman"/>
        <charset val="134"/>
      </rPr>
      <t>sb</t>
    </r>
    <r>
      <rPr>
        <sz val="12"/>
        <rFont val="Times New Roman"/>
        <charset val="134"/>
      </rPr>
      <t>+A</t>
    </r>
    <r>
      <rPr>
        <vertAlign val="subscript"/>
        <sz val="12"/>
        <rFont val="Times New Roman"/>
        <charset val="134"/>
      </rPr>
      <t>tb</t>
    </r>
    <r>
      <rPr>
        <sz val="12"/>
        <rFont val="Times New Roman"/>
        <charset val="134"/>
      </rPr>
      <t>)/A</t>
    </r>
    <r>
      <rPr>
        <vertAlign val="subscript"/>
        <sz val="12"/>
        <rFont val="Times New Roman"/>
        <charset val="134"/>
      </rPr>
      <t>c</t>
    </r>
  </si>
  <si>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sb</t>
    </r>
    <r>
      <rPr>
        <sz val="12"/>
        <rFont val="Times New Roman"/>
        <charset val="134"/>
      </rPr>
      <t>/(A</t>
    </r>
    <r>
      <rPr>
        <vertAlign val="subscript"/>
        <sz val="12"/>
        <rFont val="Times New Roman"/>
        <charset val="134"/>
      </rPr>
      <t>sb</t>
    </r>
    <r>
      <rPr>
        <sz val="12"/>
        <rFont val="Times New Roman"/>
        <charset val="134"/>
      </rPr>
      <t>+A</t>
    </r>
    <r>
      <rPr>
        <vertAlign val="subscript"/>
        <sz val="12"/>
        <rFont val="Times New Roman"/>
        <charset val="134"/>
      </rPr>
      <t>tb</t>
    </r>
    <r>
      <rPr>
        <sz val="12"/>
        <rFont val="Times New Roman"/>
        <charset val="134"/>
      </rPr>
      <t>)</t>
    </r>
  </si>
  <si>
    <t>旁通校正因子</t>
  </si>
  <si>
    <r>
      <rPr>
        <sz val="12"/>
        <rFont val="Times New Roman"/>
        <charset val="134"/>
      </rPr>
      <t>j</t>
    </r>
    <r>
      <rPr>
        <vertAlign val="subscript"/>
        <sz val="12"/>
        <rFont val="Times New Roman"/>
        <charset val="134"/>
      </rPr>
      <t>b</t>
    </r>
  </si>
  <si>
    <r>
      <rPr>
        <sz val="12"/>
        <color rgb="FF0070C0"/>
        <rFont val="宋体"/>
        <charset val="134"/>
      </rPr>
      <t>由下面一项</t>
    </r>
    <r>
      <rPr>
        <sz val="12"/>
        <color rgb="FF0070C0"/>
        <rFont val="Times New Roman"/>
        <charset val="134"/>
      </rPr>
      <t>N</t>
    </r>
    <r>
      <rPr>
        <vertAlign val="subscript"/>
        <sz val="12"/>
        <color rgb="FF0070C0"/>
        <rFont val="Times New Roman"/>
        <charset val="134"/>
      </rPr>
      <t>ss</t>
    </r>
    <r>
      <rPr>
        <sz val="12"/>
        <color rgb="FF0070C0"/>
        <rFont val="Times New Roman"/>
        <charset val="134"/>
      </rPr>
      <t>/N</t>
    </r>
    <r>
      <rPr>
        <vertAlign val="subscript"/>
        <sz val="12"/>
        <color rgb="FF0070C0"/>
        <rFont val="Times New Roman"/>
        <charset val="134"/>
      </rPr>
      <t>c</t>
    </r>
    <r>
      <rPr>
        <sz val="12"/>
        <color rgb="FF0070C0"/>
        <rFont val="宋体"/>
        <charset val="134"/>
      </rPr>
      <t>和</t>
    </r>
    <r>
      <rPr>
        <sz val="12"/>
        <color rgb="FF0070C0"/>
        <rFont val="Times New Roman"/>
        <charset val="134"/>
      </rPr>
      <t>F</t>
    </r>
    <r>
      <rPr>
        <vertAlign val="subscript"/>
        <sz val="12"/>
        <color rgb="FF0070C0"/>
        <rFont val="Times New Roman"/>
        <charset val="134"/>
      </rPr>
      <t>bp</t>
    </r>
    <r>
      <rPr>
        <sz val="12"/>
        <color rgb="FF0070C0"/>
        <rFont val="宋体"/>
        <charset val="134"/>
      </rPr>
      <t>，查</t>
    </r>
    <r>
      <rPr>
        <sz val="12"/>
        <color rgb="FF0070C0"/>
        <rFont val="Times New Roman"/>
        <charset val="134"/>
      </rPr>
      <t>P68</t>
    </r>
    <r>
      <rPr>
        <sz val="12"/>
        <color rgb="FF0070C0"/>
        <rFont val="宋体"/>
        <charset val="134"/>
      </rPr>
      <t>页图2.32</t>
    </r>
  </si>
  <si>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ss</t>
    </r>
    <r>
      <rPr>
        <sz val="12"/>
        <rFont val="Times New Roman"/>
        <charset val="134"/>
      </rPr>
      <t>/N</t>
    </r>
    <r>
      <rPr>
        <vertAlign val="subscript"/>
        <sz val="12"/>
        <rFont val="Times New Roman"/>
        <charset val="134"/>
      </rPr>
      <t>c</t>
    </r>
  </si>
  <si>
    <t>壳程传热因子</t>
  </si>
  <si>
    <r>
      <rPr>
        <sz val="12"/>
        <rFont val="Times New Roman"/>
        <charset val="134"/>
      </rPr>
      <t>j</t>
    </r>
    <r>
      <rPr>
        <vertAlign val="subscript"/>
        <sz val="12"/>
        <rFont val="Times New Roman"/>
        <charset val="134"/>
      </rPr>
      <t>o</t>
    </r>
  </si>
  <si>
    <r>
      <rPr>
        <sz val="12"/>
        <rFont val="Times New Roman"/>
        <charset val="134"/>
      </rPr>
      <t>j</t>
    </r>
    <r>
      <rPr>
        <vertAlign val="subscript"/>
        <sz val="12"/>
        <rFont val="Times New Roman"/>
        <charset val="134"/>
      </rPr>
      <t>o</t>
    </r>
    <r>
      <rPr>
        <sz val="12"/>
        <rFont val="Times New Roman"/>
        <charset val="134"/>
      </rPr>
      <t>=j</t>
    </r>
    <r>
      <rPr>
        <vertAlign val="subscript"/>
        <sz val="12"/>
        <rFont val="Times New Roman"/>
        <charset val="134"/>
      </rPr>
      <t>H</t>
    </r>
    <r>
      <rPr>
        <sz val="12"/>
        <rFont val="Times New Roman"/>
        <charset val="134"/>
      </rPr>
      <t>j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j</t>
    </r>
    <r>
      <rPr>
        <vertAlign val="subscript"/>
        <sz val="12"/>
        <rFont val="Times New Roman"/>
        <charset val="134"/>
      </rPr>
      <t>l</t>
    </r>
    <r>
      <rPr>
        <sz val="12"/>
        <rFont val="Times New Roman"/>
        <charset val="134"/>
      </rPr>
      <t>j</t>
    </r>
    <r>
      <rPr>
        <vertAlign val="subscript"/>
        <sz val="12"/>
        <rFont val="Times New Roman"/>
        <charset val="134"/>
      </rPr>
      <t>b</t>
    </r>
  </si>
  <si>
    <t>壳程质量流速</t>
  </si>
  <si>
    <r>
      <rPr>
        <sz val="12"/>
        <rFont val="Times New Roman"/>
        <charset val="134"/>
      </rPr>
      <t>G</t>
    </r>
    <r>
      <rPr>
        <vertAlign val="subscript"/>
        <sz val="12"/>
        <rFont val="Times New Roman"/>
        <charset val="134"/>
      </rPr>
      <t>s</t>
    </r>
  </si>
  <si>
    <r>
      <rPr>
        <sz val="12"/>
        <rFont val="Times New Roman"/>
        <charset val="134"/>
      </rPr>
      <t>kg/(m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·s)</t>
    </r>
  </si>
  <si>
    <r>
      <rPr>
        <sz val="12"/>
        <rFont val="Times New Roman"/>
        <charset val="134"/>
      </rPr>
      <t>G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=M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/A</t>
    </r>
    <r>
      <rPr>
        <vertAlign val="subscript"/>
        <sz val="12"/>
        <rFont val="Times New Roman"/>
        <charset val="134"/>
      </rPr>
      <t>s</t>
    </r>
  </si>
  <si>
    <t>壳侧壁面温度</t>
  </si>
  <si>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w</t>
    </r>
  </si>
  <si>
    <t>假定</t>
  </si>
  <si>
    <t>壁温下煤油粘度</t>
  </si>
  <si>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w1</t>
    </r>
  </si>
  <si>
    <t>壳侧换热系数</t>
  </si>
  <si>
    <r>
      <rPr>
        <sz val="12"/>
        <rFont val="宋体"/>
        <charset val="134"/>
      </rPr>
      <t>α</t>
    </r>
    <r>
      <rPr>
        <vertAlign val="subscript"/>
        <sz val="12"/>
        <rFont val="宋体"/>
        <charset val="134"/>
      </rPr>
      <t>1</t>
    </r>
  </si>
  <si>
    <r>
      <rPr>
        <sz val="12"/>
        <rFont val="宋体"/>
        <charset val="134"/>
      </rPr>
      <t>α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=j</t>
    </r>
    <r>
      <rPr>
        <vertAlign val="subscript"/>
        <sz val="12"/>
        <rFont val="Times New Roman"/>
        <charset val="134"/>
      </rPr>
      <t>o</t>
    </r>
    <r>
      <rPr>
        <sz val="12"/>
        <rFont val="Times New Roman"/>
        <charset val="134"/>
      </rPr>
      <t>G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c</t>
    </r>
    <r>
      <rPr>
        <vertAlign val="subscript"/>
        <sz val="12"/>
        <rFont val="Times New Roman"/>
        <charset val="134"/>
      </rPr>
      <t>p1</t>
    </r>
    <r>
      <rPr>
        <sz val="12"/>
        <rFont val="Times New Roman"/>
        <charset val="134"/>
      </rPr>
      <t>Pr</t>
    </r>
    <r>
      <rPr>
        <vertAlign val="subscript"/>
        <sz val="12"/>
        <rFont val="Times New Roman"/>
        <charset val="134"/>
      </rPr>
      <t>1</t>
    </r>
    <r>
      <rPr>
        <vertAlign val="superscript"/>
        <sz val="12"/>
        <rFont val="Times New Roman"/>
        <charset val="134"/>
      </rPr>
      <t>-2/3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w1</t>
    </r>
    <r>
      <rPr>
        <sz val="12"/>
        <rFont val="Times New Roman"/>
        <charset val="134"/>
      </rPr>
      <t>)</t>
    </r>
    <r>
      <rPr>
        <vertAlign val="superscript"/>
        <sz val="12"/>
        <rFont val="Times New Roman"/>
        <charset val="134"/>
      </rPr>
      <t>0.14</t>
    </r>
  </si>
  <si>
    <t>需用传热面积</t>
  </si>
  <si>
    <t>水垢热阻</t>
  </si>
  <si>
    <r>
      <rPr>
        <sz val="12"/>
        <rFont val="Times New Roman"/>
        <charset val="134"/>
      </rPr>
      <t>r</t>
    </r>
    <r>
      <rPr>
        <vertAlign val="subscript"/>
        <sz val="12"/>
        <rFont val="Times New Roman"/>
        <charset val="134"/>
      </rPr>
      <t>s,2</t>
    </r>
  </si>
  <si>
    <r>
      <rPr>
        <sz val="12"/>
        <rFont val="Times New Roman"/>
        <charset val="134"/>
      </rPr>
      <t>(m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·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>)/W</t>
    </r>
  </si>
  <si>
    <r>
      <rPr>
        <sz val="12"/>
        <rFont val="宋体"/>
        <charset val="134"/>
      </rPr>
      <t>查P</t>
    </r>
    <r>
      <rPr>
        <sz val="12"/>
        <rFont val="宋体"/>
        <charset val="134"/>
      </rPr>
      <t>292页附录C</t>
    </r>
  </si>
  <si>
    <t>煤油污垢热阻</t>
  </si>
  <si>
    <r>
      <rPr>
        <sz val="12"/>
        <rFont val="Times New Roman"/>
        <charset val="134"/>
      </rPr>
      <t>r</t>
    </r>
    <r>
      <rPr>
        <vertAlign val="subscript"/>
        <sz val="12"/>
        <rFont val="Times New Roman"/>
        <charset val="134"/>
      </rPr>
      <t>s,1</t>
    </r>
  </si>
  <si>
    <t>查P292页附录E</t>
  </si>
  <si>
    <t>管壁热阻</t>
  </si>
  <si>
    <t>忽略</t>
  </si>
  <si>
    <t>传热系数</t>
  </si>
  <si>
    <t>K</t>
  </si>
  <si>
    <r>
      <rPr>
        <sz val="12"/>
        <rFont val="Times New Roman"/>
        <charset val="134"/>
      </rPr>
      <t>K=[1/</t>
    </r>
    <r>
      <rPr>
        <sz val="12"/>
        <rFont val="宋体"/>
        <charset val="134"/>
      </rPr>
      <t>α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+r</t>
    </r>
    <r>
      <rPr>
        <vertAlign val="subscript"/>
        <sz val="12"/>
        <rFont val="Times New Roman"/>
        <charset val="134"/>
      </rPr>
      <t>s,1</t>
    </r>
    <r>
      <rPr>
        <sz val="12"/>
        <rFont val="Times New Roman"/>
        <charset val="134"/>
      </rPr>
      <t>+r</t>
    </r>
    <r>
      <rPr>
        <vertAlign val="subscript"/>
        <sz val="12"/>
        <rFont val="Times New Roman"/>
        <charset val="134"/>
      </rPr>
      <t>s,2</t>
    </r>
    <r>
      <rPr>
        <sz val="12"/>
        <rFont val="Times New Roman"/>
        <charset val="134"/>
      </rPr>
      <t>d</t>
    </r>
    <r>
      <rPr>
        <vertAlign val="subscript"/>
        <sz val="12"/>
        <rFont val="Times New Roman"/>
        <charset val="134"/>
      </rPr>
      <t>o</t>
    </r>
    <r>
      <rPr>
        <sz val="12"/>
        <rFont val="Times New Roman"/>
        <charset val="134"/>
      </rPr>
      <t>/d</t>
    </r>
    <r>
      <rPr>
        <vertAlign val="subscript"/>
        <sz val="12"/>
        <rFont val="Times New Roman"/>
        <charset val="134"/>
      </rPr>
      <t>i</t>
    </r>
    <r>
      <rPr>
        <sz val="12"/>
        <rFont val="Times New Roman"/>
        <charset val="134"/>
      </rPr>
      <t>+(1/</t>
    </r>
    <r>
      <rPr>
        <sz val="12"/>
        <rFont val="宋体"/>
        <charset val="134"/>
      </rPr>
      <t>α</t>
    </r>
    <r>
      <rPr>
        <vertAlign val="subscript"/>
        <sz val="12"/>
        <rFont val="宋体"/>
        <charset val="134"/>
      </rPr>
      <t>2</t>
    </r>
    <r>
      <rPr>
        <sz val="12"/>
        <rFont val="Times New Roman"/>
        <charset val="134"/>
      </rPr>
      <t>)d</t>
    </r>
    <r>
      <rPr>
        <vertAlign val="subscript"/>
        <sz val="12"/>
        <rFont val="Times New Roman"/>
        <charset val="134"/>
      </rPr>
      <t>o</t>
    </r>
    <r>
      <rPr>
        <sz val="12"/>
        <rFont val="Times New Roman"/>
        <charset val="134"/>
      </rPr>
      <t>/d</t>
    </r>
    <r>
      <rPr>
        <vertAlign val="subscript"/>
        <sz val="12"/>
        <rFont val="Times New Roman"/>
        <charset val="134"/>
      </rPr>
      <t>i</t>
    </r>
    <r>
      <rPr>
        <sz val="12"/>
        <rFont val="Times New Roman"/>
        <charset val="134"/>
      </rPr>
      <t>]</t>
    </r>
    <r>
      <rPr>
        <vertAlign val="superscript"/>
        <sz val="12"/>
        <rFont val="Times New Roman"/>
        <charset val="134"/>
      </rPr>
      <t>-1</t>
    </r>
  </si>
  <si>
    <t>传热面积</t>
  </si>
  <si>
    <t>F</t>
  </si>
  <si>
    <r>
      <rPr>
        <sz val="12"/>
        <rFont val="Times New Roman"/>
        <charset val="134"/>
      </rPr>
      <t>F=Q/K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m</t>
    </r>
  </si>
  <si>
    <t>估算传热面积与需用传热面积之比</t>
  </si>
  <si>
    <t>F"/F</t>
  </si>
  <si>
    <t>10%-20%余量</t>
  </si>
  <si>
    <t>检验壳侧壁温</t>
  </si>
  <si>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w1</t>
    </r>
  </si>
  <si>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w1</t>
    </r>
    <r>
      <rPr>
        <sz val="12"/>
        <rFont val="Times New Roman"/>
        <charset val="134"/>
      </rPr>
      <t>=t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-K(1/</t>
    </r>
    <r>
      <rPr>
        <sz val="12"/>
        <rFont val="宋体"/>
        <charset val="134"/>
      </rPr>
      <t>α</t>
    </r>
    <r>
      <rPr>
        <vertAlign val="subscript"/>
        <sz val="12"/>
        <rFont val="宋体"/>
        <charset val="134"/>
      </rPr>
      <t>1</t>
    </r>
    <r>
      <rPr>
        <sz val="12"/>
        <rFont val="Times New Roman"/>
        <charset val="134"/>
      </rPr>
      <t>+r</t>
    </r>
    <r>
      <rPr>
        <vertAlign val="subscript"/>
        <sz val="12"/>
        <rFont val="Times New Roman"/>
        <charset val="134"/>
      </rPr>
      <t>s,1</t>
    </r>
    <r>
      <rPr>
        <sz val="12"/>
        <rFont val="Times New Roman"/>
        <charset val="134"/>
      </rPr>
      <t>)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m</t>
    </r>
  </si>
  <si>
    <t>与原假定值基本相当</t>
  </si>
  <si>
    <t>煤油的平均温度(卡路里温度)</t>
  </si>
  <si>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1</t>
    </r>
  </si>
  <si>
    <r>
      <rPr>
        <sz val="12"/>
        <rFont val="Times New Roman"/>
        <charset val="134"/>
      </rPr>
      <t>t"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+F</t>
    </r>
    <r>
      <rPr>
        <vertAlign val="subscript"/>
        <sz val="12"/>
        <rFont val="Times New Roman"/>
        <charset val="134"/>
      </rPr>
      <t>k</t>
    </r>
    <r>
      <rPr>
        <sz val="12"/>
        <rFont val="Times New Roman"/>
        <charset val="134"/>
      </rPr>
      <t>(t'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-t"1)</t>
    </r>
  </si>
  <si>
    <t>卡路里系数</t>
  </si>
  <si>
    <r>
      <rPr>
        <sz val="12"/>
        <rFont val="Times New Roman"/>
        <charset val="134"/>
      </rPr>
      <t>F</t>
    </r>
    <r>
      <rPr>
        <vertAlign val="subscript"/>
        <sz val="12"/>
        <rFont val="Times New Roman"/>
        <charset val="134"/>
      </rPr>
      <t>k</t>
    </r>
  </si>
  <si>
    <r>
      <rPr>
        <sz val="12"/>
        <rFont val="Times New Roman"/>
        <charset val="134"/>
      </rPr>
      <t>P65</t>
    </r>
    <r>
      <rPr>
        <sz val="12"/>
        <rFont val="宋体"/>
        <charset val="134"/>
      </rPr>
      <t>页查取</t>
    </r>
  </si>
  <si>
    <t>阻力计算</t>
  </si>
  <si>
    <t>管内摩擦因子</t>
  </si>
  <si>
    <r>
      <rPr>
        <sz val="12"/>
        <rFont val="Times New Roman"/>
        <charset val="134"/>
      </rPr>
      <t>f</t>
    </r>
    <r>
      <rPr>
        <vertAlign val="subscript"/>
        <sz val="12"/>
        <rFont val="Times New Roman"/>
        <charset val="134"/>
      </rPr>
      <t>i</t>
    </r>
  </si>
  <si>
    <t>查P69页图2.35</t>
  </si>
  <si>
    <t>管侧壁温</t>
  </si>
  <si>
    <r>
      <rPr>
        <sz val="12"/>
        <rFont val="Times New Roman"/>
        <charset val="134"/>
      </rPr>
      <t>t</t>
    </r>
    <r>
      <rPr>
        <vertAlign val="subscript"/>
        <sz val="12"/>
        <rFont val="Times New Roman"/>
        <charset val="134"/>
      </rPr>
      <t>w2</t>
    </r>
  </si>
  <si>
    <t>壁温下水的粘度</t>
  </si>
  <si>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w2</t>
    </r>
  </si>
  <si>
    <t>沿程阻力</t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</si>
  <si>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i</t>
    </r>
  </si>
  <si>
    <t>Pa</t>
  </si>
  <si>
    <r>
      <rPr>
        <sz val="12"/>
        <color rgb="FF0070C0"/>
        <rFont val="宋体"/>
        <charset val="134"/>
      </rPr>
      <t>A*ΔP'</t>
    </r>
    <r>
      <rPr>
        <vertAlign val="subscript"/>
        <sz val="12"/>
        <color rgb="FF0070C0"/>
        <rFont val="宋体"/>
        <charset val="134"/>
      </rPr>
      <t>i</t>
    </r>
  </si>
  <si>
    <t>两台</t>
  </si>
  <si>
    <t>一台沿程阻力</t>
  </si>
  <si>
    <r>
      <rPr>
        <sz val="12"/>
        <rFont val="宋体"/>
        <charset val="134"/>
      </rPr>
      <t>Δ</t>
    </r>
    <r>
      <rPr>
        <sz val="12"/>
        <rFont val="宋体"/>
        <charset val="134"/>
      </rPr>
      <t>P</t>
    </r>
    <r>
      <rPr>
        <vertAlign val="superscript"/>
        <sz val="12"/>
        <rFont val="宋体"/>
        <charset val="134"/>
      </rPr>
      <t>'</t>
    </r>
    <r>
      <rPr>
        <vertAlign val="subscript"/>
        <sz val="12"/>
        <rFont val="宋体"/>
        <charset val="134"/>
      </rPr>
      <t>i</t>
    </r>
  </si>
  <si>
    <r>
      <rPr>
        <sz val="12"/>
        <rFont val="Times New Roman"/>
        <charset val="134"/>
      </rPr>
      <t>4f</t>
    </r>
    <r>
      <rPr>
        <vertAlign val="subscript"/>
        <sz val="12"/>
        <rFont val="Times New Roman"/>
        <charset val="134"/>
      </rPr>
      <t>i</t>
    </r>
    <r>
      <rPr>
        <sz val="12"/>
        <rFont val="Times New Roman"/>
        <charset val="134"/>
      </rPr>
      <t>L</t>
    </r>
    <r>
      <rPr>
        <sz val="12"/>
        <rFont val="宋体"/>
        <charset val="134"/>
      </rPr>
      <t>ρ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w</t>
    </r>
    <r>
      <rPr>
        <vertAlign val="subscript"/>
        <sz val="12"/>
        <rFont val="Times New Roman"/>
        <charset val="134"/>
      </rPr>
      <t>2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2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w2</t>
    </r>
    <r>
      <rPr>
        <sz val="12"/>
        <rFont val="Times New Roman"/>
        <charset val="134"/>
      </rPr>
      <t>)</t>
    </r>
    <r>
      <rPr>
        <vertAlign val="superscript"/>
        <sz val="12"/>
        <rFont val="Times New Roman"/>
        <charset val="134"/>
      </rPr>
      <t>-0.14</t>
    </r>
    <r>
      <rPr>
        <sz val="12"/>
        <rFont val="Times New Roman"/>
        <charset val="134"/>
      </rPr>
      <t>/2d</t>
    </r>
    <r>
      <rPr>
        <vertAlign val="subscript"/>
        <sz val="12"/>
        <rFont val="Times New Roman"/>
        <charset val="134"/>
      </rPr>
      <t>i</t>
    </r>
  </si>
  <si>
    <t>一台</t>
  </si>
  <si>
    <t>一台管程长度</t>
  </si>
  <si>
    <t>L</t>
  </si>
  <si>
    <t>将L=l*M代入上式</t>
  </si>
  <si>
    <t>回弯阻力</t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</si>
  <si>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r</t>
    </r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</si>
  <si>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r</t>
    </r>
    <r>
      <rPr>
        <sz val="12"/>
        <rFont val="Times New Roman"/>
        <charset val="134"/>
      </rPr>
      <t>=4</t>
    </r>
    <r>
      <rPr>
        <sz val="12"/>
        <rFont val="宋体"/>
        <charset val="134"/>
      </rPr>
      <t>ρ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w</t>
    </r>
    <r>
      <rPr>
        <vertAlign val="subscript"/>
        <sz val="12"/>
        <rFont val="宋体"/>
        <charset val="134"/>
      </rPr>
      <t>2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Z</t>
    </r>
    <r>
      <rPr>
        <vertAlign val="subscript"/>
        <sz val="12"/>
        <rFont val="Times New Roman"/>
        <charset val="134"/>
      </rPr>
      <t>t</t>
    </r>
    <r>
      <rPr>
        <sz val="12"/>
        <rFont val="Times New Roman"/>
        <charset val="134"/>
      </rPr>
      <t>/2</t>
    </r>
  </si>
  <si>
    <t>进出口连接管阻力</t>
  </si>
  <si>
    <r>
      <rPr>
        <sz val="12"/>
        <rFont val="宋体"/>
        <charset val="134"/>
      </rPr>
      <t>ΔP</t>
    </r>
    <r>
      <rPr>
        <vertAlign val="subscript"/>
        <sz val="12"/>
        <rFont val="宋体"/>
        <charset val="134"/>
      </rPr>
      <t>N</t>
    </r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</si>
  <si>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N</t>
    </r>
    <r>
      <rPr>
        <sz val="12"/>
        <rFont val="Times New Roman"/>
        <charset val="134"/>
      </rPr>
      <t>=1.5</t>
    </r>
    <r>
      <rPr>
        <sz val="12"/>
        <rFont val="宋体"/>
        <charset val="134"/>
      </rPr>
      <t>ρ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w</t>
    </r>
    <r>
      <rPr>
        <vertAlign val="subscript"/>
        <sz val="12"/>
        <rFont val="宋体"/>
        <charset val="134"/>
      </rPr>
      <t>2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/2</t>
    </r>
  </si>
  <si>
    <t>串联只有一个进出口，之间作为回湾阻力</t>
  </si>
  <si>
    <t>两台管程总阻力</t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</si>
  <si>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t</t>
    </r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</si>
  <si>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t</t>
    </r>
    <r>
      <rPr>
        <sz val="12"/>
        <rFont val="Times New Roman"/>
        <charset val="134"/>
      </rPr>
      <t>=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i</t>
    </r>
    <r>
      <rPr>
        <sz val="12"/>
        <rFont val="Times New Roman"/>
        <charset val="134"/>
      </rPr>
      <t>+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r</t>
    </r>
    <r>
      <rPr>
        <sz val="12"/>
        <rFont val="Times New Roman"/>
        <charset val="134"/>
      </rPr>
      <t>+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N</t>
    </r>
  </si>
  <si>
    <t>没超过表2.10的规定</t>
  </si>
  <si>
    <t>理想管束摩擦系数</t>
  </si>
  <si>
    <r>
      <rPr>
        <sz val="12"/>
        <rFont val="宋体"/>
        <charset val="134"/>
      </rPr>
      <t>f</t>
    </r>
    <r>
      <rPr>
        <vertAlign val="subscript"/>
        <sz val="12"/>
        <rFont val="宋体"/>
        <charset val="134"/>
      </rPr>
      <t>k</t>
    </r>
  </si>
  <si>
    <t>查P71页图2.36</t>
  </si>
  <si>
    <t>理想管束错流段阻力</t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</si>
  <si>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bk</t>
    </r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</si>
  <si>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bk</t>
    </r>
    <r>
      <rPr>
        <sz val="12"/>
        <rFont val="Times New Roman"/>
        <charset val="134"/>
      </rPr>
      <t>=4f</t>
    </r>
    <r>
      <rPr>
        <vertAlign val="subscript"/>
        <sz val="12"/>
        <rFont val="Times New Roman"/>
        <charset val="134"/>
      </rPr>
      <t>k</t>
    </r>
    <r>
      <rPr>
        <sz val="12"/>
        <rFont val="Times New Roman"/>
        <charset val="134"/>
      </rPr>
      <t>M</t>
    </r>
    <r>
      <rPr>
        <vertAlign val="subscript"/>
        <sz val="12"/>
        <rFont val="Times New Roman"/>
        <charset val="134"/>
      </rPr>
      <t>1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N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μ</t>
    </r>
    <r>
      <rPr>
        <vertAlign val="subscript"/>
        <sz val="12"/>
        <rFont val="宋体"/>
        <charset val="134"/>
      </rPr>
      <t>1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μ</t>
    </r>
    <r>
      <rPr>
        <vertAlign val="subscript"/>
        <sz val="12"/>
        <rFont val="Times New Roman"/>
        <charset val="134"/>
      </rPr>
      <t>w1</t>
    </r>
    <r>
      <rPr>
        <sz val="12"/>
        <rFont val="Times New Roman"/>
        <charset val="134"/>
      </rPr>
      <t>)</t>
    </r>
    <r>
      <rPr>
        <vertAlign val="superscript"/>
        <sz val="12"/>
        <rFont val="Times New Roman"/>
        <charset val="134"/>
      </rPr>
      <t>-0.14</t>
    </r>
    <r>
      <rPr>
        <sz val="12"/>
        <rFont val="Times New Roman"/>
        <charset val="134"/>
      </rPr>
      <t>/(2A</t>
    </r>
    <r>
      <rPr>
        <vertAlign val="subscript"/>
        <sz val="12"/>
        <rFont val="Times New Roman"/>
        <charset val="134"/>
      </rPr>
      <t>c</t>
    </r>
    <r>
      <rPr>
        <vertAlign val="superscript"/>
        <sz val="12"/>
        <rFont val="Times New Roman"/>
        <charset val="134"/>
      </rPr>
      <t>2</t>
    </r>
    <r>
      <rPr>
        <sz val="12"/>
        <rFont val="宋体"/>
        <charset val="134"/>
      </rPr>
      <t>ρ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)</t>
    </r>
  </si>
  <si>
    <t>理想管束缺口处阻力</t>
  </si>
  <si>
    <r>
      <rPr>
        <sz val="12"/>
        <rFont val="宋体"/>
        <charset val="134"/>
      </rPr>
      <t>ΔP</t>
    </r>
    <r>
      <rPr>
        <vertAlign val="subscript"/>
        <sz val="12"/>
        <rFont val="宋体"/>
        <charset val="134"/>
      </rPr>
      <t>wk</t>
    </r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</si>
  <si>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wk</t>
    </r>
    <r>
      <rPr>
        <sz val="12"/>
        <rFont val="Times New Roman"/>
        <charset val="134"/>
      </rPr>
      <t>=M</t>
    </r>
    <r>
      <rPr>
        <vertAlign val="subscript"/>
        <sz val="12"/>
        <rFont val="Times New Roman"/>
        <charset val="134"/>
      </rPr>
      <t>1</t>
    </r>
    <r>
      <rPr>
        <vertAlign val="superscript"/>
        <sz val="12"/>
        <rFont val="Times New Roman"/>
        <charset val="134"/>
      </rPr>
      <t>2</t>
    </r>
    <r>
      <rPr>
        <sz val="12"/>
        <rFont val="Times New Roman"/>
        <charset val="134"/>
      </rPr>
      <t>(2+0.6N</t>
    </r>
    <r>
      <rPr>
        <vertAlign val="subscript"/>
        <sz val="12"/>
        <rFont val="Times New Roman"/>
        <charset val="134"/>
      </rPr>
      <t>cw</t>
    </r>
    <r>
      <rPr>
        <sz val="12"/>
        <rFont val="Times New Roman"/>
        <charset val="134"/>
      </rPr>
      <t>)/(2A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A</t>
    </r>
    <r>
      <rPr>
        <vertAlign val="subscript"/>
        <sz val="12"/>
        <rFont val="Times New Roman"/>
        <charset val="134"/>
      </rPr>
      <t>c</t>
    </r>
    <r>
      <rPr>
        <sz val="12"/>
        <rFont val="宋体"/>
        <charset val="134"/>
      </rPr>
      <t>ρ</t>
    </r>
    <r>
      <rPr>
        <vertAlign val="subscript"/>
        <sz val="12"/>
        <rFont val="Times New Roman"/>
        <charset val="134"/>
      </rPr>
      <t>1</t>
    </r>
    <r>
      <rPr>
        <sz val="12"/>
        <rFont val="Times New Roman"/>
        <charset val="134"/>
      </rPr>
      <t>)</t>
    </r>
  </si>
  <si>
    <t>旁路校正系数</t>
  </si>
  <si>
    <r>
      <rPr>
        <sz val="12"/>
        <rFont val="Times New Roman"/>
        <charset val="134"/>
      </rPr>
      <t>R</t>
    </r>
    <r>
      <rPr>
        <vertAlign val="subscript"/>
        <sz val="12"/>
        <rFont val="Times New Roman"/>
        <charset val="134"/>
      </rPr>
      <t>b</t>
    </r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</si>
  <si>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72页</t>
    </r>
    <r>
      <rPr>
        <sz val="12"/>
        <rFont val="宋体"/>
        <charset val="134"/>
      </rPr>
      <t>查图2.38</t>
    </r>
  </si>
  <si>
    <t>折流板泄露校正系数</t>
  </si>
  <si>
    <r>
      <rPr>
        <sz val="12"/>
        <rFont val="Times New Roman"/>
        <charset val="134"/>
      </rPr>
      <t>R</t>
    </r>
    <r>
      <rPr>
        <vertAlign val="subscript"/>
        <sz val="12"/>
        <rFont val="Times New Roman"/>
        <charset val="134"/>
      </rPr>
      <t>1</t>
    </r>
  </si>
  <si>
    <r>
      <rPr>
        <sz val="12"/>
        <rFont val="宋体"/>
        <charset val="134"/>
      </rPr>
      <t>P72页</t>
    </r>
    <r>
      <rPr>
        <sz val="12"/>
        <rFont val="宋体"/>
        <charset val="134"/>
      </rPr>
      <t>查图2.37</t>
    </r>
  </si>
  <si>
    <t>折流板间距不等的校正系数</t>
  </si>
  <si>
    <r>
      <rPr>
        <sz val="12"/>
        <rFont val="Times New Roman"/>
        <charset val="134"/>
      </rPr>
      <t>R</t>
    </r>
    <r>
      <rPr>
        <vertAlign val="subscript"/>
        <sz val="12"/>
        <rFont val="Times New Roman"/>
        <charset val="134"/>
      </rPr>
      <t>s</t>
    </r>
  </si>
  <si>
    <t>间距相等，不需校正</t>
  </si>
  <si>
    <t>壳程总阻力</t>
  </si>
  <si>
    <r>
      <rPr>
        <sz val="12"/>
        <rFont val="宋体"/>
        <charset val="134"/>
      </rPr>
      <t>ΔP'</t>
    </r>
    <r>
      <rPr>
        <vertAlign val="subscript"/>
        <sz val="12"/>
        <rFont val="宋体"/>
        <charset val="134"/>
      </rPr>
      <t>s</t>
    </r>
  </si>
  <si>
    <r>
      <rPr>
        <sz val="12"/>
        <rFont val="宋体"/>
        <charset val="134"/>
      </rPr>
      <t>Δ</t>
    </r>
    <r>
      <rPr>
        <sz val="12"/>
        <rFont val="Times New Roman"/>
        <charset val="134"/>
      </rPr>
      <t>P'</t>
    </r>
    <r>
      <rPr>
        <vertAlign val="subscript"/>
        <sz val="12"/>
        <rFont val="Times New Roman"/>
        <charset val="134"/>
      </rPr>
      <t>s</t>
    </r>
    <r>
      <rPr>
        <sz val="12"/>
        <rFont val="Times New Roman"/>
        <charset val="134"/>
      </rPr>
      <t>=[(N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-1)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bk</t>
    </r>
    <r>
      <rPr>
        <sz val="12"/>
        <rFont val="Times New Roman"/>
        <charset val="134"/>
      </rPr>
      <t>R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+N</t>
    </r>
    <r>
      <rPr>
        <vertAlign val="subscript"/>
        <sz val="12"/>
        <rFont val="Times New Roman"/>
        <charset val="134"/>
      </rPr>
      <t>b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wk</t>
    </r>
    <r>
      <rPr>
        <sz val="12"/>
        <rFont val="Times New Roman"/>
        <charset val="134"/>
      </rPr>
      <t>]R</t>
    </r>
    <r>
      <rPr>
        <vertAlign val="subscript"/>
        <sz val="12"/>
        <rFont val="Times New Roman"/>
        <charset val="134"/>
      </rPr>
      <t>l</t>
    </r>
    <r>
      <rPr>
        <sz val="12"/>
        <rFont val="Times New Roman"/>
        <charset val="134"/>
      </rPr>
      <t>+2</t>
    </r>
    <r>
      <rPr>
        <sz val="12"/>
        <rFont val="宋体"/>
        <charset val="134"/>
      </rPr>
      <t>Δ</t>
    </r>
    <r>
      <rPr>
        <sz val="12"/>
        <rFont val="Times New Roman"/>
        <charset val="134"/>
      </rPr>
      <t>P</t>
    </r>
    <r>
      <rPr>
        <vertAlign val="subscript"/>
        <sz val="12"/>
        <rFont val="Times New Roman"/>
        <charset val="134"/>
      </rPr>
      <t>bk</t>
    </r>
    <r>
      <rPr>
        <sz val="12"/>
        <rFont val="Times New Roman"/>
        <charset val="134"/>
      </rPr>
      <t>R</t>
    </r>
    <r>
      <rPr>
        <vertAlign val="subscript"/>
        <sz val="12"/>
        <rFont val="Times New Roman"/>
        <charset val="134"/>
      </rPr>
      <t>b</t>
    </r>
    <r>
      <rPr>
        <sz val="12"/>
        <rFont val="Times New Roman"/>
        <charset val="134"/>
      </rPr>
      <t>(1+N</t>
    </r>
    <r>
      <rPr>
        <vertAlign val="subscript"/>
        <sz val="12"/>
        <rFont val="Times New Roman"/>
        <charset val="134"/>
      </rPr>
      <t>cw</t>
    </r>
    <r>
      <rPr>
        <sz val="12"/>
        <rFont val="Times New Roman"/>
        <charset val="134"/>
      </rPr>
      <t>/N</t>
    </r>
    <r>
      <rPr>
        <vertAlign val="subscript"/>
        <sz val="12"/>
        <rFont val="Times New Roman"/>
        <charset val="134"/>
      </rPr>
      <t>c</t>
    </r>
    <r>
      <rPr>
        <sz val="12"/>
        <rFont val="Times New Roman"/>
        <charset val="134"/>
      </rPr>
      <t>)R</t>
    </r>
    <r>
      <rPr>
        <vertAlign val="subscript"/>
        <sz val="12"/>
        <rFont val="Times New Roman"/>
        <charset val="134"/>
      </rPr>
      <t>s</t>
    </r>
  </si>
  <si>
    <t>两台的壳程总阻力</t>
  </si>
  <si>
    <r>
      <rPr>
        <sz val="12"/>
        <rFont val="宋体"/>
        <charset val="134"/>
      </rPr>
      <t>ΔP</t>
    </r>
    <r>
      <rPr>
        <vertAlign val="subscript"/>
        <sz val="12"/>
        <rFont val="宋体"/>
        <charset val="134"/>
      </rPr>
      <t>s</t>
    </r>
  </si>
  <si>
    <t>2×ΔP's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</si>
</sst>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E+00"/>
    <numFmt numFmtId="177" formatCode="0.00_ "/>
    <numFmt numFmtId="178" formatCode="0.000_ "/>
    <numFmt numFmtId="179" formatCode="0.00000_ "/>
    <numFmt numFmtId="180" formatCode="0.0_ "/>
    <numFmt numFmtId="181" formatCode="0.000000_ "/>
    <numFmt numFmtId="182" formatCode="0.0000_ "/>
  </numFmts>
  <fonts count="34">
    <font>
      <sz val="12"/>
      <name val="宋体"/>
      <charset val="134"/>
    </font>
    <font>
      <sz val="12"/>
      <name val="Times New Roman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2"/>
      <color rgb="FF0070C0"/>
      <name val="宋体"/>
      <charset val="134"/>
    </font>
    <font>
      <sz val="12"/>
      <color rgb="FF0070C0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Times New Roman"/>
      <charset val="134"/>
    </font>
    <font>
      <vertAlign val="subscript"/>
      <sz val="12"/>
      <name val="宋体"/>
      <charset val="134"/>
    </font>
    <font>
      <vertAlign val="subscript"/>
      <sz val="12"/>
      <color rgb="FF0070C0"/>
      <name val="Times New Roman"/>
      <charset val="134"/>
    </font>
    <font>
      <vertAlign val="superscript"/>
      <sz val="12"/>
      <color rgb="FF0070C0"/>
      <name val="Times New Roman"/>
      <charset val="134"/>
    </font>
    <font>
      <vertAlign val="subscript"/>
      <sz val="12"/>
      <color rgb="FF0070C0"/>
      <name val="宋体"/>
      <charset val="134"/>
    </font>
    <font>
      <vertAlign val="superscript"/>
      <sz val="12"/>
      <name val="宋体"/>
      <charset val="134"/>
    </font>
    <font>
      <vertAlign val="superscript"/>
      <sz val="12"/>
      <color rgb="FF0070C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0" applyNumberFormat="0" applyAlignment="0" applyProtection="0">
      <alignment vertical="center"/>
    </xf>
    <xf numFmtId="0" fontId="16" fillId="4" borderId="11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0" xfId="0" applyFont="1"/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center" wrapText="1"/>
    </xf>
    <xf numFmtId="18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177" fontId="0" fillId="0" borderId="0" xfId="0" applyNumberFormat="1" applyFont="1" applyAlignment="1">
      <alignment horizontal="center" vertical="top"/>
    </xf>
    <xf numFmtId="182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top"/>
    </xf>
    <xf numFmtId="177" fontId="0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35"/>
  <sheetViews>
    <sheetView tabSelected="1" topLeftCell="A107" workbookViewId="0">
      <selection activeCell="F128" sqref="F128"/>
    </sheetView>
  </sheetViews>
  <sheetFormatPr defaultColWidth="9" defaultRowHeight="15.75"/>
  <cols>
    <col min="1" max="1" width="3.875" style="4" customWidth="1"/>
    <col min="2" max="2" width="4.5" style="5" customWidth="1"/>
    <col min="3" max="3" width="20.8333333333333" style="4" customWidth="1"/>
    <col min="4" max="4" width="7.14166666666667" style="4" customWidth="1"/>
    <col min="5" max="5" width="11.25" style="4" customWidth="1"/>
    <col min="6" max="6" width="22.4666666666667" style="4" customWidth="1"/>
    <col min="7" max="7" width="12.375" style="4" customWidth="1"/>
    <col min="8" max="8" width="15.625" style="4" customWidth="1"/>
    <col min="9" max="9" width="12.6916666666667"/>
  </cols>
  <sheetData>
    <row r="1" s="1" customFormat="1" ht="17.25" spans="1:8">
      <c r="A1" s="6" t="s">
        <v>0</v>
      </c>
      <c r="B1" s="6"/>
      <c r="C1" s="6"/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ht="18.75" customHeight="1" spans="1:8">
      <c r="A2" s="7" t="s">
        <v>6</v>
      </c>
      <c r="B2" s="5">
        <v>1</v>
      </c>
      <c r="C2" s="5" t="s">
        <v>7</v>
      </c>
      <c r="D2" s="8" t="s">
        <v>8</v>
      </c>
      <c r="E2" s="4" t="s">
        <v>9</v>
      </c>
      <c r="F2" s="5" t="s">
        <v>10</v>
      </c>
      <c r="G2" s="4">
        <v>140</v>
      </c>
      <c r="H2" s="5" t="s">
        <v>11</v>
      </c>
    </row>
    <row r="3" ht="19.15" spans="1:7">
      <c r="A3" s="9"/>
      <c r="B3" s="5">
        <v>2</v>
      </c>
      <c r="C3" s="5" t="s">
        <v>12</v>
      </c>
      <c r="D3" s="8" t="s">
        <v>13</v>
      </c>
      <c r="E3" s="4" t="s">
        <v>9</v>
      </c>
      <c r="F3" s="5" t="s">
        <v>10</v>
      </c>
      <c r="G3" s="4">
        <v>40</v>
      </c>
    </row>
    <row r="4" ht="19.15" spans="1:8">
      <c r="A4" s="9"/>
      <c r="B4" s="5">
        <v>3</v>
      </c>
      <c r="C4" s="4" t="s">
        <v>14</v>
      </c>
      <c r="D4" s="8" t="s">
        <v>15</v>
      </c>
      <c r="E4" s="4" t="s">
        <v>9</v>
      </c>
      <c r="F4" s="5" t="s">
        <v>10</v>
      </c>
      <c r="G4" s="4">
        <v>30</v>
      </c>
      <c r="H4" s="5" t="s">
        <v>16</v>
      </c>
    </row>
    <row r="5" ht="19.15" spans="1:7">
      <c r="A5" s="9"/>
      <c r="B5" s="5">
        <v>4</v>
      </c>
      <c r="C5" s="4" t="s">
        <v>17</v>
      </c>
      <c r="D5" s="8" t="s">
        <v>18</v>
      </c>
      <c r="E5" s="4" t="s">
        <v>9</v>
      </c>
      <c r="F5" s="5" t="s">
        <v>10</v>
      </c>
      <c r="G5" s="4">
        <v>40</v>
      </c>
    </row>
    <row r="6" ht="19.15" spans="1:10">
      <c r="A6" s="9"/>
      <c r="B6" s="5">
        <v>5</v>
      </c>
      <c r="C6" s="10" t="s">
        <v>19</v>
      </c>
      <c r="D6" s="8" t="s">
        <v>20</v>
      </c>
      <c r="E6" s="8" t="s">
        <v>21</v>
      </c>
      <c r="F6" s="5" t="s">
        <v>10</v>
      </c>
      <c r="G6" s="10">
        <v>0.1</v>
      </c>
      <c r="H6" s="10"/>
      <c r="I6" s="35"/>
      <c r="J6" s="35"/>
    </row>
    <row r="7" ht="19.15" spans="1:10">
      <c r="A7" s="9"/>
      <c r="B7" s="11">
        <v>6</v>
      </c>
      <c r="C7" s="12" t="s">
        <v>22</v>
      </c>
      <c r="D7" s="13" t="s">
        <v>23</v>
      </c>
      <c r="E7" s="13" t="s">
        <v>21</v>
      </c>
      <c r="F7" s="5" t="s">
        <v>10</v>
      </c>
      <c r="G7" s="12">
        <v>0.3</v>
      </c>
      <c r="H7" s="12"/>
      <c r="I7" s="3"/>
      <c r="J7" s="3"/>
    </row>
    <row r="8" s="2" customFormat="1" ht="19.9" spans="1:8">
      <c r="A8" s="14"/>
      <c r="B8" s="15">
        <v>7</v>
      </c>
      <c r="C8" s="16" t="s">
        <v>24</v>
      </c>
      <c r="D8" s="17" t="s">
        <v>25</v>
      </c>
      <c r="E8" s="17" t="s">
        <v>26</v>
      </c>
      <c r="F8" s="15" t="s">
        <v>10</v>
      </c>
      <c r="G8" s="16">
        <v>4.72</v>
      </c>
      <c r="H8" s="16"/>
    </row>
    <row r="9" ht="19.9" spans="1:7">
      <c r="A9" s="18" t="s">
        <v>27</v>
      </c>
      <c r="B9" s="5">
        <v>8</v>
      </c>
      <c r="C9" s="5" t="s">
        <v>28</v>
      </c>
      <c r="D9" s="8" t="s">
        <v>29</v>
      </c>
      <c r="E9" s="4" t="s">
        <v>9</v>
      </c>
      <c r="F9" s="8" t="s">
        <v>30</v>
      </c>
      <c r="G9" s="4">
        <f>($G$2+$G$3)/2</f>
        <v>90</v>
      </c>
    </row>
    <row r="10" ht="19.15" spans="1:7">
      <c r="A10" s="19"/>
      <c r="B10" s="5">
        <v>9</v>
      </c>
      <c r="C10" s="10" t="s">
        <v>31</v>
      </c>
      <c r="D10" s="8" t="s">
        <v>32</v>
      </c>
      <c r="E10" s="8" t="s">
        <v>33</v>
      </c>
      <c r="F10" s="5" t="s">
        <v>34</v>
      </c>
      <c r="G10" s="4">
        <v>2.33</v>
      </c>
    </row>
    <row r="11" ht="19.15" spans="1:7">
      <c r="A11" s="19"/>
      <c r="B11" s="5">
        <v>10</v>
      </c>
      <c r="C11" s="10" t="s">
        <v>35</v>
      </c>
      <c r="D11" s="4" t="s">
        <v>36</v>
      </c>
      <c r="E11" s="8" t="s">
        <v>37</v>
      </c>
      <c r="F11" s="5" t="s">
        <v>34</v>
      </c>
      <c r="G11" s="4">
        <v>744</v>
      </c>
    </row>
    <row r="12" ht="19.15" spans="1:7">
      <c r="A12" s="19"/>
      <c r="B12" s="5">
        <v>11</v>
      </c>
      <c r="C12" s="10" t="s">
        <v>38</v>
      </c>
      <c r="D12" s="4" t="s">
        <v>39</v>
      </c>
      <c r="E12" s="8" t="s">
        <v>40</v>
      </c>
      <c r="F12" s="5" t="s">
        <v>34</v>
      </c>
      <c r="G12" s="20">
        <v>0.0006045</v>
      </c>
    </row>
    <row r="13" ht="19.15" spans="1:7">
      <c r="A13" s="19"/>
      <c r="B13" s="5">
        <v>12</v>
      </c>
      <c r="C13" s="10" t="s">
        <v>41</v>
      </c>
      <c r="D13" s="5" t="s">
        <v>42</v>
      </c>
      <c r="E13" s="8" t="s">
        <v>43</v>
      </c>
      <c r="F13" s="5" t="s">
        <v>34</v>
      </c>
      <c r="G13" s="4">
        <v>0.1028</v>
      </c>
    </row>
    <row r="14" ht="19.15" spans="1:8">
      <c r="A14" s="19"/>
      <c r="B14" s="5">
        <v>13</v>
      </c>
      <c r="C14" s="5" t="s">
        <v>44</v>
      </c>
      <c r="D14" s="4" t="s">
        <v>45</v>
      </c>
      <c r="E14" s="5" t="s">
        <v>46</v>
      </c>
      <c r="F14" s="5" t="s">
        <v>47</v>
      </c>
      <c r="G14" s="21">
        <f>G12*G10/G13*1000</f>
        <v>13.7012159533074</v>
      </c>
      <c r="H14" s="22"/>
    </row>
    <row r="15" ht="19.15" spans="1:7">
      <c r="A15" s="19"/>
      <c r="B15" s="5">
        <v>14</v>
      </c>
      <c r="C15" s="4" t="s">
        <v>48</v>
      </c>
      <c r="D15" s="4" t="s">
        <v>49</v>
      </c>
      <c r="E15" s="4" t="s">
        <v>9</v>
      </c>
      <c r="F15" s="4" t="s">
        <v>50</v>
      </c>
      <c r="G15" s="4">
        <f>(G4+G5)/2</f>
        <v>35</v>
      </c>
    </row>
    <row r="16" ht="18.75" spans="1:7">
      <c r="A16" s="19"/>
      <c r="B16" s="5">
        <v>15</v>
      </c>
      <c r="C16" s="10" t="s">
        <v>51</v>
      </c>
      <c r="D16" s="4" t="s">
        <v>52</v>
      </c>
      <c r="E16" s="8" t="s">
        <v>33</v>
      </c>
      <c r="F16" s="5" t="s">
        <v>34</v>
      </c>
      <c r="G16" s="4">
        <v>4.187</v>
      </c>
    </row>
    <row r="17" ht="19.15" spans="1:7">
      <c r="A17" s="19"/>
      <c r="B17" s="5">
        <v>16</v>
      </c>
      <c r="C17" s="10" t="s">
        <v>53</v>
      </c>
      <c r="D17" s="4" t="s">
        <v>54</v>
      </c>
      <c r="E17" s="8" t="s">
        <v>37</v>
      </c>
      <c r="F17" s="5" t="s">
        <v>34</v>
      </c>
      <c r="G17" s="4">
        <v>1000</v>
      </c>
    </row>
    <row r="18" ht="19.15" spans="1:7">
      <c r="A18" s="19"/>
      <c r="B18" s="5">
        <v>17</v>
      </c>
      <c r="C18" s="10" t="s">
        <v>55</v>
      </c>
      <c r="D18" s="4" t="s">
        <v>56</v>
      </c>
      <c r="E18" s="8" t="s">
        <v>43</v>
      </c>
      <c r="F18" s="5" t="s">
        <v>34</v>
      </c>
      <c r="G18" s="4">
        <v>0.621</v>
      </c>
    </row>
    <row r="19" ht="19.15" spans="1:7">
      <c r="A19" s="19"/>
      <c r="B19" s="5">
        <v>18</v>
      </c>
      <c r="C19" s="10" t="s">
        <v>57</v>
      </c>
      <c r="D19" s="4" t="s">
        <v>58</v>
      </c>
      <c r="E19" s="8" t="s">
        <v>40</v>
      </c>
      <c r="F19" s="5" t="s">
        <v>34</v>
      </c>
      <c r="G19" s="20">
        <v>0.000725</v>
      </c>
    </row>
    <row r="20" s="2" customFormat="1" ht="19.9" spans="1:8">
      <c r="A20" s="23"/>
      <c r="B20" s="15">
        <v>19</v>
      </c>
      <c r="C20" s="16" t="s">
        <v>59</v>
      </c>
      <c r="D20" s="16" t="s">
        <v>60</v>
      </c>
      <c r="E20" s="15" t="s">
        <v>46</v>
      </c>
      <c r="F20" s="15" t="s">
        <v>61</v>
      </c>
      <c r="G20" s="24">
        <f>G19*G16/G18*1000</f>
        <v>4.88820450885668</v>
      </c>
      <c r="H20" s="16"/>
    </row>
    <row r="21" ht="19.9" spans="1:7">
      <c r="A21" s="18" t="s">
        <v>62</v>
      </c>
      <c r="B21" s="5">
        <v>20</v>
      </c>
      <c r="C21" s="10" t="s">
        <v>63</v>
      </c>
      <c r="D21" s="4" t="s">
        <v>64</v>
      </c>
      <c r="E21" s="5" t="s">
        <v>46</v>
      </c>
      <c r="F21" s="25" t="s">
        <v>65</v>
      </c>
      <c r="G21" s="4">
        <v>0.98</v>
      </c>
    </row>
    <row r="22" ht="19.15" spans="1:7">
      <c r="A22" s="19"/>
      <c r="B22" s="5">
        <v>21</v>
      </c>
      <c r="C22" s="4" t="s">
        <v>66</v>
      </c>
      <c r="D22" s="5" t="s">
        <v>67</v>
      </c>
      <c r="E22" s="8" t="s">
        <v>68</v>
      </c>
      <c r="F22" s="8" t="s">
        <v>69</v>
      </c>
      <c r="G22" s="21">
        <f>G8*G10*(G2-G3)*G21</f>
        <v>1077.7648</v>
      </c>
    </row>
    <row r="23" ht="19.15" spans="1:7">
      <c r="A23" s="19"/>
      <c r="B23" s="5">
        <v>22</v>
      </c>
      <c r="C23" s="4" t="s">
        <v>70</v>
      </c>
      <c r="D23" s="4" t="s">
        <v>71</v>
      </c>
      <c r="E23" s="8" t="s">
        <v>26</v>
      </c>
      <c r="F23" s="8" t="s">
        <v>72</v>
      </c>
      <c r="G23" s="21">
        <f>G22/G16/(G5-G4)</f>
        <v>25.7407403869119</v>
      </c>
    </row>
    <row r="24" ht="37.9" spans="1:7">
      <c r="A24" s="19"/>
      <c r="B24" s="5">
        <v>23</v>
      </c>
      <c r="C24" s="5" t="s">
        <v>73</v>
      </c>
      <c r="D24" s="5" t="s">
        <v>74</v>
      </c>
      <c r="E24" s="4" t="s">
        <v>9</v>
      </c>
      <c r="F24" s="26" t="s">
        <v>75</v>
      </c>
      <c r="G24" s="21">
        <f>((G2-G5)-(G3-G4))/LN((G2-G5)/(G3-G4))</f>
        <v>39.0865033712927</v>
      </c>
    </row>
    <row r="25" ht="19.15" spans="1:7">
      <c r="A25" s="19"/>
      <c r="B25" s="5">
        <v>24</v>
      </c>
      <c r="C25" s="4" t="s">
        <v>76</v>
      </c>
      <c r="D25" s="8" t="s">
        <v>77</v>
      </c>
      <c r="E25" s="5" t="s">
        <v>46</v>
      </c>
      <c r="F25" s="8" t="s">
        <v>78</v>
      </c>
      <c r="G25" s="27">
        <f>(G5-G4)/(G2-G4)</f>
        <v>0.0909090909090909</v>
      </c>
    </row>
    <row r="26" ht="19.15" spans="1:7">
      <c r="A26" s="19"/>
      <c r="D26" s="8" t="s">
        <v>79</v>
      </c>
      <c r="E26" s="5" t="s">
        <v>46</v>
      </c>
      <c r="F26" s="8" t="s">
        <v>80</v>
      </c>
      <c r="G26" s="4">
        <f>(G2-G3)/(G5-G4)</f>
        <v>10</v>
      </c>
    </row>
    <row r="27" spans="1:8">
      <c r="A27" s="19"/>
      <c r="B27" s="28">
        <v>25</v>
      </c>
      <c r="C27" s="10" t="s">
        <v>81</v>
      </c>
      <c r="D27" s="5" t="s">
        <v>82</v>
      </c>
      <c r="F27" s="25" t="s">
        <v>83</v>
      </c>
      <c r="G27" s="4">
        <v>0.972</v>
      </c>
      <c r="H27" s="10"/>
    </row>
    <row r="28" spans="1:8">
      <c r="A28" s="19"/>
      <c r="B28" s="28"/>
      <c r="C28" s="10" t="s">
        <v>84</v>
      </c>
      <c r="D28" s="5" t="s">
        <v>85</v>
      </c>
      <c r="E28" s="5"/>
      <c r="F28" s="25" t="s">
        <v>86</v>
      </c>
      <c r="G28" s="4">
        <v>2</v>
      </c>
      <c r="H28" s="10"/>
    </row>
    <row r="29" spans="1:8">
      <c r="A29" s="19"/>
      <c r="B29" s="28"/>
      <c r="C29" s="10" t="s">
        <v>87</v>
      </c>
      <c r="D29" s="5" t="s">
        <v>88</v>
      </c>
      <c r="E29" s="5"/>
      <c r="F29" s="25"/>
      <c r="G29" s="4">
        <v>1</v>
      </c>
      <c r="H29" s="10"/>
    </row>
    <row r="30" spans="1:8">
      <c r="A30" s="19"/>
      <c r="B30" s="28"/>
      <c r="C30" s="10" t="s">
        <v>89</v>
      </c>
      <c r="D30" s="5" t="s">
        <v>90</v>
      </c>
      <c r="E30" s="5"/>
      <c r="F30" s="25"/>
      <c r="G30" s="4">
        <v>2</v>
      </c>
      <c r="H30" s="10"/>
    </row>
    <row r="31" ht="18.75" spans="1:8">
      <c r="A31" s="19"/>
      <c r="B31" s="28"/>
      <c r="C31" s="10" t="s">
        <v>91</v>
      </c>
      <c r="D31" s="5" t="s">
        <v>92</v>
      </c>
      <c r="E31" s="5"/>
      <c r="F31" s="5" t="s">
        <v>93</v>
      </c>
      <c r="G31" s="5">
        <f>G28*G29</f>
        <v>2</v>
      </c>
      <c r="H31" s="10"/>
    </row>
    <row r="32" ht="18.75" spans="1:8">
      <c r="A32" s="19"/>
      <c r="B32" s="28"/>
      <c r="C32" s="10" t="s">
        <v>94</v>
      </c>
      <c r="D32" s="5" t="s">
        <v>95</v>
      </c>
      <c r="E32" s="5"/>
      <c r="F32" s="5" t="s">
        <v>96</v>
      </c>
      <c r="G32" s="5">
        <f>G28*G30</f>
        <v>4</v>
      </c>
      <c r="H32" s="10"/>
    </row>
    <row r="33" s="2" customFormat="1" ht="19.9" spans="1:8">
      <c r="A33" s="23"/>
      <c r="B33" s="15">
        <v>26</v>
      </c>
      <c r="C33" s="16" t="s">
        <v>97</v>
      </c>
      <c r="D33" s="16" t="s">
        <v>98</v>
      </c>
      <c r="E33" s="16" t="s">
        <v>9</v>
      </c>
      <c r="F33" s="15" t="s">
        <v>99</v>
      </c>
      <c r="G33" s="24">
        <f>G27*G24</f>
        <v>37.9920812768965</v>
      </c>
      <c r="H33" s="16"/>
    </row>
    <row r="34" ht="18" spans="1:7">
      <c r="A34" s="18" t="s">
        <v>100</v>
      </c>
      <c r="B34" s="5">
        <v>27</v>
      </c>
      <c r="C34" s="10" t="s">
        <v>101</v>
      </c>
      <c r="D34" s="5" t="s">
        <v>102</v>
      </c>
      <c r="E34" s="8" t="s">
        <v>43</v>
      </c>
      <c r="F34" s="25" t="s">
        <v>103</v>
      </c>
      <c r="G34" s="4">
        <v>230</v>
      </c>
    </row>
    <row r="35" ht="34.9" spans="1:8">
      <c r="A35" s="19"/>
      <c r="B35" s="28">
        <v>28</v>
      </c>
      <c r="C35" s="4" t="s">
        <v>104</v>
      </c>
      <c r="D35" s="5" t="s">
        <v>105</v>
      </c>
      <c r="E35" s="8" t="s">
        <v>106</v>
      </c>
      <c r="F35" s="29" t="s">
        <v>107</v>
      </c>
      <c r="G35" s="4">
        <f>G22/G34/G33*1000</f>
        <v>123.33975279983</v>
      </c>
      <c r="H35" s="5"/>
    </row>
    <row r="36" spans="1:7">
      <c r="A36" s="19"/>
      <c r="B36" s="28">
        <v>29</v>
      </c>
      <c r="C36" s="10" t="s">
        <v>108</v>
      </c>
      <c r="F36" s="25" t="s">
        <v>109</v>
      </c>
      <c r="G36" s="5" t="s">
        <v>110</v>
      </c>
    </row>
    <row r="37" ht="18.75" spans="1:8">
      <c r="A37" s="19"/>
      <c r="B37" s="28"/>
      <c r="C37" s="10" t="s">
        <v>111</v>
      </c>
      <c r="D37" s="5" t="s">
        <v>112</v>
      </c>
      <c r="E37" s="5" t="s">
        <v>113</v>
      </c>
      <c r="F37" s="5"/>
      <c r="G37" s="5">
        <v>25</v>
      </c>
      <c r="H37" s="5"/>
    </row>
    <row r="38" spans="1:8">
      <c r="A38" s="19"/>
      <c r="B38" s="28"/>
      <c r="C38" s="10" t="s">
        <v>114</v>
      </c>
      <c r="D38" s="5" t="s">
        <v>115</v>
      </c>
      <c r="E38" s="5" t="s">
        <v>113</v>
      </c>
      <c r="F38" s="5"/>
      <c r="G38" s="5">
        <v>2.5</v>
      </c>
      <c r="H38" s="5"/>
    </row>
    <row r="39" ht="18.75" spans="1:8">
      <c r="A39" s="19"/>
      <c r="B39" s="28"/>
      <c r="C39" s="10" t="s">
        <v>116</v>
      </c>
      <c r="D39" s="5" t="s">
        <v>117</v>
      </c>
      <c r="E39" s="5" t="s">
        <v>113</v>
      </c>
      <c r="F39" s="5" t="s">
        <v>118</v>
      </c>
      <c r="G39" s="5">
        <f>G37-2*G38</f>
        <v>20</v>
      </c>
      <c r="H39" s="5"/>
    </row>
    <row r="40" ht="18.75" spans="1:7">
      <c r="A40" s="19"/>
      <c r="B40" s="5">
        <v>30</v>
      </c>
      <c r="C40" s="5" t="s">
        <v>119</v>
      </c>
      <c r="D40" s="5" t="s">
        <v>120</v>
      </c>
      <c r="E40" s="8" t="s">
        <v>121</v>
      </c>
      <c r="F40" s="25" t="s">
        <v>122</v>
      </c>
      <c r="G40" s="4">
        <v>1.4</v>
      </c>
    </row>
    <row r="41" ht="19.15" spans="1:8">
      <c r="A41" s="19"/>
      <c r="B41" s="5">
        <v>31</v>
      </c>
      <c r="C41" s="4" t="s">
        <v>123</v>
      </c>
      <c r="D41" s="8" t="s">
        <v>124</v>
      </c>
      <c r="E41" s="8" t="s">
        <v>106</v>
      </c>
      <c r="F41" s="8" t="s">
        <v>125</v>
      </c>
      <c r="G41" s="30">
        <f>G23/(G17*G40)</f>
        <v>0.0183862431335085</v>
      </c>
      <c r="H41" s="5"/>
    </row>
    <row r="42" ht="17.25" spans="1:8">
      <c r="A42" s="19"/>
      <c r="B42" s="5">
        <v>32</v>
      </c>
      <c r="C42" s="4" t="s">
        <v>126</v>
      </c>
      <c r="D42" s="8" t="s">
        <v>127</v>
      </c>
      <c r="E42" s="5" t="s">
        <v>128</v>
      </c>
      <c r="F42" s="25" t="s">
        <v>129</v>
      </c>
      <c r="G42" s="4">
        <f>4*G41/3.14/((G39/1000)^2)</f>
        <v>58.5549144379252</v>
      </c>
      <c r="H42" s="25">
        <f>ROUND(G42,0)</f>
        <v>59</v>
      </c>
    </row>
    <row r="43" ht="19.15" spans="1:8">
      <c r="A43" s="19"/>
      <c r="B43" s="5">
        <v>33</v>
      </c>
      <c r="C43" s="4" t="s">
        <v>130</v>
      </c>
      <c r="D43" s="8" t="s">
        <v>131</v>
      </c>
      <c r="E43" s="5" t="s">
        <v>132</v>
      </c>
      <c r="F43" s="25" t="s">
        <v>133</v>
      </c>
      <c r="G43" s="21">
        <f>G35/(H42*G32*3.14*G37*0.001)</f>
        <v>6.65765695777988</v>
      </c>
      <c r="H43" s="31">
        <v>6</v>
      </c>
    </row>
    <row r="44" spans="1:7">
      <c r="A44" s="19"/>
      <c r="B44" s="5">
        <v>34</v>
      </c>
      <c r="C44" s="4" t="s">
        <v>134</v>
      </c>
      <c r="F44" s="25" t="s">
        <v>135</v>
      </c>
      <c r="G44" s="4" t="s">
        <v>136</v>
      </c>
    </row>
    <row r="45" spans="1:7">
      <c r="A45" s="19"/>
      <c r="B45" s="5">
        <v>35</v>
      </c>
      <c r="C45" s="4" t="s">
        <v>137</v>
      </c>
      <c r="D45" s="8" t="s">
        <v>138</v>
      </c>
      <c r="E45" s="8" t="s">
        <v>113</v>
      </c>
      <c r="F45" s="25" t="s">
        <v>139</v>
      </c>
      <c r="G45" s="4">
        <v>32</v>
      </c>
    </row>
    <row r="46" ht="19.15" spans="1:7">
      <c r="A46" s="19"/>
      <c r="B46" s="5">
        <v>36</v>
      </c>
      <c r="C46" s="4" t="s">
        <v>140</v>
      </c>
      <c r="D46" s="8" t="s">
        <v>141</v>
      </c>
      <c r="E46" s="8" t="s">
        <v>113</v>
      </c>
      <c r="F46" s="25" t="s">
        <v>139</v>
      </c>
      <c r="G46" s="4">
        <v>44</v>
      </c>
    </row>
    <row r="47" ht="19.15" spans="1:7">
      <c r="A47" s="19"/>
      <c r="B47" s="5">
        <v>37</v>
      </c>
      <c r="C47" s="4" t="s">
        <v>142</v>
      </c>
      <c r="D47" s="8" t="s">
        <v>143</v>
      </c>
      <c r="E47" s="8" t="s">
        <v>113</v>
      </c>
      <c r="F47" s="8" t="s">
        <v>144</v>
      </c>
      <c r="G47" s="21">
        <f>G45*(3^(1/2))/2</f>
        <v>27.712812921102</v>
      </c>
    </row>
    <row r="48" ht="19.15" spans="1:7">
      <c r="A48" s="19"/>
      <c r="B48" s="5">
        <v>38</v>
      </c>
      <c r="C48" s="4" t="s">
        <v>145</v>
      </c>
      <c r="D48" s="8" t="s">
        <v>146</v>
      </c>
      <c r="E48" s="8" t="s">
        <v>113</v>
      </c>
      <c r="F48" s="8" t="s">
        <v>147</v>
      </c>
      <c r="G48" s="4">
        <f>G45/2</f>
        <v>16</v>
      </c>
    </row>
    <row r="49" spans="1:7">
      <c r="A49" s="19"/>
      <c r="B49" s="5">
        <v>39</v>
      </c>
      <c r="C49" s="4" t="s">
        <v>148</v>
      </c>
      <c r="E49" s="8" t="s">
        <v>113</v>
      </c>
      <c r="F49" s="25" t="s">
        <v>149</v>
      </c>
      <c r="G49" s="4">
        <v>16</v>
      </c>
    </row>
    <row r="50" spans="1:8">
      <c r="A50" s="19"/>
      <c r="B50" s="5">
        <v>40</v>
      </c>
      <c r="C50" s="4" t="s">
        <v>150</v>
      </c>
      <c r="F50" s="25" t="s">
        <v>151</v>
      </c>
      <c r="G50" s="4" t="s">
        <v>152</v>
      </c>
      <c r="H50" s="5"/>
    </row>
    <row r="51" spans="1:3">
      <c r="A51" s="19"/>
      <c r="B51" s="28">
        <v>41</v>
      </c>
      <c r="C51" s="4" t="s">
        <v>153</v>
      </c>
    </row>
    <row r="52" spans="1:7">
      <c r="A52" s="19"/>
      <c r="B52" s="28"/>
      <c r="C52" s="5" t="s">
        <v>154</v>
      </c>
      <c r="D52" s="8" t="s">
        <v>155</v>
      </c>
      <c r="E52" s="10"/>
      <c r="F52" s="25" t="s">
        <v>156</v>
      </c>
      <c r="G52" s="4">
        <v>6</v>
      </c>
    </row>
    <row r="53" ht="19.15" spans="1:8">
      <c r="A53" s="19"/>
      <c r="B53" s="28"/>
      <c r="C53" s="4" t="s">
        <v>157</v>
      </c>
      <c r="D53" s="8" t="s">
        <v>158</v>
      </c>
      <c r="E53" s="4" t="s">
        <v>128</v>
      </c>
      <c r="F53" s="5" t="s">
        <v>159</v>
      </c>
      <c r="G53" s="4">
        <f>G30*H42</f>
        <v>118</v>
      </c>
      <c r="H53" s="25">
        <f>ROUND(G53,0)</f>
        <v>118</v>
      </c>
    </row>
    <row r="54" ht="157.5" spans="1:8">
      <c r="A54" s="19"/>
      <c r="B54" s="28"/>
      <c r="C54" s="4" t="s">
        <v>160</v>
      </c>
      <c r="D54" s="5" t="s">
        <v>161</v>
      </c>
      <c r="E54" s="4" t="s">
        <v>128</v>
      </c>
      <c r="F54" s="32" t="s">
        <v>162</v>
      </c>
      <c r="G54" s="4">
        <v>4</v>
      </c>
      <c r="H54" s="32"/>
    </row>
    <row r="55" ht="19.15" spans="1:7">
      <c r="A55" s="19"/>
      <c r="B55" s="28"/>
      <c r="C55" s="4" t="s">
        <v>163</v>
      </c>
      <c r="E55" s="8" t="s">
        <v>106</v>
      </c>
      <c r="F55" s="8" t="s">
        <v>164</v>
      </c>
      <c r="G55" s="4">
        <f>H53*3.14*G37*0.001*H43</f>
        <v>55.578</v>
      </c>
    </row>
    <row r="56" ht="17.25" spans="1:7">
      <c r="A56" s="19"/>
      <c r="B56" s="28"/>
      <c r="C56" s="4" t="s">
        <v>165</v>
      </c>
      <c r="D56" s="8" t="s">
        <v>166</v>
      </c>
      <c r="E56" s="8" t="s">
        <v>106</v>
      </c>
      <c r="F56" s="25" t="s">
        <v>167</v>
      </c>
      <c r="G56" s="5">
        <f>2*G55</f>
        <v>111.156</v>
      </c>
    </row>
    <row r="57" spans="1:7">
      <c r="A57" s="19"/>
      <c r="B57" s="28"/>
      <c r="C57" s="5" t="s">
        <v>168</v>
      </c>
      <c r="D57" s="5" t="s">
        <v>161</v>
      </c>
      <c r="E57" s="8" t="s">
        <v>132</v>
      </c>
      <c r="F57" s="25" t="s">
        <v>169</v>
      </c>
      <c r="G57" s="33">
        <v>0.212</v>
      </c>
    </row>
    <row r="58" ht="19.15" spans="1:7">
      <c r="A58" s="19"/>
      <c r="B58" s="5">
        <v>42</v>
      </c>
      <c r="C58" s="5" t="s">
        <v>170</v>
      </c>
      <c r="D58" s="8" t="s">
        <v>171</v>
      </c>
      <c r="E58" s="8" t="s">
        <v>132</v>
      </c>
      <c r="F58" s="5" t="s">
        <v>172</v>
      </c>
      <c r="G58" s="4">
        <f>2*G57+G37*0.001</f>
        <v>0.449</v>
      </c>
    </row>
    <row r="59" ht="50.65" spans="1:8">
      <c r="A59" s="19"/>
      <c r="B59" s="28">
        <v>43</v>
      </c>
      <c r="C59" s="4" t="s">
        <v>173</v>
      </c>
      <c r="D59" s="8" t="s">
        <v>174</v>
      </c>
      <c r="E59" s="8" t="s">
        <v>132</v>
      </c>
      <c r="F59" s="29" t="s">
        <v>175</v>
      </c>
      <c r="G59" s="4">
        <f>G58+2*G60*0.001</f>
        <v>0.465</v>
      </c>
      <c r="H59" s="25">
        <v>0.5</v>
      </c>
    </row>
    <row r="60" ht="51.75" customHeight="1" spans="1:7">
      <c r="A60" s="19"/>
      <c r="B60" s="28"/>
      <c r="D60" s="8" t="s">
        <v>176</v>
      </c>
      <c r="E60" s="8" t="s">
        <v>113</v>
      </c>
      <c r="F60" s="29" t="s">
        <v>177</v>
      </c>
      <c r="G60" s="4">
        <v>8</v>
      </c>
    </row>
    <row r="61" s="2" customFormat="1" ht="19.5" spans="1:8">
      <c r="A61" s="23"/>
      <c r="B61" s="15">
        <v>44</v>
      </c>
      <c r="C61" s="16" t="s">
        <v>178</v>
      </c>
      <c r="D61" s="16"/>
      <c r="E61" s="16"/>
      <c r="F61" s="15" t="s">
        <v>179</v>
      </c>
      <c r="G61" s="16">
        <f>H43/H59</f>
        <v>12</v>
      </c>
      <c r="H61" s="16"/>
    </row>
    <row r="62" ht="19.9" spans="1:7">
      <c r="A62" s="18" t="s">
        <v>180</v>
      </c>
      <c r="B62" s="34">
        <v>45</v>
      </c>
      <c r="C62" s="4" t="s">
        <v>181</v>
      </c>
      <c r="D62" s="8" t="s">
        <v>182</v>
      </c>
      <c r="E62" s="8" t="s">
        <v>113</v>
      </c>
      <c r="F62" s="8" t="s">
        <v>183</v>
      </c>
      <c r="G62" s="21">
        <f>1.13*(G23/G17/G40)^0.5*1000</f>
        <v>153.22334631895</v>
      </c>
    </row>
    <row r="63" spans="1:7">
      <c r="A63" s="19"/>
      <c r="F63" s="25" t="s">
        <v>184</v>
      </c>
      <c r="G63" s="5" t="s">
        <v>185</v>
      </c>
    </row>
    <row r="64" ht="19.15" spans="1:7">
      <c r="A64" s="19"/>
      <c r="B64" s="5">
        <v>46</v>
      </c>
      <c r="C64" s="4" t="s">
        <v>186</v>
      </c>
      <c r="D64" s="8" t="s">
        <v>187</v>
      </c>
      <c r="E64" s="8"/>
      <c r="F64" s="8" t="s">
        <v>188</v>
      </c>
      <c r="G64" s="21">
        <f>G40*G17*G39*0.001/G19</f>
        <v>38620.6896551724</v>
      </c>
    </row>
    <row r="65" s="2" customFormat="1" ht="19.5" spans="1:8">
      <c r="A65" s="23"/>
      <c r="B65" s="15">
        <v>47</v>
      </c>
      <c r="C65" s="16" t="s">
        <v>189</v>
      </c>
      <c r="D65" s="15" t="s">
        <v>190</v>
      </c>
      <c r="E65" s="17" t="s">
        <v>43</v>
      </c>
      <c r="F65" s="15" t="s">
        <v>191</v>
      </c>
      <c r="G65" s="24">
        <f>G18/G39*1000*0.023*(G64^0.8)*(G20^0.4)</f>
        <v>6293.68796577477</v>
      </c>
      <c r="H65" s="16"/>
    </row>
    <row r="66" ht="16.5" spans="1:7">
      <c r="A66" s="36" t="s">
        <v>192</v>
      </c>
      <c r="B66" s="5">
        <v>48</v>
      </c>
      <c r="C66" s="5" t="s">
        <v>193</v>
      </c>
      <c r="F66" s="5" t="s">
        <v>194</v>
      </c>
      <c r="G66" s="5" t="s">
        <v>195</v>
      </c>
    </row>
    <row r="67" ht="19.15" spans="1:7">
      <c r="A67" s="19"/>
      <c r="B67" s="5">
        <v>49</v>
      </c>
      <c r="C67" s="5" t="s">
        <v>196</v>
      </c>
      <c r="D67" s="8" t="s">
        <v>197</v>
      </c>
      <c r="E67" s="8" t="s">
        <v>132</v>
      </c>
      <c r="F67" s="8" t="s">
        <v>198</v>
      </c>
      <c r="G67" s="5">
        <f>0.25*H59</f>
        <v>0.125</v>
      </c>
    </row>
    <row r="68" spans="1:7">
      <c r="A68" s="19"/>
      <c r="B68" s="5">
        <v>50</v>
      </c>
      <c r="C68" s="5" t="s">
        <v>199</v>
      </c>
      <c r="E68" s="5" t="s">
        <v>200</v>
      </c>
      <c r="F68" s="25" t="s">
        <v>201</v>
      </c>
      <c r="G68" s="4">
        <v>122</v>
      </c>
    </row>
    <row r="69" ht="100.5" spans="1:8">
      <c r="A69" s="19"/>
      <c r="B69" s="28">
        <v>51</v>
      </c>
      <c r="C69" s="5" t="s">
        <v>202</v>
      </c>
      <c r="D69" s="8" t="s">
        <v>203</v>
      </c>
      <c r="E69" s="5" t="s">
        <v>132</v>
      </c>
      <c r="F69" s="32" t="s">
        <v>204</v>
      </c>
      <c r="G69" s="5">
        <f>0.2*H59</f>
        <v>0.1</v>
      </c>
      <c r="H69" s="25">
        <v>0.25</v>
      </c>
    </row>
    <row r="70" ht="19.15" spans="1:7">
      <c r="A70" s="19"/>
      <c r="B70" s="5">
        <v>52</v>
      </c>
      <c r="C70" s="5" t="s">
        <v>205</v>
      </c>
      <c r="D70" s="8" t="s">
        <v>206</v>
      </c>
      <c r="E70" s="5" t="s">
        <v>207</v>
      </c>
      <c r="F70" s="5" t="s">
        <v>208</v>
      </c>
      <c r="G70" s="37">
        <f>H43/H69-1</f>
        <v>23</v>
      </c>
    </row>
    <row r="71" spans="1:7">
      <c r="A71" s="19"/>
      <c r="B71" s="5">
        <v>53</v>
      </c>
      <c r="C71" s="4" t="s">
        <v>209</v>
      </c>
      <c r="E71" s="5" t="s">
        <v>210</v>
      </c>
      <c r="F71" s="5" t="s">
        <v>211</v>
      </c>
      <c r="G71" s="33">
        <v>103</v>
      </c>
    </row>
    <row r="72" ht="47.25" spans="1:7">
      <c r="A72" s="19"/>
      <c r="B72" s="5">
        <v>54</v>
      </c>
      <c r="C72" s="4" t="s">
        <v>212</v>
      </c>
      <c r="D72" s="8" t="s">
        <v>213</v>
      </c>
      <c r="E72" s="5" t="s">
        <v>132</v>
      </c>
      <c r="F72" s="32" t="s">
        <v>214</v>
      </c>
      <c r="G72" s="33">
        <v>0.0254</v>
      </c>
    </row>
    <row r="73" spans="1:7">
      <c r="A73" s="19"/>
      <c r="B73" s="5">
        <v>55</v>
      </c>
      <c r="C73" s="4" t="s">
        <v>215</v>
      </c>
      <c r="E73" s="5" t="s">
        <v>128</v>
      </c>
      <c r="F73" s="25" t="s">
        <v>216</v>
      </c>
      <c r="G73" s="37">
        <v>99</v>
      </c>
    </row>
    <row r="74" spans="1:7">
      <c r="A74" s="19"/>
      <c r="B74" s="5">
        <v>56</v>
      </c>
      <c r="C74" s="4" t="s">
        <v>217</v>
      </c>
      <c r="E74" s="5" t="s">
        <v>128</v>
      </c>
      <c r="F74" s="25" t="s">
        <v>211</v>
      </c>
      <c r="G74" s="33">
        <v>19</v>
      </c>
    </row>
    <row r="75" ht="47.25" spans="1:7">
      <c r="A75" s="19"/>
      <c r="B75" s="28">
        <v>57</v>
      </c>
      <c r="C75" s="38" t="s">
        <v>218</v>
      </c>
      <c r="D75" s="39" t="s">
        <v>219</v>
      </c>
      <c r="E75" s="28" t="s">
        <v>132</v>
      </c>
      <c r="F75" s="40" t="s">
        <v>220</v>
      </c>
      <c r="G75" s="38">
        <v>0.4955</v>
      </c>
    </row>
    <row r="76" ht="37.9" spans="1:7">
      <c r="A76" s="19"/>
      <c r="B76" s="28">
        <v>58</v>
      </c>
      <c r="C76" s="4" t="s">
        <v>221</v>
      </c>
      <c r="D76" s="8" t="s">
        <v>222</v>
      </c>
      <c r="E76" s="8" t="s">
        <v>106</v>
      </c>
      <c r="F76" s="41" t="s">
        <v>223</v>
      </c>
      <c r="G76" s="42">
        <f>(H59^2)*(0.5*3.14*120/180-(1-2*G67/H59)*G77)/4</f>
        <v>0.0383533727984029</v>
      </c>
    </row>
    <row r="77" spans="1:7">
      <c r="A77" s="19"/>
      <c r="B77" s="28"/>
      <c r="D77" s="8"/>
      <c r="E77" s="8"/>
      <c r="F77" s="29" t="s">
        <v>224</v>
      </c>
      <c r="G77" s="5">
        <f>(3^0.5)/2</f>
        <v>0.866025403784439</v>
      </c>
    </row>
    <row r="78" ht="75.4" spans="1:8">
      <c r="A78" s="19"/>
      <c r="B78" s="28">
        <v>59</v>
      </c>
      <c r="C78" s="43" t="s">
        <v>225</v>
      </c>
      <c r="D78" s="39" t="s">
        <v>226</v>
      </c>
      <c r="E78" s="38"/>
      <c r="F78" s="44" t="s">
        <v>227</v>
      </c>
      <c r="G78" s="45">
        <f>(PI()+2*(G79)*SIN(ACOS(G79)-2*ACOS(G79)))/PI()</f>
        <v>0.705562870081408</v>
      </c>
      <c r="H78" s="46"/>
    </row>
    <row r="79" ht="19.15" spans="1:7">
      <c r="A79" s="19"/>
      <c r="B79" s="28"/>
      <c r="C79" s="47"/>
      <c r="D79" s="8"/>
      <c r="F79" s="41" t="s">
        <v>228</v>
      </c>
      <c r="G79" s="4">
        <f>(H59-2*G67)/G58</f>
        <v>0.556792873051225</v>
      </c>
    </row>
    <row r="80" ht="37.9" spans="1:8">
      <c r="A80" s="19"/>
      <c r="B80" s="28"/>
      <c r="C80" s="47"/>
      <c r="D80" s="8"/>
      <c r="F80" s="41" t="s">
        <v>229</v>
      </c>
      <c r="G80" s="5">
        <f>ACOS(G79)</f>
        <v>0.980276523959708</v>
      </c>
      <c r="H80" s="10"/>
    </row>
    <row r="81" ht="19.15" spans="1:7">
      <c r="A81" s="19"/>
      <c r="B81" s="5">
        <v>60</v>
      </c>
      <c r="C81" s="4" t="s">
        <v>230</v>
      </c>
      <c r="D81" s="8" t="s">
        <v>231</v>
      </c>
      <c r="E81" s="8" t="s">
        <v>106</v>
      </c>
      <c r="F81" s="8" t="s">
        <v>232</v>
      </c>
      <c r="G81" s="30">
        <f>3.14*((G37*0.001)^2)*(H53+G54)*(1-G78)/8</f>
        <v>0.00881195122884485</v>
      </c>
    </row>
    <row r="82" ht="19.15" spans="1:7">
      <c r="A82" s="19"/>
      <c r="B82" s="5">
        <v>61</v>
      </c>
      <c r="C82" s="4" t="s">
        <v>233</v>
      </c>
      <c r="D82" s="8" t="s">
        <v>234</v>
      </c>
      <c r="E82" s="8" t="s">
        <v>106</v>
      </c>
      <c r="F82" s="8" t="s">
        <v>235</v>
      </c>
      <c r="G82" s="42">
        <f>G76-G81</f>
        <v>0.0295414215695581</v>
      </c>
    </row>
    <row r="83" ht="19.15" spans="1:7">
      <c r="A83" s="19"/>
      <c r="B83" s="5">
        <v>62</v>
      </c>
      <c r="C83" s="4" t="s">
        <v>236</v>
      </c>
      <c r="D83" s="8" t="s">
        <v>237</v>
      </c>
      <c r="E83" s="8" t="s">
        <v>106</v>
      </c>
      <c r="F83" s="8" t="s">
        <v>238</v>
      </c>
      <c r="G83" s="4">
        <f>H69*(H59-G58+(G58-G37*0.001)*(G45*0.001-G37*0.001)/(G45*0.001))</f>
        <v>0.0359375</v>
      </c>
    </row>
    <row r="84" ht="19.15" spans="1:7">
      <c r="A84" s="19"/>
      <c r="B84" s="5">
        <v>63</v>
      </c>
      <c r="C84" s="4" t="s">
        <v>239</v>
      </c>
      <c r="D84" s="8" t="s">
        <v>240</v>
      </c>
      <c r="E84" s="8" t="s">
        <v>106</v>
      </c>
      <c r="F84" s="8" t="s">
        <v>241</v>
      </c>
      <c r="G84" s="48">
        <f>(G82*G83)^0.5</f>
        <v>0.032582891793946</v>
      </c>
    </row>
    <row r="85" ht="34.5" spans="1:7">
      <c r="A85" s="19"/>
      <c r="B85" s="28">
        <v>64</v>
      </c>
      <c r="C85" s="38" t="s">
        <v>242</v>
      </c>
      <c r="D85" s="39" t="s">
        <v>243</v>
      </c>
      <c r="E85" s="39" t="s">
        <v>113</v>
      </c>
      <c r="F85" s="49" t="s">
        <v>244</v>
      </c>
      <c r="G85" s="28" t="s">
        <v>245</v>
      </c>
    </row>
    <row r="86" ht="18.75" spans="1:7">
      <c r="A86" s="19"/>
      <c r="B86" s="28"/>
      <c r="C86" s="38"/>
      <c r="D86" s="39"/>
      <c r="E86" s="39"/>
      <c r="F86" s="40" t="s">
        <v>246</v>
      </c>
      <c r="G86" s="50">
        <f>((4*G84/3.14)^0.5)*1000</f>
        <v>203.732345314434</v>
      </c>
    </row>
    <row r="87" ht="19.15" spans="1:7">
      <c r="A87" s="19"/>
      <c r="B87" s="5">
        <v>65</v>
      </c>
      <c r="C87" s="4" t="s">
        <v>247</v>
      </c>
      <c r="D87" s="8" t="s">
        <v>248</v>
      </c>
      <c r="E87" s="5" t="s">
        <v>249</v>
      </c>
      <c r="F87" s="5" t="s">
        <v>250</v>
      </c>
      <c r="G87" s="4">
        <v>8</v>
      </c>
    </row>
    <row r="88" ht="19.15" spans="1:7">
      <c r="A88" s="19"/>
      <c r="B88" s="5">
        <v>66</v>
      </c>
      <c r="C88" s="4" t="s">
        <v>251</v>
      </c>
      <c r="D88" s="8" t="s">
        <v>252</v>
      </c>
      <c r="E88" s="5" t="s">
        <v>249</v>
      </c>
      <c r="F88" s="5" t="s">
        <v>253</v>
      </c>
      <c r="G88" s="21">
        <f>0.8*G67/G47/0.001</f>
        <v>3.60843918243517</v>
      </c>
    </row>
    <row r="89" ht="63" spans="1:7">
      <c r="A89" s="19"/>
      <c r="B89" s="28">
        <v>67</v>
      </c>
      <c r="C89" s="38" t="s">
        <v>254</v>
      </c>
      <c r="D89" s="39" t="s">
        <v>255</v>
      </c>
      <c r="E89" s="38"/>
      <c r="F89" s="49" t="s">
        <v>256</v>
      </c>
      <c r="G89" s="38">
        <v>1</v>
      </c>
    </row>
    <row r="90" ht="47.25" spans="1:7">
      <c r="A90" s="19"/>
      <c r="B90" s="28">
        <v>68</v>
      </c>
      <c r="C90" s="38" t="s">
        <v>257</v>
      </c>
      <c r="D90" s="39" t="s">
        <v>258</v>
      </c>
      <c r="E90" s="38" t="s">
        <v>259</v>
      </c>
      <c r="F90" s="49" t="s">
        <v>260</v>
      </c>
      <c r="G90" s="38">
        <v>3</v>
      </c>
    </row>
    <row r="91" ht="53.65" spans="1:7">
      <c r="A91" s="19"/>
      <c r="B91" s="28">
        <v>69</v>
      </c>
      <c r="C91" s="38" t="s">
        <v>261</v>
      </c>
      <c r="D91" s="39" t="s">
        <v>262</v>
      </c>
      <c r="E91" s="38"/>
      <c r="F91" s="44" t="s">
        <v>263</v>
      </c>
      <c r="G91" s="38">
        <f>(H59-G58+0.5*G89*G46*0.001)*H69/G83</f>
        <v>0.507826086956522</v>
      </c>
    </row>
    <row r="92" ht="19.15" spans="1:7">
      <c r="A92" s="19"/>
      <c r="B92" s="5">
        <v>70</v>
      </c>
      <c r="C92" s="4" t="s">
        <v>264</v>
      </c>
      <c r="D92" s="8" t="s">
        <v>265</v>
      </c>
      <c r="E92" s="8" t="s">
        <v>106</v>
      </c>
      <c r="F92" s="8" t="s">
        <v>266</v>
      </c>
      <c r="G92" s="51">
        <f>3.14*G37*0.001*(G72-G37*0.001)*(1+G78)*H53/2</f>
        <v>0.0031597257731128</v>
      </c>
    </row>
    <row r="93" ht="19.15" spans="1:8">
      <c r="A93" s="19"/>
      <c r="B93" s="28">
        <v>71</v>
      </c>
      <c r="C93" s="4" t="s">
        <v>267</v>
      </c>
      <c r="D93" s="8" t="s">
        <v>268</v>
      </c>
      <c r="E93" s="8" t="s">
        <v>106</v>
      </c>
      <c r="F93" s="8" t="s">
        <v>269</v>
      </c>
      <c r="G93" s="37">
        <f>H59*(H59-G75)*(PI()-ACOS(G94))/2</f>
        <v>0.00235619449019235</v>
      </c>
      <c r="H93" s="10"/>
    </row>
    <row r="94" ht="19.15" spans="1:7">
      <c r="A94" s="19"/>
      <c r="B94" s="28"/>
      <c r="D94" s="8"/>
      <c r="E94" s="8"/>
      <c r="F94" s="8" t="s">
        <v>270</v>
      </c>
      <c r="G94" s="5">
        <f>1-2*G67/H59</f>
        <v>0.5</v>
      </c>
    </row>
    <row r="95" ht="19.15" spans="1:8">
      <c r="A95" s="19"/>
      <c r="B95" s="28"/>
      <c r="D95" s="8"/>
      <c r="E95" s="8"/>
      <c r="F95" s="52" t="s">
        <v>271</v>
      </c>
      <c r="G95" s="5">
        <f>ACOS(G94)</f>
        <v>1.0471975511966</v>
      </c>
      <c r="H95" s="10"/>
    </row>
    <row r="96" ht="19.15" spans="1:7">
      <c r="A96" s="19"/>
      <c r="B96" s="5">
        <v>72</v>
      </c>
      <c r="C96" s="4" t="s">
        <v>272</v>
      </c>
      <c r="D96" s="8" t="s">
        <v>273</v>
      </c>
      <c r="F96" s="8" t="s">
        <v>274</v>
      </c>
      <c r="G96" s="53">
        <f>G8*G37*0.001/G12/G84</f>
        <v>5990.95525498505</v>
      </c>
    </row>
    <row r="97" ht="19.15" spans="1:7">
      <c r="A97" s="19"/>
      <c r="B97" s="5">
        <v>73</v>
      </c>
      <c r="C97" s="4" t="s">
        <v>275</v>
      </c>
      <c r="D97" s="54" t="s">
        <v>276</v>
      </c>
      <c r="F97" s="5" t="s">
        <v>277</v>
      </c>
      <c r="G97" s="4">
        <v>0.0101</v>
      </c>
    </row>
    <row r="98" ht="19.15" spans="1:7">
      <c r="A98" s="19"/>
      <c r="B98" s="5">
        <v>74</v>
      </c>
      <c r="C98" s="4" t="s">
        <v>278</v>
      </c>
      <c r="D98" s="54" t="s">
        <v>279</v>
      </c>
      <c r="F98" s="5" t="s">
        <v>280</v>
      </c>
      <c r="G98" s="4">
        <v>1.05</v>
      </c>
    </row>
    <row r="99" ht="19.15" spans="1:7">
      <c r="A99" s="19"/>
      <c r="B99" s="28">
        <v>75</v>
      </c>
      <c r="C99" s="4" t="s">
        <v>281</v>
      </c>
      <c r="D99" s="54" t="s">
        <v>282</v>
      </c>
      <c r="F99" s="25" t="s">
        <v>283</v>
      </c>
      <c r="G99" s="4">
        <v>0.71</v>
      </c>
    </row>
    <row r="100" ht="19.15" spans="1:7">
      <c r="A100" s="19"/>
      <c r="B100" s="28"/>
      <c r="D100" s="54"/>
      <c r="F100" s="8" t="s">
        <v>284</v>
      </c>
      <c r="G100" s="4">
        <f>(G93+G92)/G83</f>
        <v>0.153486476891969</v>
      </c>
    </row>
    <row r="101" ht="19.15" spans="1:7">
      <c r="A101" s="19"/>
      <c r="B101" s="28"/>
      <c r="D101" s="54"/>
      <c r="F101" s="8" t="s">
        <v>285</v>
      </c>
      <c r="G101" s="4">
        <f>G93/(G93+G92)</f>
        <v>0.427162536388899</v>
      </c>
    </row>
    <row r="102" ht="34.9" spans="1:7">
      <c r="A102" s="19"/>
      <c r="B102" s="28">
        <v>76</v>
      </c>
      <c r="C102" s="4" t="s">
        <v>286</v>
      </c>
      <c r="D102" s="54" t="s">
        <v>287</v>
      </c>
      <c r="F102" s="32" t="s">
        <v>288</v>
      </c>
      <c r="G102" s="4">
        <v>0.91</v>
      </c>
    </row>
    <row r="103" ht="19.15" spans="1:7">
      <c r="A103" s="19"/>
      <c r="B103" s="28"/>
      <c r="D103" s="8"/>
      <c r="F103" s="41" t="s">
        <v>289</v>
      </c>
      <c r="G103" s="4">
        <f>G90/G87</f>
        <v>0.375</v>
      </c>
    </row>
    <row r="104" ht="19.15" spans="1:7">
      <c r="A104" s="19"/>
      <c r="B104" s="5">
        <v>77</v>
      </c>
      <c r="C104" s="4" t="s">
        <v>290</v>
      </c>
      <c r="D104" s="8" t="s">
        <v>291</v>
      </c>
      <c r="F104" s="8" t="s">
        <v>292</v>
      </c>
      <c r="G104" s="48">
        <f>G97*G98*G99*G102</f>
        <v>0.0068518905</v>
      </c>
    </row>
    <row r="105" ht="19.15" spans="1:7">
      <c r="A105" s="19"/>
      <c r="B105" s="5">
        <v>78</v>
      </c>
      <c r="C105" s="4" t="s">
        <v>293</v>
      </c>
      <c r="D105" s="8" t="s">
        <v>294</v>
      </c>
      <c r="E105" s="8" t="s">
        <v>295</v>
      </c>
      <c r="F105" s="8" t="s">
        <v>296</v>
      </c>
      <c r="G105" s="21">
        <f>G8/G84</f>
        <v>144.861298065538</v>
      </c>
    </row>
    <row r="106" ht="19.15" spans="1:7">
      <c r="A106" s="19"/>
      <c r="B106" s="5">
        <v>79</v>
      </c>
      <c r="C106" s="4" t="s">
        <v>297</v>
      </c>
      <c r="D106" s="8" t="s">
        <v>298</v>
      </c>
      <c r="E106" s="4" t="s">
        <v>9</v>
      </c>
      <c r="F106" s="5" t="s">
        <v>299</v>
      </c>
      <c r="G106" s="33">
        <v>40</v>
      </c>
    </row>
    <row r="107" ht="19.15" spans="1:7">
      <c r="A107" s="19"/>
      <c r="B107" s="5">
        <v>80</v>
      </c>
      <c r="C107" s="5" t="s">
        <v>300</v>
      </c>
      <c r="D107" s="5" t="s">
        <v>301</v>
      </c>
      <c r="E107" s="8" t="s">
        <v>40</v>
      </c>
      <c r="F107" s="5" t="s">
        <v>34</v>
      </c>
      <c r="G107" s="55">
        <v>0.00108</v>
      </c>
    </row>
    <row r="108" s="2" customFormat="1" ht="19.9" spans="1:8">
      <c r="A108" s="23"/>
      <c r="B108" s="15">
        <v>81</v>
      </c>
      <c r="C108" s="16" t="s">
        <v>302</v>
      </c>
      <c r="D108" s="15" t="s">
        <v>303</v>
      </c>
      <c r="E108" s="17" t="s">
        <v>43</v>
      </c>
      <c r="F108" s="15" t="s">
        <v>304</v>
      </c>
      <c r="G108" s="24">
        <f>G104*G105*G10*1000*(G14^(-2/3))*((G12/G107)^0.14)</f>
        <v>372.387810521603</v>
      </c>
      <c r="H108" s="16"/>
    </row>
    <row r="109" ht="19.5" customHeight="1" spans="1:7">
      <c r="A109" s="18" t="s">
        <v>305</v>
      </c>
      <c r="B109" s="5">
        <v>82</v>
      </c>
      <c r="C109" s="4" t="s">
        <v>306</v>
      </c>
      <c r="D109" s="8" t="s">
        <v>307</v>
      </c>
      <c r="E109" s="8" t="s">
        <v>308</v>
      </c>
      <c r="F109" s="5" t="s">
        <v>309</v>
      </c>
      <c r="G109" s="4">
        <v>0.00034</v>
      </c>
    </row>
    <row r="110" ht="19.15" spans="1:7">
      <c r="A110" s="19"/>
      <c r="B110" s="5">
        <v>83</v>
      </c>
      <c r="C110" s="5" t="s">
        <v>310</v>
      </c>
      <c r="D110" s="8" t="s">
        <v>311</v>
      </c>
      <c r="E110" s="8" t="s">
        <v>308</v>
      </c>
      <c r="F110" s="5" t="s">
        <v>312</v>
      </c>
      <c r="G110" s="4">
        <v>0.00017</v>
      </c>
    </row>
    <row r="111" spans="1:7">
      <c r="A111" s="19"/>
      <c r="B111" s="5">
        <v>84</v>
      </c>
      <c r="C111" s="4" t="s">
        <v>313</v>
      </c>
      <c r="G111" s="5" t="s">
        <v>314</v>
      </c>
    </row>
    <row r="112" ht="19.15" spans="1:7">
      <c r="A112" s="19"/>
      <c r="B112" s="5">
        <v>85</v>
      </c>
      <c r="C112" s="4" t="s">
        <v>315</v>
      </c>
      <c r="D112" s="8" t="s">
        <v>316</v>
      </c>
      <c r="E112" s="8" t="s">
        <v>43</v>
      </c>
      <c r="F112" s="8" t="s">
        <v>317</v>
      </c>
      <c r="G112" s="21">
        <f>1/(1/G108+G109+G110*G37/G39+(1/G65)*(G37/G39))</f>
        <v>290.995079183519</v>
      </c>
    </row>
    <row r="113" ht="19.15" spans="1:7">
      <c r="A113" s="19"/>
      <c r="B113" s="5">
        <v>86</v>
      </c>
      <c r="C113" s="4" t="s">
        <v>318</v>
      </c>
      <c r="D113" s="8" t="s">
        <v>319</v>
      </c>
      <c r="E113" s="8" t="s">
        <v>106</v>
      </c>
      <c r="F113" s="8" t="s">
        <v>320</v>
      </c>
      <c r="G113" s="21">
        <f>G22*1000/G33/G112</f>
        <v>97.4866764879908</v>
      </c>
    </row>
    <row r="114" spans="1:8">
      <c r="A114" s="19"/>
      <c r="B114" s="5">
        <v>87</v>
      </c>
      <c r="C114" s="10" t="s">
        <v>321</v>
      </c>
      <c r="D114" s="8" t="s">
        <v>322</v>
      </c>
      <c r="G114" s="56">
        <f>G56/G113</f>
        <v>1.14021735076478</v>
      </c>
      <c r="H114" s="10" t="s">
        <v>323</v>
      </c>
    </row>
    <row r="115" s="3" customFormat="1" ht="19.15" spans="1:8">
      <c r="A115" s="19"/>
      <c r="B115" s="57">
        <v>88</v>
      </c>
      <c r="C115" s="12" t="s">
        <v>324</v>
      </c>
      <c r="D115" s="13" t="s">
        <v>325</v>
      </c>
      <c r="E115" s="58" t="s">
        <v>9</v>
      </c>
      <c r="F115" s="13" t="s">
        <v>326</v>
      </c>
      <c r="G115" s="59">
        <f>G116-G112*(1/G108+G110)*G33</f>
        <v>38.4324040616418</v>
      </c>
      <c r="H115" s="12" t="s">
        <v>327</v>
      </c>
    </row>
    <row r="116" s="3" customFormat="1" ht="19.15" spans="1:8">
      <c r="A116" s="19"/>
      <c r="B116" s="57"/>
      <c r="C116" s="12" t="s">
        <v>328</v>
      </c>
      <c r="D116" s="13" t="s">
        <v>329</v>
      </c>
      <c r="E116" s="58" t="s">
        <v>9</v>
      </c>
      <c r="F116" s="8" t="s">
        <v>330</v>
      </c>
      <c r="G116" s="60">
        <f>G3+(G2-G3)*G117</f>
        <v>70</v>
      </c>
      <c r="H116" s="58"/>
    </row>
    <row r="117" s="2" customFormat="1" ht="19.9" spans="1:8">
      <c r="A117" s="23"/>
      <c r="B117" s="61"/>
      <c r="C117" s="62" t="s">
        <v>331</v>
      </c>
      <c r="D117" s="17" t="s">
        <v>332</v>
      </c>
      <c r="E117" s="16"/>
      <c r="F117" s="17" t="s">
        <v>333</v>
      </c>
      <c r="G117" s="63">
        <v>0.3</v>
      </c>
      <c r="H117" s="16"/>
    </row>
    <row r="118" ht="19.9" spans="1:7">
      <c r="A118" s="36" t="s">
        <v>334</v>
      </c>
      <c r="B118" s="5">
        <v>89</v>
      </c>
      <c r="C118" s="4" t="s">
        <v>335</v>
      </c>
      <c r="D118" s="8" t="s">
        <v>336</v>
      </c>
      <c r="F118" s="5" t="s">
        <v>337</v>
      </c>
      <c r="G118" s="4">
        <v>0.0065</v>
      </c>
    </row>
    <row r="119" ht="19.15" spans="1:7">
      <c r="A119" s="19"/>
      <c r="B119" s="5">
        <v>90</v>
      </c>
      <c r="C119" s="4" t="s">
        <v>338</v>
      </c>
      <c r="D119" s="8" t="s">
        <v>339</v>
      </c>
      <c r="E119" s="4" t="s">
        <v>9</v>
      </c>
      <c r="F119" s="4" t="s">
        <v>299</v>
      </c>
      <c r="G119" s="4">
        <v>40</v>
      </c>
    </row>
    <row r="120" ht="19.15" spans="1:7">
      <c r="A120" s="19"/>
      <c r="B120" s="5">
        <v>91</v>
      </c>
      <c r="C120" s="5" t="s">
        <v>340</v>
      </c>
      <c r="D120" s="5" t="s">
        <v>341</v>
      </c>
      <c r="E120" s="8" t="s">
        <v>40</v>
      </c>
      <c r="F120" s="5" t="s">
        <v>34</v>
      </c>
      <c r="G120" s="64">
        <v>0.0006533</v>
      </c>
    </row>
    <row r="121" ht="19.15" spans="1:8">
      <c r="A121" s="19"/>
      <c r="B121" s="28">
        <v>92</v>
      </c>
      <c r="C121" s="10" t="s">
        <v>342</v>
      </c>
      <c r="D121" s="4" t="s">
        <v>343</v>
      </c>
      <c r="E121" s="8" t="s">
        <v>344</v>
      </c>
      <c r="F121" s="25" t="s">
        <v>345</v>
      </c>
      <c r="G121" s="21">
        <f>G28*G122</f>
        <v>30133.4682992319</v>
      </c>
      <c r="H121" s="5" t="s">
        <v>346</v>
      </c>
    </row>
    <row r="122" ht="19.15" spans="1:8">
      <c r="A122" s="19"/>
      <c r="B122" s="28"/>
      <c r="C122" s="10" t="s">
        <v>347</v>
      </c>
      <c r="D122" s="5" t="s">
        <v>348</v>
      </c>
      <c r="E122" s="8" t="s">
        <v>344</v>
      </c>
      <c r="F122" s="5" t="s">
        <v>349</v>
      </c>
      <c r="G122" s="21">
        <f>4*G118*(G123/G39/0.001)*(G17*(G40^2)/2)*((G19/G120)^(-0.14))</f>
        <v>15066.7341496159</v>
      </c>
      <c r="H122" s="5" t="s">
        <v>350</v>
      </c>
    </row>
    <row r="123" spans="1:8">
      <c r="A123" s="19"/>
      <c r="B123" s="28"/>
      <c r="C123" s="10" t="s">
        <v>351</v>
      </c>
      <c r="D123" s="5" t="s">
        <v>352</v>
      </c>
      <c r="E123" s="8" t="s">
        <v>132</v>
      </c>
      <c r="F123" s="25" t="s">
        <v>353</v>
      </c>
      <c r="G123" s="21">
        <f>H43*G30</f>
        <v>12</v>
      </c>
      <c r="H123" s="5"/>
    </row>
    <row r="124" ht="19.15" spans="1:8">
      <c r="A124" s="19"/>
      <c r="B124" s="5">
        <v>93</v>
      </c>
      <c r="C124" s="4" t="s">
        <v>354</v>
      </c>
      <c r="D124" s="4" t="s">
        <v>355</v>
      </c>
      <c r="E124" s="8" t="s">
        <v>344</v>
      </c>
      <c r="F124" s="5" t="s">
        <v>356</v>
      </c>
      <c r="G124" s="4">
        <f>4*G17*(G40^2)*G32/2</f>
        <v>15680</v>
      </c>
      <c r="H124" s="5" t="s">
        <v>346</v>
      </c>
    </row>
    <row r="125" ht="47.25" spans="1:8">
      <c r="A125" s="19"/>
      <c r="B125" s="5">
        <v>94</v>
      </c>
      <c r="C125" s="4" t="s">
        <v>357</v>
      </c>
      <c r="D125" s="4" t="s">
        <v>358</v>
      </c>
      <c r="E125" s="8" t="s">
        <v>344</v>
      </c>
      <c r="F125" s="5" t="s">
        <v>359</v>
      </c>
      <c r="G125" s="65">
        <f>1.5*G17*(G40^2)/2</f>
        <v>1470</v>
      </c>
      <c r="H125" s="26" t="s">
        <v>360</v>
      </c>
    </row>
    <row r="126" ht="19.15" spans="1:8">
      <c r="A126" s="19"/>
      <c r="B126" s="5">
        <v>95</v>
      </c>
      <c r="C126" s="4" t="s">
        <v>361</v>
      </c>
      <c r="D126" s="4" t="s">
        <v>362</v>
      </c>
      <c r="E126" s="8" t="s">
        <v>344</v>
      </c>
      <c r="F126" s="5" t="s">
        <v>363</v>
      </c>
      <c r="G126" s="21">
        <f>G121+G124+G125</f>
        <v>47283.4682992319</v>
      </c>
      <c r="H126" s="10" t="s">
        <v>364</v>
      </c>
    </row>
    <row r="127" ht="18.75" spans="1:7">
      <c r="A127" s="19"/>
      <c r="B127" s="5">
        <v>96</v>
      </c>
      <c r="C127" s="4" t="s">
        <v>365</v>
      </c>
      <c r="D127" s="4" t="s">
        <v>366</v>
      </c>
      <c r="F127" s="5" t="s">
        <v>367</v>
      </c>
      <c r="G127" s="4">
        <v>0.19</v>
      </c>
    </row>
    <row r="128" ht="19.15" spans="1:7">
      <c r="A128" s="19"/>
      <c r="B128" s="5">
        <v>97</v>
      </c>
      <c r="C128" s="4" t="s">
        <v>368</v>
      </c>
      <c r="D128" s="4" t="s">
        <v>369</v>
      </c>
      <c r="E128" s="8" t="s">
        <v>344</v>
      </c>
      <c r="F128" s="5" t="s">
        <v>370</v>
      </c>
      <c r="G128" s="21">
        <f>4*G127*(G8^2)*G87*((G12/G107)^(-0.14))/2/(G83^2)/G11</f>
        <v>76.4491681721749</v>
      </c>
    </row>
    <row r="129" ht="19.15" spans="1:7">
      <c r="A129" s="19"/>
      <c r="B129" s="5">
        <v>98</v>
      </c>
      <c r="C129" s="4" t="s">
        <v>371</v>
      </c>
      <c r="D129" s="4" t="s">
        <v>372</v>
      </c>
      <c r="E129" s="8" t="s">
        <v>344</v>
      </c>
      <c r="F129" s="5" t="s">
        <v>373</v>
      </c>
      <c r="G129" s="21">
        <f>(G8^2)*(2+0.6*G88)/(2*G82*G83*G11)</f>
        <v>58.7385797908194</v>
      </c>
    </row>
    <row r="130" ht="19.15" spans="1:7">
      <c r="A130" s="19"/>
      <c r="B130" s="5">
        <v>99</v>
      </c>
      <c r="C130" s="4" t="s">
        <v>374</v>
      </c>
      <c r="D130" s="8" t="s">
        <v>375</v>
      </c>
      <c r="F130" s="5" t="s">
        <v>376</v>
      </c>
      <c r="G130" s="4">
        <v>0.85</v>
      </c>
    </row>
    <row r="131" ht="19.15" spans="1:7">
      <c r="A131" s="19"/>
      <c r="B131" s="5">
        <v>100</v>
      </c>
      <c r="C131" s="4" t="s">
        <v>377</v>
      </c>
      <c r="D131" s="8" t="s">
        <v>378</v>
      </c>
      <c r="F131" s="5" t="s">
        <v>379</v>
      </c>
      <c r="G131" s="4">
        <v>0.48</v>
      </c>
    </row>
    <row r="132" ht="19.15" spans="1:7">
      <c r="A132" s="19"/>
      <c r="B132" s="5">
        <v>101</v>
      </c>
      <c r="C132" s="4" t="s">
        <v>380</v>
      </c>
      <c r="D132" s="8" t="s">
        <v>381</v>
      </c>
      <c r="F132" s="5" t="s">
        <v>382</v>
      </c>
      <c r="G132" s="4">
        <v>1</v>
      </c>
    </row>
    <row r="133" ht="56.65" spans="1:7">
      <c r="A133" s="19"/>
      <c r="B133" s="28">
        <v>102</v>
      </c>
      <c r="C133" s="38" t="s">
        <v>383</v>
      </c>
      <c r="D133" s="28" t="s">
        <v>384</v>
      </c>
      <c r="E133" s="39" t="s">
        <v>344</v>
      </c>
      <c r="F133" s="40" t="s">
        <v>385</v>
      </c>
      <c r="G133" s="66">
        <f>((G70-1)*G128*G130+G70*G129)*G131+2*G128*G130*(1+G88/G87)*G132</f>
        <v>1523.26595224991</v>
      </c>
    </row>
    <row r="134" s="2" customFormat="1" ht="19.5" spans="1:8">
      <c r="A134" s="23"/>
      <c r="B134" s="15">
        <v>103</v>
      </c>
      <c r="C134" s="15" t="s">
        <v>386</v>
      </c>
      <c r="D134" s="16" t="s">
        <v>387</v>
      </c>
      <c r="E134" s="17" t="s">
        <v>344</v>
      </c>
      <c r="F134" s="15" t="s">
        <v>388</v>
      </c>
      <c r="G134" s="67">
        <f>2*G133</f>
        <v>3046.53190449982</v>
      </c>
      <c r="H134" s="62" t="s">
        <v>364</v>
      </c>
    </row>
    <row r="135" ht="16.5"/>
  </sheetData>
  <mergeCells count="23">
    <mergeCell ref="A1:C1"/>
    <mergeCell ref="A2:A8"/>
    <mergeCell ref="A9:A20"/>
    <mergeCell ref="A21:A33"/>
    <mergeCell ref="A34:A61"/>
    <mergeCell ref="A62:A65"/>
    <mergeCell ref="A66:A108"/>
    <mergeCell ref="A109:A117"/>
    <mergeCell ref="A118:A134"/>
    <mergeCell ref="B25:B26"/>
    <mergeCell ref="B27:B32"/>
    <mergeCell ref="B36:B39"/>
    <mergeCell ref="B51:B57"/>
    <mergeCell ref="B59:B60"/>
    <mergeCell ref="B62:B63"/>
    <mergeCell ref="B76:B77"/>
    <mergeCell ref="B78:B80"/>
    <mergeCell ref="B85:B86"/>
    <mergeCell ref="B93:B95"/>
    <mergeCell ref="B99:B101"/>
    <mergeCell ref="B102:B103"/>
    <mergeCell ref="B115:B117"/>
    <mergeCell ref="B121:B123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计算书本P84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风吹吹</cp:lastModifiedBy>
  <dcterms:created xsi:type="dcterms:W3CDTF">2007-07-12T08:36:00Z</dcterms:created>
  <cp:lastPrinted>2007-07-12T16:20:00Z</cp:lastPrinted>
  <dcterms:modified xsi:type="dcterms:W3CDTF">2024-07-05T12:09:12Z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DBAA2897043E88292D65BB643138B42E_42</vt:lpwstr>
  </property>
</Properties>
</file>